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1835" firstSheet="5" activeTab="10"/>
  </bookViews>
  <sheets>
    <sheet name="1. sz. melléklet" sheetId="27" r:id="rId1"/>
    <sheet name="2. sz. melléklet" sheetId="28" r:id="rId2"/>
    <sheet name="3. sz. melléklet" sheetId="29" r:id="rId3"/>
    <sheet name="4. sz. melléklet" sheetId="15" r:id="rId4"/>
    <sheet name="5. sz. melléklet" sheetId="18" r:id="rId5"/>
    <sheet name="6. sz. melléklet" sheetId="10" r:id="rId6"/>
    <sheet name="7. sz. melléklet" sheetId="16" r:id="rId7"/>
    <sheet name="8. sz. melléklet" sheetId="19" r:id="rId8"/>
    <sheet name="9. sz. melléklet" sheetId="22" r:id="rId9"/>
    <sheet name="10. sz. melléklet" sheetId="25" r:id="rId10"/>
    <sheet name="11. sz. melléklet" sheetId="26" r:id="rId11"/>
    <sheet name="Munka1" sheetId="30" r:id="rId12"/>
  </sheets>
  <externalReferences>
    <externalReference r:id="rId13"/>
  </externalReferences>
  <definedNames>
    <definedName name="_xlnm.Print_Area" localSheetId="0">'1. sz. melléklet'!$A$1:$F$119</definedName>
    <definedName name="_xlnm.Print_Area" localSheetId="9">'10. sz. melléklet'!$A$1:$F$37</definedName>
    <definedName name="_xlnm.Print_Area" localSheetId="10">'11. sz. melléklet'!$A$1:$O$31</definedName>
    <definedName name="_xlnm.Print_Area" localSheetId="1">'2. sz. melléklet'!$A$1:$F$119</definedName>
    <definedName name="_xlnm.Print_Area" localSheetId="2">'3. sz. melléklet'!$A$1:$X$74</definedName>
    <definedName name="_xlnm.Print_Area" localSheetId="3">'4. sz. melléklet'!$A$1:$Z$41</definedName>
    <definedName name="_xlnm.Print_Area" localSheetId="4">'5. sz. melléklet'!$A$1:$Y$19</definedName>
    <definedName name="_xlnm.Print_Area" localSheetId="5">'6. sz. melléklet'!$A$1:$D$185</definedName>
    <definedName name="_xlnm.Print_Area" localSheetId="6">'7. sz. melléklet'!$A$1:$D$242</definedName>
    <definedName name="_xlnm.Print_Area" localSheetId="7">'8. sz. melléklet'!$A$1:$W$47</definedName>
    <definedName name="_xlnm.Print_Area" localSheetId="8">'9. sz. melléklet'!$A$1:$E$35</definedName>
  </definedNames>
  <calcPr calcId="124519"/>
</workbook>
</file>

<file path=xl/calcChain.xml><?xml version="1.0" encoding="utf-8"?>
<calcChain xmlns="http://schemas.openxmlformats.org/spreadsheetml/2006/main">
  <c r="N23" i="26"/>
  <c r="N22"/>
  <c r="N21"/>
  <c r="G23" i="19"/>
  <c r="E23"/>
  <c r="C23"/>
  <c r="C24"/>
  <c r="N27" i="26"/>
  <c r="N26"/>
  <c r="N25"/>
  <c r="N24"/>
  <c r="D10" i="22"/>
  <c r="R25" i="15"/>
  <c r="S25"/>
  <c r="T25"/>
  <c r="U25"/>
  <c r="V25"/>
  <c r="W25"/>
  <c r="X25"/>
  <c r="Y25"/>
  <c r="Z25"/>
  <c r="Q25"/>
  <c r="C25"/>
  <c r="D25"/>
  <c r="E25"/>
  <c r="F25"/>
  <c r="G25"/>
  <c r="H25"/>
  <c r="I25"/>
  <c r="J25"/>
  <c r="K25"/>
  <c r="L25"/>
  <c r="M25"/>
  <c r="N25"/>
  <c r="O25"/>
  <c r="B25"/>
  <c r="D24" i="19"/>
  <c r="E24"/>
  <c r="F24"/>
  <c r="G24"/>
  <c r="H24"/>
  <c r="I24"/>
  <c r="J24"/>
  <c r="K24"/>
  <c r="L24"/>
  <c r="M24"/>
  <c r="N24"/>
  <c r="O24"/>
  <c r="P24"/>
  <c r="Q24"/>
  <c r="R24"/>
  <c r="T24"/>
  <c r="U24"/>
  <c r="V24"/>
  <c r="B24"/>
  <c r="G42"/>
  <c r="E38"/>
  <c r="C38"/>
  <c r="M23"/>
  <c r="O21"/>
  <c r="G20"/>
  <c r="E20"/>
  <c r="C20"/>
  <c r="G26"/>
  <c r="M26"/>
  <c r="E26"/>
  <c r="C26"/>
  <c r="G16"/>
  <c r="E16"/>
  <c r="C16"/>
  <c r="M12"/>
  <c r="G12"/>
  <c r="E12"/>
  <c r="C12"/>
  <c r="D17" i="10"/>
  <c r="D193" i="16"/>
  <c r="D190"/>
  <c r="D237"/>
  <c r="D239"/>
  <c r="D163"/>
  <c r="B194"/>
  <c r="B191"/>
  <c r="D149"/>
  <c r="D153"/>
  <c r="E153"/>
  <c r="D144"/>
  <c r="D182" i="10"/>
  <c r="T34" i="15"/>
  <c r="T21"/>
  <c r="T28"/>
  <c r="T27"/>
  <c r="T17"/>
  <c r="T13"/>
  <c r="D154" i="10"/>
  <c r="B184"/>
  <c r="D156"/>
  <c r="B19"/>
  <c r="B13"/>
  <c r="D48"/>
  <c r="D32"/>
  <c r="I28" i="15"/>
  <c r="I27"/>
  <c r="I24"/>
  <c r="C27"/>
  <c r="C17"/>
  <c r="C13"/>
  <c r="C24"/>
  <c r="R59" i="29"/>
  <c r="S57"/>
  <c r="T57"/>
  <c r="U57"/>
  <c r="V57"/>
  <c r="W57"/>
  <c r="X57"/>
  <c r="F117" i="28"/>
  <c r="F90"/>
  <c r="F79"/>
  <c r="F78"/>
  <c r="B76"/>
  <c r="B74"/>
  <c r="C65"/>
  <c r="B62"/>
  <c r="B58"/>
  <c r="B56"/>
  <c r="B53"/>
  <c r="B43"/>
  <c r="B42"/>
  <c r="C33"/>
  <c r="C32"/>
  <c r="C30"/>
  <c r="F117" i="27"/>
  <c r="F107"/>
  <c r="F90"/>
  <c r="F87"/>
  <c r="F77"/>
  <c r="F78"/>
  <c r="F79"/>
  <c r="F83"/>
  <c r="C83"/>
  <c r="B76"/>
  <c r="B74"/>
  <c r="C65"/>
  <c r="B58"/>
  <c r="B62"/>
  <c r="B56"/>
  <c r="B53"/>
  <c r="B43"/>
  <c r="B42"/>
  <c r="C33"/>
  <c r="C32"/>
  <c r="C30"/>
  <c r="D151" i="10"/>
  <c r="D155"/>
  <c r="D9" i="22"/>
  <c r="D18" i="16"/>
  <c r="D162"/>
  <c r="B186"/>
  <c r="D122"/>
  <c r="D148"/>
  <c r="D103" i="10"/>
  <c r="B28" i="22"/>
  <c r="D158" i="16"/>
  <c r="B183"/>
  <c r="D228"/>
  <c r="D209"/>
  <c r="B154"/>
  <c r="D195"/>
  <c r="B46"/>
  <c r="D45"/>
  <c r="B175" i="10"/>
  <c r="D148"/>
  <c r="D101"/>
  <c r="D94"/>
  <c r="B100"/>
  <c r="D56"/>
  <c r="B12"/>
  <c r="D11"/>
  <c r="M38" i="19"/>
  <c r="G38"/>
  <c r="I21" i="15"/>
  <c r="C94" i="27"/>
  <c r="N14" i="26"/>
  <c r="I11"/>
  <c r="D28" i="25"/>
  <c r="C35" i="22"/>
  <c r="B34"/>
  <c r="B29"/>
  <c r="B21"/>
  <c r="B20"/>
  <c r="B19"/>
  <c r="B18"/>
  <c r="B15"/>
  <c r="B12"/>
  <c r="D35"/>
  <c r="E9"/>
  <c r="S18" i="18"/>
  <c r="S19" s="1"/>
  <c r="E34" i="25" s="1"/>
  <c r="E36" s="1"/>
  <c r="C240" i="16"/>
  <c r="B176" i="10"/>
  <c r="C107"/>
  <c r="B184" i="16"/>
  <c r="C234"/>
  <c r="P18" i="18"/>
  <c r="D233" i="16"/>
  <c r="D234"/>
  <c r="Q18" i="18"/>
  <c r="D157" i="16"/>
  <c r="D93"/>
  <c r="D94"/>
  <c r="D19"/>
  <c r="D13"/>
  <c r="D30"/>
  <c r="B175"/>
  <c r="D75" i="10"/>
  <c r="B167"/>
  <c r="D112"/>
  <c r="B30"/>
  <c r="D27"/>
  <c r="D89" i="16"/>
  <c r="D58"/>
  <c r="B79" i="10"/>
  <c r="D78"/>
  <c r="D215" i="16"/>
  <c r="B119"/>
  <c r="B144" i="10"/>
  <c r="D225" i="16"/>
  <c r="D90" i="10"/>
  <c r="D97" i="16"/>
  <c r="D57"/>
  <c r="B68"/>
  <c r="D67"/>
  <c r="D53" i="10"/>
  <c r="D26"/>
  <c r="B55"/>
  <c r="D54"/>
  <c r="D145" i="16"/>
  <c r="E35" i="19"/>
  <c r="C35"/>
  <c r="C43"/>
  <c r="B16" i="18"/>
  <c r="B19" s="1"/>
  <c r="R22" i="19"/>
  <c r="S22"/>
  <c r="T22"/>
  <c r="V22"/>
  <c r="U22"/>
  <c r="W22"/>
  <c r="E42"/>
  <c r="C42"/>
  <c r="O20"/>
  <c r="M16"/>
  <c r="Z23" i="15"/>
  <c r="V23"/>
  <c r="U23"/>
  <c r="Y23"/>
  <c r="W23"/>
  <c r="X23"/>
  <c r="S48" i="29"/>
  <c r="T48"/>
  <c r="U48"/>
  <c r="V48"/>
  <c r="W48"/>
  <c r="X48"/>
  <c r="E35" i="22"/>
  <c r="D90" i="28"/>
  <c r="D66"/>
  <c r="S58" i="29"/>
  <c r="T58"/>
  <c r="U58"/>
  <c r="V58"/>
  <c r="W58"/>
  <c r="X58"/>
  <c r="O40"/>
  <c r="K40"/>
  <c r="X47"/>
  <c r="W47"/>
  <c r="V47"/>
  <c r="U47"/>
  <c r="T47"/>
  <c r="S47"/>
  <c r="S46"/>
  <c r="T46"/>
  <c r="U46"/>
  <c r="V46"/>
  <c r="W46"/>
  <c r="X46"/>
  <c r="S41"/>
  <c r="T41"/>
  <c r="U41"/>
  <c r="V41"/>
  <c r="W41"/>
  <c r="X41"/>
  <c r="S42"/>
  <c r="T42"/>
  <c r="U42"/>
  <c r="V42"/>
  <c r="W42"/>
  <c r="X42"/>
  <c r="S43"/>
  <c r="T43"/>
  <c r="U43"/>
  <c r="V43"/>
  <c r="W43"/>
  <c r="X43"/>
  <c r="S44"/>
  <c r="T44"/>
  <c r="U44"/>
  <c r="V44"/>
  <c r="W44"/>
  <c r="X44"/>
  <c r="S17"/>
  <c r="T17"/>
  <c r="U17"/>
  <c r="V17"/>
  <c r="W17"/>
  <c r="X17"/>
  <c r="F118" i="28"/>
  <c r="E118"/>
  <c r="D118"/>
  <c r="F113"/>
  <c r="F110"/>
  <c r="F87"/>
  <c r="D85"/>
  <c r="D86"/>
  <c r="F84"/>
  <c r="F85"/>
  <c r="E83"/>
  <c r="E86"/>
  <c r="C83"/>
  <c r="E75"/>
  <c r="D75"/>
  <c r="C75"/>
  <c r="F74"/>
  <c r="F75"/>
  <c r="E66"/>
  <c r="F65"/>
  <c r="B64"/>
  <c r="C58"/>
  <c r="F58"/>
  <c r="B57"/>
  <c r="C55"/>
  <c r="F55"/>
  <c r="B54"/>
  <c r="C51"/>
  <c r="F51"/>
  <c r="B49"/>
  <c r="B47"/>
  <c r="B46"/>
  <c r="B44"/>
  <c r="E35"/>
  <c r="D35"/>
  <c r="F33"/>
  <c r="F30"/>
  <c r="E26"/>
  <c r="E28"/>
  <c r="D26"/>
  <c r="D28"/>
  <c r="C26"/>
  <c r="C28"/>
  <c r="F25"/>
  <c r="F26"/>
  <c r="F28"/>
  <c r="B24"/>
  <c r="F113" i="27"/>
  <c r="E118"/>
  <c r="F118"/>
  <c r="D118"/>
  <c r="F110"/>
  <c r="E89" i="28"/>
  <c r="D89"/>
  <c r="C35"/>
  <c r="F32"/>
  <c r="F35"/>
  <c r="C39"/>
  <c r="C59"/>
  <c r="F59"/>
  <c r="F76"/>
  <c r="F83"/>
  <c r="F74" i="27"/>
  <c r="B64"/>
  <c r="B57"/>
  <c r="B54"/>
  <c r="C39"/>
  <c r="F39"/>
  <c r="B49"/>
  <c r="B47"/>
  <c r="B46"/>
  <c r="B44"/>
  <c r="F33"/>
  <c r="F32"/>
  <c r="F30"/>
  <c r="F28"/>
  <c r="C66" i="28"/>
  <c r="F39"/>
  <c r="F66"/>
  <c r="F89"/>
  <c r="B181" i="10"/>
  <c r="B158"/>
  <c r="B166" i="16"/>
  <c r="D74" i="10"/>
  <c r="D72"/>
  <c r="B165"/>
  <c r="B166"/>
  <c r="D123" i="16"/>
  <c r="D37"/>
  <c r="D135"/>
  <c r="B138"/>
  <c r="B174"/>
  <c r="B173"/>
  <c r="D206"/>
  <c r="D118" i="10"/>
  <c r="D156" i="16"/>
  <c r="D96" i="10"/>
  <c r="D201" i="16"/>
  <c r="D200"/>
  <c r="D83" i="10"/>
  <c r="D119"/>
  <c r="D120"/>
  <c r="D98" i="16"/>
  <c r="D95" i="10"/>
  <c r="D76"/>
  <c r="D81"/>
  <c r="D77"/>
  <c r="B136"/>
  <c r="D203" i="16"/>
  <c r="B111"/>
  <c r="D238"/>
  <c r="D240"/>
  <c r="B151"/>
  <c r="B50" i="10"/>
  <c r="B164"/>
  <c r="B172" i="16"/>
  <c r="D31" i="10"/>
  <c r="D143" i="16"/>
  <c r="D20" i="10"/>
  <c r="D51" i="16"/>
  <c r="D35" i="25"/>
  <c r="D36" s="1"/>
  <c r="D26"/>
  <c r="D32" s="1"/>
  <c r="D17"/>
  <c r="C15"/>
  <c r="C14"/>
  <c r="Q35" i="19"/>
  <c r="P35"/>
  <c r="P45"/>
  <c r="O35"/>
  <c r="N35"/>
  <c r="N45"/>
  <c r="M35"/>
  <c r="M45"/>
  <c r="L35"/>
  <c r="L45"/>
  <c r="K35"/>
  <c r="J35"/>
  <c r="J45"/>
  <c r="I35"/>
  <c r="H35"/>
  <c r="H45"/>
  <c r="G35"/>
  <c r="F35"/>
  <c r="F45"/>
  <c r="D35"/>
  <c r="D45"/>
  <c r="B35"/>
  <c r="O45"/>
  <c r="Q45"/>
  <c r="C45"/>
  <c r="E45"/>
  <c r="G45"/>
  <c r="I45"/>
  <c r="K45"/>
  <c r="B45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U41"/>
  <c r="T41"/>
  <c r="S41"/>
  <c r="W41"/>
  <c r="R41"/>
  <c r="V41"/>
  <c r="G41"/>
  <c r="E41"/>
  <c r="C41"/>
  <c r="K23"/>
  <c r="U21"/>
  <c r="T21"/>
  <c r="S21"/>
  <c r="R21"/>
  <c r="V21"/>
  <c r="E27"/>
  <c r="G27"/>
  <c r="K26"/>
  <c r="O16"/>
  <c r="K16"/>
  <c r="K12"/>
  <c r="X31" i="15"/>
  <c r="X32"/>
  <c r="X30"/>
  <c r="W30"/>
  <c r="X22"/>
  <c r="V24"/>
  <c r="T31"/>
  <c r="R31"/>
  <c r="Z22"/>
  <c r="Y21"/>
  <c r="U22"/>
  <c r="U21"/>
  <c r="W22"/>
  <c r="W24"/>
  <c r="Y24"/>
  <c r="X24"/>
  <c r="W21"/>
  <c r="X21"/>
  <c r="Y22"/>
  <c r="V21"/>
  <c r="R21"/>
  <c r="C36"/>
  <c r="X39"/>
  <c r="Z24"/>
  <c r="F86" i="28"/>
  <c r="C14" i="29"/>
  <c r="T14" s="1"/>
  <c r="T32" s="1"/>
  <c r="T74" s="1"/>
  <c r="W21" i="19"/>
  <c r="C34" i="15"/>
  <c r="E73" i="29"/>
  <c r="C16"/>
  <c r="T16"/>
  <c r="C15"/>
  <c r="T15"/>
  <c r="X14"/>
  <c r="S34"/>
  <c r="T34"/>
  <c r="U34"/>
  <c r="V34"/>
  <c r="W34"/>
  <c r="X34"/>
  <c r="S35"/>
  <c r="T35"/>
  <c r="U35"/>
  <c r="V35"/>
  <c r="W35"/>
  <c r="X35"/>
  <c r="S36"/>
  <c r="T36"/>
  <c r="U36"/>
  <c r="V36"/>
  <c r="W36"/>
  <c r="X36"/>
  <c r="S37"/>
  <c r="T37"/>
  <c r="U37"/>
  <c r="V37"/>
  <c r="W37"/>
  <c r="X37"/>
  <c r="S38"/>
  <c r="T38"/>
  <c r="U38"/>
  <c r="V38"/>
  <c r="W38"/>
  <c r="X38"/>
  <c r="S39"/>
  <c r="T39"/>
  <c r="U39"/>
  <c r="V39"/>
  <c r="W39"/>
  <c r="X39"/>
  <c r="S40"/>
  <c r="T40"/>
  <c r="U40"/>
  <c r="V40"/>
  <c r="W40"/>
  <c r="X40"/>
  <c r="S45"/>
  <c r="T45"/>
  <c r="U45"/>
  <c r="V45"/>
  <c r="W45"/>
  <c r="X45"/>
  <c r="S49"/>
  <c r="T49"/>
  <c r="U49"/>
  <c r="V49"/>
  <c r="W49"/>
  <c r="X49"/>
  <c r="S50"/>
  <c r="T50"/>
  <c r="U50"/>
  <c r="V50"/>
  <c r="W50"/>
  <c r="X50"/>
  <c r="S51"/>
  <c r="T51"/>
  <c r="U51"/>
  <c r="V51"/>
  <c r="W51"/>
  <c r="X51"/>
  <c r="S52"/>
  <c r="T52"/>
  <c r="U52"/>
  <c r="V52"/>
  <c r="W52"/>
  <c r="X52"/>
  <c r="S29"/>
  <c r="T29"/>
  <c r="U29"/>
  <c r="V29"/>
  <c r="W29"/>
  <c r="X29"/>
  <c r="S53"/>
  <c r="T53"/>
  <c r="U53"/>
  <c r="V53"/>
  <c r="W53"/>
  <c r="X53"/>
  <c r="S54"/>
  <c r="T54"/>
  <c r="U54"/>
  <c r="V54"/>
  <c r="W54"/>
  <c r="X54"/>
  <c r="S55"/>
  <c r="T55"/>
  <c r="U55"/>
  <c r="V55"/>
  <c r="W55"/>
  <c r="X55"/>
  <c r="S56"/>
  <c r="T56"/>
  <c r="U56"/>
  <c r="V56"/>
  <c r="W56"/>
  <c r="X56"/>
  <c r="S59"/>
  <c r="T59"/>
  <c r="U59"/>
  <c r="V59"/>
  <c r="W59"/>
  <c r="X59"/>
  <c r="S60"/>
  <c r="T60"/>
  <c r="U60"/>
  <c r="V60"/>
  <c r="W60"/>
  <c r="X60"/>
  <c r="S61"/>
  <c r="T61"/>
  <c r="U61"/>
  <c r="V61"/>
  <c r="W61"/>
  <c r="X61"/>
  <c r="S62"/>
  <c r="T62"/>
  <c r="U62"/>
  <c r="V62"/>
  <c r="W62"/>
  <c r="X62"/>
  <c r="X33"/>
  <c r="W33"/>
  <c r="V33"/>
  <c r="U33"/>
  <c r="T33"/>
  <c r="S33"/>
  <c r="S31"/>
  <c r="T31"/>
  <c r="U31"/>
  <c r="V31"/>
  <c r="W31"/>
  <c r="X31"/>
  <c r="S15"/>
  <c r="U15"/>
  <c r="V15"/>
  <c r="W15"/>
  <c r="S16"/>
  <c r="U16"/>
  <c r="V16"/>
  <c r="W16"/>
  <c r="S18"/>
  <c r="T18"/>
  <c r="U18"/>
  <c r="V18"/>
  <c r="W18"/>
  <c r="X18"/>
  <c r="S19"/>
  <c r="T19"/>
  <c r="U19"/>
  <c r="V19"/>
  <c r="W19"/>
  <c r="X19"/>
  <c r="S20"/>
  <c r="T20"/>
  <c r="U20"/>
  <c r="V20"/>
  <c r="W20"/>
  <c r="X20"/>
  <c r="S21"/>
  <c r="T21"/>
  <c r="U21"/>
  <c r="V21"/>
  <c r="W21"/>
  <c r="X21"/>
  <c r="S22"/>
  <c r="T22"/>
  <c r="U22"/>
  <c r="V22"/>
  <c r="W22"/>
  <c r="X22"/>
  <c r="S23"/>
  <c r="T23"/>
  <c r="U23"/>
  <c r="V23"/>
  <c r="W23"/>
  <c r="X23"/>
  <c r="S24"/>
  <c r="T24"/>
  <c r="U24"/>
  <c r="V24"/>
  <c r="W24"/>
  <c r="X24"/>
  <c r="S25"/>
  <c r="T25"/>
  <c r="U25"/>
  <c r="V25"/>
  <c r="W25"/>
  <c r="X25"/>
  <c r="S26"/>
  <c r="T26"/>
  <c r="U26"/>
  <c r="V26"/>
  <c r="W26"/>
  <c r="X26"/>
  <c r="S27"/>
  <c r="T27"/>
  <c r="U27"/>
  <c r="V27"/>
  <c r="W27"/>
  <c r="X27"/>
  <c r="S28"/>
  <c r="T28"/>
  <c r="U28"/>
  <c r="V28"/>
  <c r="W28"/>
  <c r="X28"/>
  <c r="S30"/>
  <c r="T30"/>
  <c r="U30"/>
  <c r="V30"/>
  <c r="W30"/>
  <c r="X30"/>
  <c r="W14"/>
  <c r="V14"/>
  <c r="U14"/>
  <c r="S14"/>
  <c r="T63"/>
  <c r="U63"/>
  <c r="V63"/>
  <c r="W63"/>
  <c r="X63"/>
  <c r="T64"/>
  <c r="U64"/>
  <c r="V64"/>
  <c r="W64"/>
  <c r="X64"/>
  <c r="T65"/>
  <c r="U65"/>
  <c r="V65"/>
  <c r="W65"/>
  <c r="X65"/>
  <c r="T66"/>
  <c r="U66"/>
  <c r="V66"/>
  <c r="W66"/>
  <c r="X66"/>
  <c r="T67"/>
  <c r="U67"/>
  <c r="V67"/>
  <c r="W67"/>
  <c r="X67"/>
  <c r="S63"/>
  <c r="S64"/>
  <c r="S65"/>
  <c r="S66"/>
  <c r="S67"/>
  <c r="S68"/>
  <c r="S69"/>
  <c r="S70"/>
  <c r="R73"/>
  <c r="Q73"/>
  <c r="N73"/>
  <c r="L73"/>
  <c r="J73"/>
  <c r="H73"/>
  <c r="G73"/>
  <c r="F73"/>
  <c r="D73"/>
  <c r="C73"/>
  <c r="B73"/>
  <c r="X72"/>
  <c r="V72"/>
  <c r="U72"/>
  <c r="T72"/>
  <c r="S72"/>
  <c r="W72"/>
  <c r="X71"/>
  <c r="W71"/>
  <c r="V71"/>
  <c r="U71"/>
  <c r="T71"/>
  <c r="S71"/>
  <c r="X70"/>
  <c r="V70"/>
  <c r="U70"/>
  <c r="T70"/>
  <c r="X69"/>
  <c r="W69"/>
  <c r="V69"/>
  <c r="U69"/>
  <c r="T69"/>
  <c r="X68"/>
  <c r="W68"/>
  <c r="V68"/>
  <c r="U68"/>
  <c r="T68"/>
  <c r="O73"/>
  <c r="M73"/>
  <c r="I73"/>
  <c r="R32"/>
  <c r="Q32"/>
  <c r="O32"/>
  <c r="N32"/>
  <c r="M32"/>
  <c r="L32"/>
  <c r="K32"/>
  <c r="J32"/>
  <c r="H32"/>
  <c r="F32"/>
  <c r="E32"/>
  <c r="D32"/>
  <c r="B32"/>
  <c r="G32"/>
  <c r="X73"/>
  <c r="O74"/>
  <c r="U73"/>
  <c r="W73"/>
  <c r="S73"/>
  <c r="D74"/>
  <c r="N74"/>
  <c r="V73"/>
  <c r="T73"/>
  <c r="E74"/>
  <c r="X16"/>
  <c r="X15"/>
  <c r="X32"/>
  <c r="X74" s="1"/>
  <c r="J74"/>
  <c r="G74"/>
  <c r="Q74"/>
  <c r="R74"/>
  <c r="L74"/>
  <c r="M74"/>
  <c r="B74"/>
  <c r="F74"/>
  <c r="H74"/>
  <c r="U32"/>
  <c r="S32"/>
  <c r="W32"/>
  <c r="V32"/>
  <c r="I32"/>
  <c r="I74"/>
  <c r="K73"/>
  <c r="K74"/>
  <c r="U74"/>
  <c r="S74"/>
  <c r="V74"/>
  <c r="W74"/>
  <c r="F116" i="28"/>
  <c r="F111"/>
  <c r="F107"/>
  <c r="F106"/>
  <c r="F114"/>
  <c r="F119"/>
  <c r="E111"/>
  <c r="D111"/>
  <c r="E106"/>
  <c r="C105"/>
  <c r="D104"/>
  <c r="D101"/>
  <c r="D98"/>
  <c r="C94"/>
  <c r="F111" i="27"/>
  <c r="F116"/>
  <c r="E66"/>
  <c r="D66"/>
  <c r="F85"/>
  <c r="F84"/>
  <c r="F76"/>
  <c r="F25"/>
  <c r="F26"/>
  <c r="F65"/>
  <c r="F106"/>
  <c r="F75"/>
  <c r="F35"/>
  <c r="D116"/>
  <c r="E111"/>
  <c r="D111"/>
  <c r="D107"/>
  <c r="E106"/>
  <c r="C105"/>
  <c r="D105"/>
  <c r="D104"/>
  <c r="D101"/>
  <c r="D98"/>
  <c r="D90"/>
  <c r="D87"/>
  <c r="D85"/>
  <c r="E83"/>
  <c r="E75"/>
  <c r="D75"/>
  <c r="C75"/>
  <c r="C59"/>
  <c r="F59"/>
  <c r="C58"/>
  <c r="F58"/>
  <c r="C55"/>
  <c r="F55"/>
  <c r="C51"/>
  <c r="F51"/>
  <c r="E35"/>
  <c r="D35"/>
  <c r="D28"/>
  <c r="E26"/>
  <c r="E28"/>
  <c r="D26"/>
  <c r="C26"/>
  <c r="C28"/>
  <c r="B24"/>
  <c r="F66"/>
  <c r="F86"/>
  <c r="D16" i="25"/>
  <c r="D106" i="28"/>
  <c r="D114"/>
  <c r="D119"/>
  <c r="Z44" i="15"/>
  <c r="D27" i="25"/>
  <c r="C66" i="27"/>
  <c r="C35"/>
  <c r="E114" i="28"/>
  <c r="E119"/>
  <c r="D106" i="27"/>
  <c r="D86"/>
  <c r="E86"/>
  <c r="E89"/>
  <c r="E114"/>
  <c r="E119"/>
  <c r="F89"/>
  <c r="F114"/>
  <c r="F119"/>
  <c r="C13" i="25"/>
  <c r="D89" i="27"/>
  <c r="D114"/>
  <c r="D119"/>
  <c r="Z46" i="15"/>
  <c r="G39" i="19"/>
  <c r="S39"/>
  <c r="G40"/>
  <c r="S40"/>
  <c r="S42"/>
  <c r="W42"/>
  <c r="G28"/>
  <c r="C27"/>
  <c r="C28"/>
  <c r="S20"/>
  <c r="E34"/>
  <c r="E36"/>
  <c r="C14"/>
  <c r="Q43"/>
  <c r="P43"/>
  <c r="O43"/>
  <c r="N43"/>
  <c r="L43"/>
  <c r="J43"/>
  <c r="I43"/>
  <c r="H43"/>
  <c r="F43"/>
  <c r="E43"/>
  <c r="D43"/>
  <c r="B43"/>
  <c r="U42"/>
  <c r="T42"/>
  <c r="R42"/>
  <c r="X40"/>
  <c r="U40"/>
  <c r="T40"/>
  <c r="R40"/>
  <c r="X39"/>
  <c r="U39"/>
  <c r="T39"/>
  <c r="R39"/>
  <c r="V39"/>
  <c r="U38"/>
  <c r="T38"/>
  <c r="R38"/>
  <c r="M43"/>
  <c r="K43"/>
  <c r="P34"/>
  <c r="P44"/>
  <c r="N34"/>
  <c r="N36"/>
  <c r="L34"/>
  <c r="L44"/>
  <c r="J34"/>
  <c r="I34"/>
  <c r="H34"/>
  <c r="H44"/>
  <c r="F34"/>
  <c r="D34"/>
  <c r="D44"/>
  <c r="B34"/>
  <c r="Q28"/>
  <c r="P28"/>
  <c r="N28"/>
  <c r="L28"/>
  <c r="J28"/>
  <c r="I28"/>
  <c r="H28"/>
  <c r="F28"/>
  <c r="D28"/>
  <c r="B28"/>
  <c r="U27"/>
  <c r="T27"/>
  <c r="R27"/>
  <c r="E28"/>
  <c r="T26"/>
  <c r="R26"/>
  <c r="R28"/>
  <c r="O28"/>
  <c r="M28"/>
  <c r="U23"/>
  <c r="U35"/>
  <c r="T23"/>
  <c r="T35"/>
  <c r="T45"/>
  <c r="S23"/>
  <c r="R23"/>
  <c r="R35"/>
  <c r="T20"/>
  <c r="R20"/>
  <c r="Q34"/>
  <c r="Q36"/>
  <c r="U20"/>
  <c r="Q18"/>
  <c r="P18"/>
  <c r="N18"/>
  <c r="L18"/>
  <c r="J18"/>
  <c r="I18"/>
  <c r="H18"/>
  <c r="F18"/>
  <c r="D18"/>
  <c r="B18"/>
  <c r="U17"/>
  <c r="T17"/>
  <c r="S17"/>
  <c r="R17"/>
  <c r="T16"/>
  <c r="R16"/>
  <c r="O18"/>
  <c r="M18"/>
  <c r="K18"/>
  <c r="G18"/>
  <c r="Q14"/>
  <c r="P14"/>
  <c r="O14"/>
  <c r="N14"/>
  <c r="L14"/>
  <c r="J14"/>
  <c r="I14"/>
  <c r="H14"/>
  <c r="F14"/>
  <c r="D14"/>
  <c r="B14"/>
  <c r="U13"/>
  <c r="T13"/>
  <c r="S13"/>
  <c r="R13"/>
  <c r="T12"/>
  <c r="T14"/>
  <c r="R12"/>
  <c r="R14"/>
  <c r="K14"/>
  <c r="G14"/>
  <c r="E14"/>
  <c r="E162" i="16"/>
  <c r="E145"/>
  <c r="D198"/>
  <c r="D196"/>
  <c r="D155"/>
  <c r="D146"/>
  <c r="D107"/>
  <c r="D92"/>
  <c r="D88"/>
  <c r="D87"/>
  <c r="D48"/>
  <c r="D42"/>
  <c r="D38"/>
  <c r="D31"/>
  <c r="D21"/>
  <c r="D14"/>
  <c r="E155" i="10"/>
  <c r="E154"/>
  <c r="D99"/>
  <c r="D149"/>
  <c r="D130"/>
  <c r="D117"/>
  <c r="D116"/>
  <c r="D115"/>
  <c r="D111"/>
  <c r="D102"/>
  <c r="D98"/>
  <c r="D82"/>
  <c r="D73"/>
  <c r="D57"/>
  <c r="D34"/>
  <c r="D16"/>
  <c r="D8"/>
  <c r="C33"/>
  <c r="D33"/>
  <c r="I34" i="15"/>
  <c r="C35"/>
  <c r="W27"/>
  <c r="W17"/>
  <c r="Y17"/>
  <c r="W13"/>
  <c r="U17"/>
  <c r="T15"/>
  <c r="T40"/>
  <c r="S40"/>
  <c r="R40"/>
  <c r="Q40"/>
  <c r="O40"/>
  <c r="N40"/>
  <c r="M40"/>
  <c r="L40"/>
  <c r="K40"/>
  <c r="J40"/>
  <c r="I40"/>
  <c r="H40"/>
  <c r="G40"/>
  <c r="F40"/>
  <c r="E40"/>
  <c r="D40"/>
  <c r="C40"/>
  <c r="B40"/>
  <c r="F39"/>
  <c r="E39"/>
  <c r="G38"/>
  <c r="F38"/>
  <c r="S37"/>
  <c r="R37"/>
  <c r="Q37"/>
  <c r="O37"/>
  <c r="N37"/>
  <c r="M37"/>
  <c r="L37"/>
  <c r="K37"/>
  <c r="J37"/>
  <c r="I37"/>
  <c r="H37"/>
  <c r="G37"/>
  <c r="F37"/>
  <c r="E37"/>
  <c r="D37"/>
  <c r="C37"/>
  <c r="B37"/>
  <c r="X36"/>
  <c r="X40"/>
  <c r="W36"/>
  <c r="W40"/>
  <c r="V36"/>
  <c r="V40"/>
  <c r="U36"/>
  <c r="U40"/>
  <c r="X35"/>
  <c r="W35"/>
  <c r="V35"/>
  <c r="U35"/>
  <c r="X34"/>
  <c r="W34"/>
  <c r="U34"/>
  <c r="U37"/>
  <c r="V34"/>
  <c r="S31"/>
  <c r="S39"/>
  <c r="R39"/>
  <c r="Q31"/>
  <c r="Q39"/>
  <c r="O31"/>
  <c r="N31"/>
  <c r="M31"/>
  <c r="M39"/>
  <c r="L31"/>
  <c r="L39"/>
  <c r="K31"/>
  <c r="K39"/>
  <c r="J31"/>
  <c r="J39"/>
  <c r="H31"/>
  <c r="H39"/>
  <c r="G31"/>
  <c r="G39"/>
  <c r="F31"/>
  <c r="F32"/>
  <c r="E31"/>
  <c r="D31"/>
  <c r="D39"/>
  <c r="C31"/>
  <c r="C39"/>
  <c r="B31"/>
  <c r="B39"/>
  <c r="S30"/>
  <c r="S38"/>
  <c r="Q30"/>
  <c r="Q38"/>
  <c r="Q41"/>
  <c r="M30"/>
  <c r="L30"/>
  <c r="L38"/>
  <c r="K30"/>
  <c r="K38"/>
  <c r="J30"/>
  <c r="H30"/>
  <c r="H38"/>
  <c r="E30"/>
  <c r="E38"/>
  <c r="E41"/>
  <c r="D30"/>
  <c r="D38"/>
  <c r="B30"/>
  <c r="B38"/>
  <c r="S29"/>
  <c r="Q29"/>
  <c r="O29"/>
  <c r="N29"/>
  <c r="M29"/>
  <c r="L29"/>
  <c r="K29"/>
  <c r="J29"/>
  <c r="I29"/>
  <c r="H29"/>
  <c r="G29"/>
  <c r="F29"/>
  <c r="E29"/>
  <c r="D29"/>
  <c r="C29"/>
  <c r="B29"/>
  <c r="X28"/>
  <c r="W28"/>
  <c r="W29"/>
  <c r="U28"/>
  <c r="X27"/>
  <c r="U27"/>
  <c r="Y27"/>
  <c r="R29"/>
  <c r="U24"/>
  <c r="T19"/>
  <c r="S19"/>
  <c r="R19"/>
  <c r="Q19"/>
  <c r="O19"/>
  <c r="N19"/>
  <c r="M19"/>
  <c r="L19"/>
  <c r="K19"/>
  <c r="J19"/>
  <c r="H19"/>
  <c r="G19"/>
  <c r="F19"/>
  <c r="E19"/>
  <c r="D19"/>
  <c r="C19"/>
  <c r="B19"/>
  <c r="X18"/>
  <c r="W18"/>
  <c r="V18"/>
  <c r="U18"/>
  <c r="Y18"/>
  <c r="X17"/>
  <c r="X19"/>
  <c r="I30"/>
  <c r="V17"/>
  <c r="S15"/>
  <c r="Q15"/>
  <c r="O15"/>
  <c r="N15"/>
  <c r="M15"/>
  <c r="L15"/>
  <c r="K15"/>
  <c r="J15"/>
  <c r="I15"/>
  <c r="H15"/>
  <c r="G15"/>
  <c r="F15"/>
  <c r="E15"/>
  <c r="D15"/>
  <c r="C15"/>
  <c r="B15"/>
  <c r="X14"/>
  <c r="X15"/>
  <c r="W14"/>
  <c r="V14"/>
  <c r="U14"/>
  <c r="Y14"/>
  <c r="X13"/>
  <c r="U13"/>
  <c r="C30"/>
  <c r="S35" i="19"/>
  <c r="S24"/>
  <c r="U45"/>
  <c r="U43"/>
  <c r="S45"/>
  <c r="W23"/>
  <c r="W38" i="15"/>
  <c r="I31"/>
  <c r="I39"/>
  <c r="V28"/>
  <c r="V31"/>
  <c r="N32"/>
  <c r="N39"/>
  <c r="N41"/>
  <c r="O39"/>
  <c r="O41"/>
  <c r="O32"/>
  <c r="G32"/>
  <c r="Q44" i="19"/>
  <c r="Q47"/>
  <c r="Q16" i="18"/>
  <c r="Q19" s="1"/>
  <c r="E31" i="25" s="1"/>
  <c r="Z14" i="15"/>
  <c r="W39"/>
  <c r="V12" i="19"/>
  <c r="W31" i="15"/>
  <c r="W32"/>
  <c r="W19"/>
  <c r="Y28"/>
  <c r="D41"/>
  <c r="K41"/>
  <c r="V13" i="19"/>
  <c r="S26"/>
  <c r="T28"/>
  <c r="V27"/>
  <c r="G43"/>
  <c r="V16"/>
  <c r="C34"/>
  <c r="C44"/>
  <c r="C47"/>
  <c r="C16" i="18"/>
  <c r="W39" i="19"/>
  <c r="Y39"/>
  <c r="V40"/>
  <c r="T43"/>
  <c r="W40"/>
  <c r="Y40"/>
  <c r="V42"/>
  <c r="I36"/>
  <c r="J36"/>
  <c r="F36"/>
  <c r="H36"/>
  <c r="T18"/>
  <c r="L47"/>
  <c r="L16" i="18"/>
  <c r="P47" i="19"/>
  <c r="P16" i="18"/>
  <c r="P19" s="1"/>
  <c r="H47" i="19"/>
  <c r="H16" i="18"/>
  <c r="F44" i="19"/>
  <c r="V17"/>
  <c r="B36"/>
  <c r="P36"/>
  <c r="R45"/>
  <c r="I44"/>
  <c r="I47"/>
  <c r="I16" i="18"/>
  <c r="R18" i="19"/>
  <c r="W17"/>
  <c r="D47"/>
  <c r="D16" i="18"/>
  <c r="T34" i="19"/>
  <c r="N44"/>
  <c r="T44"/>
  <c r="F47"/>
  <c r="F16" i="18"/>
  <c r="L36" i="19"/>
  <c r="J44"/>
  <c r="J47"/>
  <c r="J16" i="18"/>
  <c r="N47" i="19"/>
  <c r="N16" i="18"/>
  <c r="B44" i="19"/>
  <c r="B47"/>
  <c r="W20"/>
  <c r="V14"/>
  <c r="V20"/>
  <c r="K28"/>
  <c r="D36"/>
  <c r="E18"/>
  <c r="O34"/>
  <c r="E44"/>
  <c r="E47"/>
  <c r="E16" i="18"/>
  <c r="S12" i="19"/>
  <c r="V23"/>
  <c r="V35"/>
  <c r="S27"/>
  <c r="W27"/>
  <c r="G34"/>
  <c r="K34"/>
  <c r="S38"/>
  <c r="M14"/>
  <c r="U12"/>
  <c r="U14"/>
  <c r="M34"/>
  <c r="W13"/>
  <c r="C18"/>
  <c r="S16"/>
  <c r="U16"/>
  <c r="U18"/>
  <c r="U26"/>
  <c r="U28"/>
  <c r="R43"/>
  <c r="V38"/>
  <c r="V43"/>
  <c r="V26"/>
  <c r="R34"/>
  <c r="Y34" i="15"/>
  <c r="Z35"/>
  <c r="W37"/>
  <c r="Y40"/>
  <c r="Y35"/>
  <c r="F41"/>
  <c r="Y29"/>
  <c r="U29"/>
  <c r="X29"/>
  <c r="T30"/>
  <c r="T38"/>
  <c r="X38"/>
  <c r="X41"/>
  <c r="S41"/>
  <c r="S32"/>
  <c r="U31"/>
  <c r="U39"/>
  <c r="Y39"/>
  <c r="Y19"/>
  <c r="B41"/>
  <c r="U30"/>
  <c r="U38"/>
  <c r="C32"/>
  <c r="C38"/>
  <c r="C41"/>
  <c r="I38"/>
  <c r="I41"/>
  <c r="V19"/>
  <c r="Z17"/>
  <c r="W41"/>
  <c r="J38"/>
  <c r="J41"/>
  <c r="J32"/>
  <c r="D32"/>
  <c r="L32"/>
  <c r="V37"/>
  <c r="Z34"/>
  <c r="T37"/>
  <c r="H41"/>
  <c r="Y13"/>
  <c r="Y15"/>
  <c r="U15"/>
  <c r="U19"/>
  <c r="V13"/>
  <c r="W15"/>
  <c r="Z18"/>
  <c r="I19"/>
  <c r="V27"/>
  <c r="T29"/>
  <c r="H32"/>
  <c r="Q32"/>
  <c r="Y36"/>
  <c r="Y37"/>
  <c r="X37"/>
  <c r="L41"/>
  <c r="R15"/>
  <c r="R30"/>
  <c r="M38"/>
  <c r="M41"/>
  <c r="M32"/>
  <c r="T39"/>
  <c r="K32"/>
  <c r="Z36"/>
  <c r="Z40"/>
  <c r="G41"/>
  <c r="E32"/>
  <c r="B32"/>
  <c r="W35" i="19"/>
  <c r="W45"/>
  <c r="W24"/>
  <c r="Z31" i="15"/>
  <c r="V39"/>
  <c r="Z28"/>
  <c r="I32"/>
  <c r="V30"/>
  <c r="V32"/>
  <c r="V28" i="19"/>
  <c r="C36"/>
  <c r="T47"/>
  <c r="T41" i="15"/>
  <c r="T42"/>
  <c r="V18" i="19"/>
  <c r="R44"/>
  <c r="V44"/>
  <c r="R36"/>
  <c r="V34"/>
  <c r="O44"/>
  <c r="O47"/>
  <c r="O16" i="18"/>
  <c r="O36" i="19"/>
  <c r="M36"/>
  <c r="U34"/>
  <c r="U36"/>
  <c r="M44"/>
  <c r="S14"/>
  <c r="W12"/>
  <c r="W14"/>
  <c r="T36"/>
  <c r="S18"/>
  <c r="W16"/>
  <c r="W18"/>
  <c r="K44"/>
  <c r="K47"/>
  <c r="K16" i="18"/>
  <c r="K36" i="19"/>
  <c r="V45"/>
  <c r="W26"/>
  <c r="W28"/>
  <c r="S43"/>
  <c r="W38"/>
  <c r="W43"/>
  <c r="G44"/>
  <c r="G47"/>
  <c r="G16" i="18"/>
  <c r="G19" s="1"/>
  <c r="E21" i="25" s="1"/>
  <c r="G36" i="19"/>
  <c r="S34"/>
  <c r="S28"/>
  <c r="Z37" i="15"/>
  <c r="X43" i="19"/>
  <c r="Y43" s="1"/>
  <c r="Y31" i="15"/>
  <c r="U32"/>
  <c r="Z19"/>
  <c r="X18" i="19"/>
  <c r="Y18" s="1"/>
  <c r="Y30" i="15"/>
  <c r="R32"/>
  <c r="R38"/>
  <c r="R41"/>
  <c r="V15"/>
  <c r="Z13"/>
  <c r="Z15"/>
  <c r="X14" i="19"/>
  <c r="U41" i="15"/>
  <c r="Y38"/>
  <c r="Y41"/>
  <c r="V29"/>
  <c r="Z27"/>
  <c r="Z29"/>
  <c r="X28" i="19"/>
  <c r="Y28" s="1"/>
  <c r="Z39" i="15"/>
  <c r="Z21"/>
  <c r="T32"/>
  <c r="X24" i="19"/>
  <c r="Y24" s="1"/>
  <c r="Y32" i="15"/>
  <c r="Y14" i="19"/>
  <c r="V36"/>
  <c r="R47"/>
  <c r="S36"/>
  <c r="W34"/>
  <c r="W36"/>
  <c r="S44"/>
  <c r="M47"/>
  <c r="M16" i="18"/>
  <c r="M19" s="1"/>
  <c r="E29" i="25" s="1"/>
  <c r="U44" i="19"/>
  <c r="U47"/>
  <c r="V47"/>
  <c r="Z30" i="15"/>
  <c r="Z32"/>
  <c r="V38"/>
  <c r="V41"/>
  <c r="W16" i="18"/>
  <c r="W44" i="19"/>
  <c r="W47"/>
  <c r="S47"/>
  <c r="Z38" i="15"/>
  <c r="Z41"/>
  <c r="Z43"/>
  <c r="X47" i="19"/>
  <c r="Y47" s="1"/>
  <c r="Z45" i="15"/>
  <c r="O10" i="26"/>
  <c r="C32" i="16"/>
  <c r="D32"/>
  <c r="C219"/>
  <c r="D219"/>
  <c r="C84"/>
  <c r="D84"/>
  <c r="C218"/>
  <c r="D218"/>
  <c r="C83"/>
  <c r="D83"/>
  <c r="C215"/>
  <c r="C82"/>
  <c r="D82"/>
  <c r="C214"/>
  <c r="D214"/>
  <c r="C81"/>
  <c r="D81"/>
  <c r="C213"/>
  <c r="C80"/>
  <c r="D80"/>
  <c r="C79"/>
  <c r="D79"/>
  <c r="C199"/>
  <c r="D199"/>
  <c r="C78"/>
  <c r="D78"/>
  <c r="C197"/>
  <c r="D197"/>
  <c r="C77"/>
  <c r="D77"/>
  <c r="C28"/>
  <c r="C25"/>
  <c r="D25"/>
  <c r="C8"/>
  <c r="D8"/>
  <c r="C43"/>
  <c r="D43"/>
  <c r="B169"/>
  <c r="D187"/>
  <c r="B110"/>
  <c r="D109"/>
  <c r="C15"/>
  <c r="D15"/>
  <c r="C99"/>
  <c r="D99"/>
  <c r="C70"/>
  <c r="D70"/>
  <c r="C11"/>
  <c r="D11"/>
  <c r="C63"/>
  <c r="D63"/>
  <c r="C127"/>
  <c r="C51"/>
  <c r="B50"/>
  <c r="C230"/>
  <c r="N18" i="18"/>
  <c r="V18" s="1"/>
  <c r="D213" i="16"/>
  <c r="C140"/>
  <c r="H18" i="18"/>
  <c r="H19" s="1"/>
  <c r="D127" i="16"/>
  <c r="D22"/>
  <c r="C39"/>
  <c r="D18" i="18"/>
  <c r="D19" s="1"/>
  <c r="D28" i="16"/>
  <c r="D39"/>
  <c r="E18" i="18"/>
  <c r="E19" s="1"/>
  <c r="E20" i="25" s="1"/>
  <c r="C210" i="16"/>
  <c r="L18" i="18"/>
  <c r="D210" i="16"/>
  <c r="M18" i="18"/>
  <c r="C22" i="16"/>
  <c r="B18" i="18"/>
  <c r="C49" i="16"/>
  <c r="D49"/>
  <c r="C18" i="18"/>
  <c r="D124" i="16"/>
  <c r="D140"/>
  <c r="I18" i="18"/>
  <c r="I19" s="1"/>
  <c r="E22" i="25" s="1"/>
  <c r="D230" i="16"/>
  <c r="C187"/>
  <c r="J18" i="18"/>
  <c r="J19" s="1"/>
  <c r="C124" i="16"/>
  <c r="F18" i="18"/>
  <c r="F19" s="1"/>
  <c r="N30" i="26"/>
  <c r="M30"/>
  <c r="L30"/>
  <c r="J30"/>
  <c r="I30"/>
  <c r="H30"/>
  <c r="G30"/>
  <c r="F30"/>
  <c r="E30"/>
  <c r="D30"/>
  <c r="C30"/>
  <c r="O29"/>
  <c r="O28"/>
  <c r="O27"/>
  <c r="O26"/>
  <c r="O25"/>
  <c r="O24"/>
  <c r="O23"/>
  <c r="O22"/>
  <c r="O21"/>
  <c r="N18"/>
  <c r="M18"/>
  <c r="L18"/>
  <c r="K18"/>
  <c r="J18"/>
  <c r="I18"/>
  <c r="H18"/>
  <c r="G18"/>
  <c r="F18"/>
  <c r="E18"/>
  <c r="D18"/>
  <c r="C18"/>
  <c r="O17"/>
  <c r="O16"/>
  <c r="O15"/>
  <c r="O14"/>
  <c r="O13"/>
  <c r="O12"/>
  <c r="O11"/>
  <c r="G18" i="18"/>
  <c r="D242" i="16"/>
  <c r="O18" i="18"/>
  <c r="O19" s="1"/>
  <c r="E30" i="25" s="1"/>
  <c r="E187" i="16"/>
  <c r="K18" i="18"/>
  <c r="I31" i="26"/>
  <c r="L31"/>
  <c r="M31"/>
  <c r="E31"/>
  <c r="N31"/>
  <c r="G31"/>
  <c r="C31"/>
  <c r="C242" i="16"/>
  <c r="F31" i="26"/>
  <c r="J31"/>
  <c r="D31"/>
  <c r="H31"/>
  <c r="O18"/>
  <c r="O30"/>
  <c r="K30"/>
  <c r="K31"/>
  <c r="U18" i="18"/>
  <c r="O31" i="26"/>
  <c r="C182" i="10"/>
  <c r="R18" i="18"/>
  <c r="R19" s="1"/>
  <c r="B161" i="10"/>
  <c r="B135"/>
  <c r="C131"/>
  <c r="D131"/>
  <c r="C121"/>
  <c r="D121"/>
  <c r="C62"/>
  <c r="D62"/>
  <c r="C58"/>
  <c r="D58"/>
  <c r="C44"/>
  <c r="D44"/>
  <c r="C36"/>
  <c r="D36"/>
  <c r="C20"/>
  <c r="B18"/>
  <c r="C9"/>
  <c r="D9"/>
  <c r="D134"/>
  <c r="C152"/>
  <c r="D152"/>
  <c r="C69"/>
  <c r="C153"/>
  <c r="C185"/>
  <c r="C243" i="16"/>
  <c r="D69" i="10"/>
  <c r="D153"/>
  <c r="D185"/>
  <c r="E153"/>
  <c r="D243" i="16"/>
  <c r="F36" i="25" l="1"/>
  <c r="U16" i="18"/>
  <c r="N19"/>
  <c r="D11" i="25"/>
  <c r="D24" s="1"/>
  <c r="K19" i="18"/>
  <c r="E23" i="25" s="1"/>
  <c r="L19" i="18"/>
  <c r="Z47" i="15"/>
  <c r="C19" i="18"/>
  <c r="E19" i="25" s="1"/>
  <c r="V16" i="18"/>
  <c r="V19" s="1"/>
  <c r="T16"/>
  <c r="X16" s="1"/>
  <c r="X19" s="1"/>
  <c r="Y16"/>
  <c r="U19"/>
  <c r="D33" i="25"/>
  <c r="D37" s="1"/>
  <c r="E24"/>
  <c r="F24" s="1"/>
  <c r="E32"/>
  <c r="F32" s="1"/>
  <c r="W18" i="18"/>
  <c r="Y18" s="1"/>
  <c r="D186" i="10" s="1"/>
  <c r="E189" s="1"/>
  <c r="T18" i="18"/>
  <c r="X18" s="1"/>
  <c r="C32" i="29"/>
  <c r="C74" s="1"/>
  <c r="T19" i="18" l="1"/>
  <c r="F33" i="25"/>
  <c r="F37" s="1"/>
  <c r="E33"/>
  <c r="E37" s="1"/>
  <c r="Y19" i="18"/>
  <c r="W19"/>
</calcChain>
</file>

<file path=xl/sharedStrings.xml><?xml version="1.0" encoding="utf-8"?>
<sst xmlns="http://schemas.openxmlformats.org/spreadsheetml/2006/main" count="1465" uniqueCount="490">
  <si>
    <t>Adatok Ft-ban</t>
  </si>
  <si>
    <t>B8.</t>
  </si>
  <si>
    <t>Működési célú átvett pénzeszközök</t>
  </si>
  <si>
    <t>Felhalmozási célú átvett pénzeszközök</t>
  </si>
  <si>
    <t>Finanszírozási bevételek</t>
  </si>
  <si>
    <t>Személyi juttatások</t>
  </si>
  <si>
    <t>Munkaadót terhelő járulékok és szociális hozzájárulási adó</t>
  </si>
  <si>
    <t>Dologi kiadások</t>
  </si>
  <si>
    <t>Egyéb működési célú kiadások</t>
  </si>
  <si>
    <t>Felújítások</t>
  </si>
  <si>
    <t>Beruházások</t>
  </si>
  <si>
    <t>Egyéb felhalmozási célú kiadások</t>
  </si>
  <si>
    <t>Megnevezés</t>
  </si>
  <si>
    <t>Bevételek összesen</t>
  </si>
  <si>
    <t>Kiadások összesen</t>
  </si>
  <si>
    <t>Madarász Imre Egyesített Óvoda</t>
  </si>
  <si>
    <t>Ellátottak pénzbeli juttatásai</t>
  </si>
  <si>
    <t>ebből: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</si>
  <si>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</si>
  <si>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</si>
  <si>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</si>
  <si>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</si>
  <si>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</si>
  <si>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</si>
  <si>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</si>
  <si>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 xml:space="preserve">B8.  </t>
  </si>
  <si>
    <t xml:space="preserve">B1-B8.  </t>
  </si>
  <si>
    <t>Közhatalmi bevételek</t>
  </si>
  <si>
    <t>Működési bevételek</t>
  </si>
  <si>
    <t>Felhalmozási bevételek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</si>
  <si>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</si>
  <si>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</si>
  <si>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</si>
  <si>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</si>
  <si>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</si>
  <si>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</si>
  <si>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</si>
  <si>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</si>
  <si>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>Finanszírozási kiadások</t>
  </si>
  <si>
    <t>Működési célú</t>
  </si>
  <si>
    <t>Felhalmozási célú</t>
  </si>
  <si>
    <t>Kötelező feladat</t>
  </si>
  <si>
    <t>Városi közvilágítás</t>
  </si>
  <si>
    <t>Építési és településfejlesztési feladatok</t>
  </si>
  <si>
    <t>Polgárvédelem</t>
  </si>
  <si>
    <t>Közbiztonsági feladatok</t>
  </si>
  <si>
    <t xml:space="preserve">Mezőgazdaság és környezetvédelem </t>
  </si>
  <si>
    <t>Környezetvédelmi alap</t>
  </si>
  <si>
    <t>Egészségügyi feladatok</t>
  </si>
  <si>
    <t>Karcagi Többcélú Kistérségi Társulás részére támogatás (állami hozzájárulás összege) működtetéséhez</t>
  </si>
  <si>
    <t>Rendszerfüggő elemek bérleti díjának elkülönítése vizkiközmű feljesztés finanszírozására</t>
  </si>
  <si>
    <t>Egyéb szociális ellátás</t>
  </si>
  <si>
    <t xml:space="preserve">ebből: </t>
  </si>
  <si>
    <t>Önkormányzat választott tisztségviselői</t>
  </si>
  <si>
    <t>Polgármester és főállású alpolgármester illeménye, költségtérítése</t>
  </si>
  <si>
    <t>Önkormányzati működéshez kapcsolódó egyéb településüzemeltetési kiadások</t>
  </si>
  <si>
    <t>Vagyonbiztosítás díja</t>
  </si>
  <si>
    <t>Áramdíjak</t>
  </si>
  <si>
    <t>Kötelező feladatok összesen:</t>
  </si>
  <si>
    <t>Önként vállalt feladat</t>
  </si>
  <si>
    <t xml:space="preserve">Ifjúságpolitikai feladatok </t>
  </si>
  <si>
    <t>Tehetséges és szociálisan hátrányos helyzetű tanulók ösztöndíja</t>
  </si>
  <si>
    <t>Székelykeresztúrért Alapítvány támogatása 149/2005. (IV.26.) kt.sz.határozat alapján</t>
  </si>
  <si>
    <t xml:space="preserve">Tagdíjak, támogatások </t>
  </si>
  <si>
    <t>Világ Királynője Engesztelő Mozgalom tagságára 200/2013. (IX.26.) kt.sz.határozat</t>
  </si>
  <si>
    <t xml:space="preserve">Kunszövetség tagdíj </t>
  </si>
  <si>
    <t>Önkormányzat választott tisztségviselői és külső bizottsági tagjai</t>
  </si>
  <si>
    <t>Társadalmi megbízatású alpolgámester tiszteletdíja, költségtérítése</t>
  </si>
  <si>
    <t>Képviselők és külső bizottsági tagok tiszteletdíja</t>
  </si>
  <si>
    <t>Gépjármű biztosítás (kötelező, casco)</t>
  </si>
  <si>
    <t>Cégautóadó</t>
  </si>
  <si>
    <t>Könyvvizsgálat</t>
  </si>
  <si>
    <t>Polgármesteri keret</t>
  </si>
  <si>
    <t>Önként vállalt feladatok összesen:</t>
  </si>
  <si>
    <t>Ö s s z e s e n:</t>
  </si>
  <si>
    <t>Önkormányzat irányítása alá tartozó költségvetési szervek támogatása</t>
  </si>
  <si>
    <t>Finanszírozási kiadás</t>
  </si>
  <si>
    <t>M i n d ö s s z e s e n:</t>
  </si>
  <si>
    <t>Helyi autóbusz közlekedés közszolgáltatás támogatása</t>
  </si>
  <si>
    <t>Tüdőszűrés</t>
  </si>
  <si>
    <t>Akácliget fürdő üzemeltetési támogatás</t>
  </si>
  <si>
    <t>közköltséges temetés</t>
  </si>
  <si>
    <t>Tilalmasi ivóvíz biztosítása</t>
  </si>
  <si>
    <t>Városi Önkormányzat Városgondnokságától átvett, hullakékgazdálkodás bevételéből rekultivációs célra elkülönített összeg és kamatai (céltartalék)</t>
  </si>
  <si>
    <t>Általános tartalék</t>
  </si>
  <si>
    <t>Céltartalék:</t>
  </si>
  <si>
    <t>Rekultivációs célú elkülönítés hulladéklerakó üzemeltetés miatt</t>
  </si>
  <si>
    <t>Főtéri internet szolgáltatás díja</t>
  </si>
  <si>
    <t>Földgáz energia megtakarítástól függő díjazása</t>
  </si>
  <si>
    <t>Városháza lift karbantartás</t>
  </si>
  <si>
    <t>Folyószámlák költségei, postautalványok, postai közreműködési díj</t>
  </si>
  <si>
    <t>Vizdíjak, közkifolyók</t>
  </si>
  <si>
    <t>Önkormányzati reprezentációs és ajándékozási kiadások, kiemelt városi események, nemzeti ünnepek</t>
  </si>
  <si>
    <t>Nemzetközi kapcsolatok</t>
  </si>
  <si>
    <t>Kötelező feladatok</t>
  </si>
  <si>
    <t>Költségvetési szerv megnevezése</t>
  </si>
  <si>
    <t>Előző évi maradvány igénybevétele</t>
  </si>
  <si>
    <t>Irányító szervi támogatás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</si>
  <si>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</si>
  <si>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</si>
  <si>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</si>
  <si>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</si>
  <si>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Városi Önkormányzat Városgondnoksága összesen:</t>
  </si>
  <si>
    <t>Győrffy István Nagykun Múzeum</t>
  </si>
  <si>
    <t>Győrffy István Nagykun Múzeum összesen:</t>
  </si>
  <si>
    <t xml:space="preserve">Városi Önkormányzat Városgondnoksága és a hozzá tartozó költségvetési szervek kötelező feladatai összesen: </t>
  </si>
  <si>
    <t xml:space="preserve">Városi Önkormányzat Városgondnoksága és a hozzá tartozó költségvetési szervek önként vállalt feladatai összesen: </t>
  </si>
  <si>
    <t xml:space="preserve">Városi Önkormányzat Városgondnoksága és a hozzá tartozó költségvetési szervek összesen: </t>
  </si>
  <si>
    <t xml:space="preserve">Karcagi Polgármesteri Hivatal </t>
  </si>
  <si>
    <t>Államigazgatási feladat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</si>
  <si>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</si>
  <si>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</si>
  <si>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</si>
  <si>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</si>
  <si>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</si>
  <si>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 xml:space="preserve">K1-K8.  </t>
  </si>
  <si>
    <t>Déryné Kulturális,Turisztikai,Sport Központ és Könyvtár</t>
  </si>
  <si>
    <t xml:space="preserve">                 </t>
  </si>
  <si>
    <t xml:space="preserve">K9.  </t>
  </si>
  <si>
    <t>Költségvetési szervek kiadásai</t>
  </si>
  <si>
    <t>Önkormányzat kiadása költségvetési szervek támogatása nélkül</t>
  </si>
  <si>
    <t>Ö S S Z E S E N :</t>
  </si>
  <si>
    <t>Kötelező feladat, önként vállalt, államigazgatási feladatok</t>
  </si>
  <si>
    <t>Kötelező, önként vállalt feladat</t>
  </si>
  <si>
    <t xml:space="preserve">                       M e g n e v e z é s</t>
  </si>
  <si>
    <t>Karcagi Többcélú Kistérségi Társulás részére kiegészítő támogatás a karcagi székhellyel, telephellyel rendelkező intézmények működtetéséhez</t>
  </si>
  <si>
    <t xml:space="preserve">Önként vállalt feladatok </t>
  </si>
  <si>
    <t xml:space="preserve">Nagykun Víz- és Csatornamű Kft. </t>
  </si>
  <si>
    <t>Továbbszámlázott működési kiadások</t>
  </si>
  <si>
    <t>Közvilágítás karbantartás, javítás</t>
  </si>
  <si>
    <t>Közvilágítás karbantartás, javítás, bővítés</t>
  </si>
  <si>
    <t>Választókörzetek településüzemeltetési és telpülésfejlesztési kiadásai</t>
  </si>
  <si>
    <t xml:space="preserve">Rágcsálóirtás (Északi és Déli külváros, városközpont) </t>
  </si>
  <si>
    <t>Nagykun Hagyományőrző Társulás tagdíja 231/1998. (VI.30.) kt. sz. határozat alapján</t>
  </si>
  <si>
    <t>Alföld Szíve Turisztikai egyesület tagdíja</t>
  </si>
  <si>
    <t>276/2013.(XI.27.)"kt."sz határozat alapján az "Alföld Szíve" Térségi Turisztikai Egyesület részére a Jász-Kun Kapitányok nyomában tematikus útvonal támogatása</t>
  </si>
  <si>
    <t xml:space="preserve">Kun Összefogás Konzorcium tagdíja </t>
  </si>
  <si>
    <t>Arany János ösztöndíj 291/2012. (XI.29.) kt. sz.  határozat alapján</t>
  </si>
  <si>
    <t xml:space="preserve">Karcag Városi Önkormányzat által adományozható kitüntetésekhez járó pénzdíj </t>
  </si>
  <si>
    <t>Emlékplakettek, díjak, oklevelek</t>
  </si>
  <si>
    <t>Kulturális és közművelődési feladatok</t>
  </si>
  <si>
    <t>2016-2017. évre vonatkozó általános forgalmi adó befizetési kötelezettség</t>
  </si>
  <si>
    <t xml:space="preserve">Ingatlanok értékbecslése </t>
  </si>
  <si>
    <t>Egyéb működési kiadások</t>
  </si>
  <si>
    <t>Hatósági kényszerintézkedések, utcanévtáblák elhelyezése, szakhatósági díjak, egyéb építési és településfejlesztési feladatok</t>
  </si>
  <si>
    <t>Tilamasi ivóvíz ellátási rendszer tervezése I. ütem</t>
  </si>
  <si>
    <t>A Karcag Városi Önkormányzat 2018. évi költségvetési tervezett bevételi főösszegén belül 
a költségvetési szervek bevételei kiemelt előirányzatonkénti bontásban</t>
  </si>
  <si>
    <t>A Karcag Városi Önkormányzat 2018. évi tervezett költségvetési kiadás főösszege kiemelt előirányzatonkénti bontásban</t>
  </si>
  <si>
    <t>Eredeti előirányzat</t>
  </si>
  <si>
    <t>Módosított előirányzat</t>
  </si>
  <si>
    <t>Településkép Arculati Kézikönyv</t>
  </si>
  <si>
    <t xml:space="preserve">KÖFOP-1.2.1-VEKOP-16 Csatlakozási konstrukció az önkormányzati ASP rendszer országos kiépítéséhez 
</t>
  </si>
  <si>
    <t xml:space="preserve">A 2015. évi Milánói Világkiállítás magyar pavilonjának elhelyezése Karcag Városában, a 1130/2017. (III.20.) Korm.határozat alapján kapott támogatás
</t>
  </si>
  <si>
    <t>Muzeális intézmányek szakmai támogatása pályázathoz önerő</t>
  </si>
  <si>
    <t>Közművelődési érdekeltségnövelő pályázathoz önerő</t>
  </si>
  <si>
    <t>Egyéb kiadások</t>
  </si>
  <si>
    <t xml:space="preserve">A Karcag Városi Önkormányzat 2018. évi tervezett költségvetés kiadási főösszegén belül az önkormányzat kiadásai feladatonként, kiemelt előirányzatonkénti bontásban </t>
  </si>
  <si>
    <t>A Karcag Városi Önkormányzat 2018. évi tervezett költségvetési kiadási főösszegén belül 
a költségvetési szervek kiadásai kiemelt előirányzatonkénti bontásban</t>
  </si>
  <si>
    <t>Talajterhelési díj elkülönítése környezetvédelmi alapként</t>
  </si>
  <si>
    <t>Karcagi Többcélú Kistérségi Tárulás 2018. évi tagdíja</t>
  </si>
  <si>
    <t xml:space="preserve">Lakossági szennyvíz rákötések és új gerincvezeték támogatása  </t>
  </si>
  <si>
    <t xml:space="preserve">Karcagi „Erőforrás” Kft. részére üzemeltetésre
(Laktanya ingatlan)  39/2015. (II.26.) "kt." sz. határozat alapján </t>
  </si>
  <si>
    <t>2017. évről áthúzódó kötelezettség</t>
  </si>
  <si>
    <t>2018. évi kötelezettség</t>
  </si>
  <si>
    <t>Orvosi ösztöndíjrendszer és lakhatási támogatás biztosítása</t>
  </si>
  <si>
    <t>TRT módosítás és vázrajz készítés folyamatban lévő ügyekben</t>
  </si>
  <si>
    <t>Főépítészi tevékenyég</t>
  </si>
  <si>
    <t>Orvosi ügyelet ellátására kiegészítés 319/2017. (XII.14.) kt. sz. határozat alapján</t>
  </si>
  <si>
    <t>Karcag Városi TV-vel együttműködési szerződés hirdetésre, lakosság tájékoztatására</t>
  </si>
  <si>
    <t>Karcagi Sport Egyesület 2018. évi működési támogatása</t>
  </si>
  <si>
    <t>2017. decemberi áfa befizetés</t>
  </si>
  <si>
    <t>2018. évi áfa</t>
  </si>
  <si>
    <t xml:space="preserve">Közhírelés </t>
  </si>
  <si>
    <t>Bursa Hungarica Felsőoktatási Önkormányzati Ösztöndíj pályázat  234/2017. (IX.27.) kt. sz. határozat alapján</t>
  </si>
  <si>
    <t>Tisza-menti LEADER Közhasznú Egyesület tagdíja</t>
  </si>
  <si>
    <t xml:space="preserve">Karcagi civil szervezetek támogatása 286/2017. (XI.29.) „kt.” sz. határozat alapján
</t>
  </si>
  <si>
    <t>Települési támogatások a 7/2015. (II.27.) önkormányzati rendelet alapján</t>
  </si>
  <si>
    <t>lakhatási támogatás rendszeres</t>
  </si>
  <si>
    <t>gyógyszertámogatás rendszeres</t>
  </si>
  <si>
    <t>rendkívüli települési támogatás (természetbeni: tüzelő, élelmiszer, gyógyszer)</t>
  </si>
  <si>
    <t>rendkívüli települési támogatás (pénzbeni: temetés és egyéb rendkívüli támogatás)</t>
  </si>
  <si>
    <t>Gépkocsi üzemeltetés</t>
  </si>
  <si>
    <r>
      <t xml:space="preserve">Munkáltatói lakáscélú támogatás </t>
    </r>
    <r>
      <rPr>
        <sz val="14"/>
        <rFont val="Times New Roman"/>
        <family val="1"/>
        <charset val="238"/>
      </rPr>
      <t>(2017.12.31. egyenleg, céllal kötött maradvány Önkormányzat és VG)</t>
    </r>
  </si>
  <si>
    <t>2018. évi bérleti díj elkülönítése</t>
  </si>
  <si>
    <t>2013-2017.években befolyt, viziközmű fejlesztés céljára fel nem használt összeg</t>
  </si>
  <si>
    <r>
      <t xml:space="preserve">2018. évi támogatás megelőlegezés </t>
    </r>
    <r>
      <rPr>
        <sz val="14"/>
        <rFont val="Times New Roman"/>
        <family val="1"/>
        <charset val="238"/>
      </rPr>
      <t>(2017. évről áthozott)</t>
    </r>
  </si>
  <si>
    <t>Kamerarendszer üzemeltetése</t>
  </si>
  <si>
    <t>Kamerarendszer bővítése 17 db kameraállomással</t>
  </si>
  <si>
    <t>KEHOP-3.2.1-15-2017-00023 Komplex hulladékgazdálkódási rendszer fejlesztése Karcag Város, valamint a Tisza-Tó térségében, különös tekintettel az elkülönített hulladékgyűjtési, szállítási és előkezelő redszerre</t>
  </si>
  <si>
    <t>TOP-3.1.1-15-JN1-2016-00021 Kerékpárút hálózat kiépítése Karcagon</t>
  </si>
  <si>
    <t xml:space="preserve">TOP- 5.1.2-15-JN1-2016-00005 Helyi foglalkoztatási együttműködések megvalósítása a Karcagi Járásban 
</t>
  </si>
  <si>
    <t xml:space="preserve">TOP- 5.1.2-15-JN1-2016-00005 Helyi foglalkoztatási együttműködések megvalósítása a Karcagi Járásban </t>
  </si>
  <si>
    <t>TOP-3.2.1-15-JN1-2016-00024  Városháza, Déryné energetikai fejlesztése</t>
  </si>
  <si>
    <t>TOP-1.2.1-15-JN1-2016-00005 Karcagi turisztikai attrakciók fejlesztése</t>
  </si>
  <si>
    <t>TOP-2.1.2-15-JN1-2016-00011 Karcag zöldfelületeinek fejlesztése</t>
  </si>
  <si>
    <t xml:space="preserve">TOP-1.4.1-15-JN1-2016-00016 Zöldfa úti Óvoda korszerűsítése </t>
  </si>
  <si>
    <t>TOP-3.2.1-16-JN1-2017-00002 Idősek Otthona energetikai felújítása</t>
  </si>
  <si>
    <t>Erdővédelmi költségek</t>
  </si>
  <si>
    <t xml:space="preserve">Adatok  Ft-ban </t>
  </si>
  <si>
    <r>
      <t>A Karcag Városi Önkormányzat 2018.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</si>
  <si>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>"Babacsomag" minden karcagon lakhellyel rendelkező újszülött részére 20.000,- Ft/fő</t>
  </si>
  <si>
    <t>Adatok ezer Ft-ban</t>
  </si>
  <si>
    <t>14. sz. melléklet a Karcag Városi Önkormányzat Képviselő-testületének …/2016. (………) önkormányzati rendeletéhez</t>
  </si>
  <si>
    <t>mérlegszerű kimutatása</t>
  </si>
  <si>
    <t>Adatok  Ft-ban</t>
  </si>
  <si>
    <t>Rovat száma</t>
  </si>
  <si>
    <t>Összesen</t>
  </si>
  <si>
    <t>Egyenleg (- hiány, + többlet)</t>
  </si>
  <si>
    <t xml:space="preserve">Bevétel </t>
  </si>
  <si>
    <t>Kiadás</t>
  </si>
  <si>
    <t>I. Működés</t>
  </si>
  <si>
    <t>B1.</t>
  </si>
  <si>
    <t>Működési célú támogatások államháztartáson belülről</t>
  </si>
  <si>
    <t>Önkormányzat költségvetési támogatása</t>
  </si>
  <si>
    <t>Egyéb működési célú támogatások államháztartáson belülről</t>
  </si>
  <si>
    <t>Elvonások és befizetések</t>
  </si>
  <si>
    <t>B3.</t>
  </si>
  <si>
    <t>Közhatalmi bevétel</t>
  </si>
  <si>
    <t>B4.</t>
  </si>
  <si>
    <t>Működési bevétel</t>
  </si>
  <si>
    <t>B6.</t>
  </si>
  <si>
    <t>K1.</t>
  </si>
  <si>
    <t>K2.</t>
  </si>
  <si>
    <t>K3.</t>
  </si>
  <si>
    <t>K4.</t>
  </si>
  <si>
    <t>Ellátottak pénzbeli juttatása</t>
  </si>
  <si>
    <t>K5.</t>
  </si>
  <si>
    <t>Működés összesen</t>
  </si>
  <si>
    <t>II. Felhalmozás</t>
  </si>
  <si>
    <t>B2.</t>
  </si>
  <si>
    <t>Felhalmozási célú támogatások államháztartáson belülről</t>
  </si>
  <si>
    <t>B5.</t>
  </si>
  <si>
    <t>B7.</t>
  </si>
  <si>
    <t>K6.</t>
  </si>
  <si>
    <t>K7.</t>
  </si>
  <si>
    <t>K8.</t>
  </si>
  <si>
    <t>Egyéb felhalmozási kiadások</t>
  </si>
  <si>
    <t>Felhalmozás összesen:</t>
  </si>
  <si>
    <t>Költségvetési bevételek és kiadások egyenlege finanszírozási műveletek nélkül</t>
  </si>
  <si>
    <t>K9.</t>
  </si>
  <si>
    <t>Finanszírozási műveletek egyenlege</t>
  </si>
  <si>
    <t>Költségvetés egyenlege finanszírozási bevételekkel és kiadásokkal együtt</t>
  </si>
  <si>
    <t xml:space="preserve">A Karcag Városi Önkormányzat 2018. évi működési és felhalmozási bevételeinek és kiadásainak </t>
  </si>
  <si>
    <t>Rovat-szám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</si>
  <si>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</si>
  <si>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</si>
  <si>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</si>
  <si>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</si>
  <si>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</si>
  <si>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</si>
  <si>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</si>
  <si>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</si>
  <si>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</si>
  <si>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</si>
  <si>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</si>
  <si>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</si>
  <si>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</si>
  <si>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Bevételek összesen:</t>
  </si>
  <si>
    <t>Kiadások</t>
  </si>
  <si>
    <t>Ellátottak pénzbeli  juttatásai</t>
  </si>
  <si>
    <t>Kiadások összesen:</t>
  </si>
  <si>
    <t>Egyenleg</t>
  </si>
  <si>
    <t>Karcag Városi Önkormányzat 2018. évi előirányzat-felhasználási ütemterve</t>
  </si>
  <si>
    <t>SZEMÉLYI JUTTATÁSOK</t>
  </si>
  <si>
    <t>MUNKAADÓT TERHELŐ JÁRULÉKOK</t>
  </si>
  <si>
    <t>DOLOGI KIADÁSOK</t>
  </si>
  <si>
    <t>BERUHÁZÁSOK</t>
  </si>
  <si>
    <t>EGYÉB MŰKÖDÉSI CÉLÚ KIADÁSOK</t>
  </si>
  <si>
    <t>ELLÁTOTTAK JUTTATÁSAI</t>
  </si>
  <si>
    <t xml:space="preserve">A 2015. évi Milánói Világkiállítás magyar pavilonjának elhelyezése Karcag Városában, a 1130/2017. (III.20.) Korm.határozat alapján
</t>
  </si>
  <si>
    <t xml:space="preserve">A 2015. évi Milánói Világkiállítás magyar pavilonjának elhelyezése Karcag Városában, a 1130/2017. (III.20.) Korm.határozat alapján 
</t>
  </si>
  <si>
    <t>FELÚJÍTÁSOK</t>
  </si>
  <si>
    <t>Muzeális intézmények szakmai támogatása pályázathoz önerő</t>
  </si>
  <si>
    <t>Választókörzetek településüzemeltetési és településfejlesztési kiadásai</t>
  </si>
  <si>
    <t>FINANSZÍROZÁSI KIADÁSOK</t>
  </si>
  <si>
    <t>SZEMÉLYI JUTTATÁSOK ÖSSZESEN:</t>
  </si>
  <si>
    <t>MUNKAADÓT TERHELŐ JÁRULÉKOK ÖSSZESEN:</t>
  </si>
  <si>
    <t>DOLOGI KIADÁSOK ÖSSZESEN:</t>
  </si>
  <si>
    <t>ELLÁTOTTAK JUTTATÁSAI ÖSSZESEN:</t>
  </si>
  <si>
    <t>BERUHÁZÁSOK ÖSSZESEN:</t>
  </si>
  <si>
    <t>FELÚJÍTÁSOK ÖSSZESEN:</t>
  </si>
  <si>
    <t>2018. évi támogatás megelőlegezés (2017. évről áthozott)</t>
  </si>
  <si>
    <t>M I N D Ö S S Z E S E N:</t>
  </si>
  <si>
    <t>1/2. oldal</t>
  </si>
  <si>
    <t>2/2. oldal</t>
  </si>
  <si>
    <t>A Karcag Városi önkormányzat 2018. évi költségvetési tervezett  bevételi főösszegén belül                                                                                                                                                                                                       a költségvetési szervek bevételei kiemelt előirányzatonkénti bontásban</t>
  </si>
  <si>
    <t xml:space="preserve">K1-K9.  </t>
  </si>
  <si>
    <t>FINANSZÍROZÁSI KIADÁSOK ÖSSZESEN:</t>
  </si>
  <si>
    <t>A Karcag Városi Önkormányzat és intézményei 2018. évi költségvetés tervezett bevételi főösszege 
kiemelt előirányzatonkénti bontásban</t>
  </si>
  <si>
    <t xml:space="preserve"> </t>
  </si>
  <si>
    <t>Kiemelt előirányzat megnevezése</t>
  </si>
  <si>
    <t>Eredeti 
előirányzat</t>
  </si>
  <si>
    <t>Módosított
előirányzat</t>
  </si>
  <si>
    <t>B1. Működési célú támogatások államháztartáson belülről</t>
  </si>
  <si>
    <t xml:space="preserve">   1. Helyi önkormányzatok működésének támogatása</t>
  </si>
  <si>
    <t xml:space="preserve">   1.1. Települési önkormányzatok működésének támogatása beszámítás után</t>
  </si>
  <si>
    <t xml:space="preserve">    1.1.1.    Önkormányzati hivatal működésének támogatása </t>
  </si>
  <si>
    <t xml:space="preserve">    1.1.2.    A zöldterület-gazdálkodással kapcsolatos feladatok ellátásának támogatása</t>
  </si>
  <si>
    <t xml:space="preserve">                 Beszámítás után</t>
  </si>
  <si>
    <t xml:space="preserve">    1.1.3.    Közvilágítás fenntartásának támogatása</t>
  </si>
  <si>
    <t xml:space="preserve">    1.1.4.    Köztemető fenntartással kapcsolatos feladatok támogatása</t>
  </si>
  <si>
    <t xml:space="preserve">    1.1.5.    Közutak fenntartásának támogatása</t>
  </si>
  <si>
    <t xml:space="preserve">    1.1.6.    Egyéb önkormányzati feladatok támogatása</t>
  </si>
  <si>
    <t xml:space="preserve">    1.1.7.    Lakott külterülettel kapcsoltos feladatok támogatása</t>
  </si>
  <si>
    <t xml:space="preserve">    1.1.8.    Üdülőhelyi feladatok támogatása</t>
  </si>
  <si>
    <t xml:space="preserve">    Beszámítás összesen</t>
  </si>
  <si>
    <t xml:space="preserve">    1.1.9.    A 2017. évről áthúzódó bérkompenzáció támogatása</t>
  </si>
  <si>
    <t xml:space="preserve">      1.1.1-1.1.9.  Települési önkormányzatok működésének támogatása beszámítás után</t>
  </si>
  <si>
    <t xml:space="preserve">    1.1.10.   Polgármesteri illetmény támogatása</t>
  </si>
  <si>
    <t xml:space="preserve">      1.1.  Helyi önkormányzatok működésének általános támogatása összesen</t>
  </si>
  <si>
    <t xml:space="preserve">      1.2. Települési önkormányzatok egyes köznevelési feladatainak támogatása</t>
  </si>
  <si>
    <t xml:space="preserve">    1.2.1.  Óvodapedagógusok, és az óvodapedagógusok nevelő munkáját közvetlenül </t>
  </si>
  <si>
    <t xml:space="preserve">               segítők bértámogatása</t>
  </si>
  <si>
    <t xml:space="preserve">    1.2.2.  Óvodaműködtetési támogatás</t>
  </si>
  <si>
    <t xml:space="preserve">    1.2.3.  Kiegészítő támogatás az óvodapedagógusok minősítéséből adódó </t>
  </si>
  <si>
    <t xml:space="preserve">               többletkiadásokhoz</t>
  </si>
  <si>
    <t xml:space="preserve">      1.3. A települési önkormányzatok szociális, gyermekjóléti és gyermekétkeztetési </t>
  </si>
  <si>
    <t xml:space="preserve">    feladatainak támogatása</t>
  </si>
  <si>
    <t xml:space="preserve">      1.3.1.  A települési önkormányzatok egyes szociális feladatainak egyéb támogatása</t>
  </si>
  <si>
    <t xml:space="preserve">    1.3.2.  Egyes szociális és gyermekjóléti feladatok támogatása</t>
  </si>
  <si>
    <t xml:space="preserve">       1.3.2.1. Család- és gyermekjóléti szolgálat </t>
  </si>
  <si>
    <t xml:space="preserve">       1.3.2.2. Család- és gyermekjóléti központ </t>
  </si>
  <si>
    <t xml:space="preserve">       1.3.2.3. Szociális étkeztetés </t>
  </si>
  <si>
    <t xml:space="preserve">       1.3.2.4. Házi segítségnyújtás - szociális segítés</t>
  </si>
  <si>
    <t xml:space="preserve">       1.3.2.5. Házi segítségnyújtás - személyi gondozás</t>
  </si>
  <si>
    <t xml:space="preserve">       1.3.2.6. Falugondnoki vagy tanyagondnoki szolgáltatás </t>
  </si>
  <si>
    <t xml:space="preserve">       1.3.2.7. Időskorúak nappali intézményi ellátása </t>
  </si>
  <si>
    <t xml:space="preserve">       1.3.2.8. Fogyatékos és demens személyek nappali intézményi ellátása</t>
  </si>
  <si>
    <t xml:space="preserve">       1.3.2.9. Pszichiátriai betegek nappali intézményi ellátása </t>
  </si>
  <si>
    <t xml:space="preserve">       1.3.2.10. Szenvedélybetegek nappali intézményi ellátása </t>
  </si>
  <si>
    <t xml:space="preserve">    1.3.3. A települési önkormányzatok által biztosított egyes szakosított ellátások, </t>
  </si>
  <si>
    <t xml:space="preserve">                valamint a gyermekek átmeneti gondozásával kapcsolatos feladatok ellátása</t>
  </si>
  <si>
    <t xml:space="preserve">       1.3.3.1. A finanszírozás szempontjából elismert szakmai dolgozók bértám.</t>
  </si>
  <si>
    <t xml:space="preserve">       1.3.3.2. Intézményüzemeltetési támogatás</t>
  </si>
  <si>
    <t xml:space="preserve">    1.3.4. Gyermekétkeztetés támogatása</t>
  </si>
  <si>
    <t xml:space="preserve">       1.3.4.1. A finanszírozás szempontjából elismert dolgozók bértámogatása</t>
  </si>
  <si>
    <t xml:space="preserve">       1.3.4.2. Gyermekétkeztetés üzemeltetési támogatása</t>
  </si>
  <si>
    <t xml:space="preserve">    1.3.5. A rászoruló gyermekek intézményen kívüli szünidei étkeztetésének támogatása</t>
  </si>
  <si>
    <t xml:space="preserve">    1.3.6. Bölcsőde, mini bölcsőde támogatása</t>
  </si>
  <si>
    <t xml:space="preserve">       1.3.6.1. A finanszírozás szempontjából elismert szakmai dolgozók bértám.</t>
  </si>
  <si>
    <t xml:space="preserve">                   (felsőfokú végzettségű kisgyermeknevelők)</t>
  </si>
  <si>
    <t xml:space="preserve">       1.3.6.2. A finanszírozás szempontjából elismert szakmai dolgozók bértám.</t>
  </si>
  <si>
    <t xml:space="preserve">                   (bölcsődei dajkák, középfokú végzettségű kisgyermeknevelők)</t>
  </si>
  <si>
    <t xml:space="preserve">       1.3.6.3. Bölcsőde üzemeltetési támogatás</t>
  </si>
  <si>
    <t xml:space="preserve">    1.4. A települési önkormányzatok kulturális feladatainak támogatása</t>
  </si>
  <si>
    <t xml:space="preserve">    1.4.1. A települési önkormányzatok nyilvános könyvtári és közművelődési</t>
  </si>
  <si>
    <t xml:space="preserve">             feladatainak támogatása</t>
  </si>
  <si>
    <t xml:space="preserve">    1.4.2. A települési önkormányzatok muzeális intézményi feladatainak támogatása</t>
  </si>
  <si>
    <t xml:space="preserve">    1.4.3. Települési önkormányzatok könyvtári célú érdekeltségnövelő támogatása</t>
  </si>
  <si>
    <t xml:space="preserve">    1.4.4. Kulturális illetménypótlék</t>
  </si>
  <si>
    <t xml:space="preserve">    1.5.1. 2018. évi bérkompenzáció</t>
  </si>
  <si>
    <t xml:space="preserve">    1.5. Működési célú költségvetési támogatások és kiegészítő támogatások</t>
  </si>
  <si>
    <t xml:space="preserve">    1.6. Elszámolásból származó bevételek</t>
  </si>
  <si>
    <t xml:space="preserve">    1. Helyi önkormányzatok működésének támogatása összesen: </t>
  </si>
  <si>
    <t xml:space="preserve">    2. Működési célú egyéb támogatások államháztartáson belülről</t>
  </si>
  <si>
    <t xml:space="preserve">    3. Elvonások és befizetések</t>
  </si>
  <si>
    <t>B1. Működési célú támogatások államháztartáson belülről összesen</t>
  </si>
  <si>
    <t>B2. Felhalmozási célú támogatások államháztartáson belülről</t>
  </si>
  <si>
    <t xml:space="preserve">B3. Közhatalmi bevétel </t>
  </si>
  <si>
    <t xml:space="preserve">1.   Önkormányzatok sajátos működési bevételei </t>
  </si>
  <si>
    <t xml:space="preserve">    1.1 Helyi adók </t>
  </si>
  <si>
    <t xml:space="preserve">    1.1.1. Iparűzési adó</t>
  </si>
  <si>
    <t xml:space="preserve">    1.1.1.1. Állandó iparűzési adó</t>
  </si>
  <si>
    <t xml:space="preserve">    1.1.1.2. Ideiglenes iparűzési adó</t>
  </si>
  <si>
    <t xml:space="preserve">    1.1.2. Idegenforgalmi adó</t>
  </si>
  <si>
    <t xml:space="preserve">    1.2. Átengedett központi adók</t>
  </si>
  <si>
    <t xml:space="preserve">        1.2.1. Gépjárműadó (40%)                 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</si>
  <si>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</si>
  <si>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</si>
  <si>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</si>
  <si>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</si>
  <si>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 xml:space="preserve">    1.4. Talajterhelési díj</t>
  </si>
  <si>
    <t xml:space="preserve">    1.5. Egyéb közhatalmi bevétel</t>
  </si>
  <si>
    <t>B3. Közhatalmi bevétel összesen:</t>
  </si>
  <si>
    <t>B4. Működési bevétel</t>
  </si>
  <si>
    <t>B5. Felhalmozási bevételek</t>
  </si>
  <si>
    <t xml:space="preserve"> 1. Ingatlanok és részvény értékesítése 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</si>
  <si>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</si>
  <si>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</si>
  <si>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</si>
  <si>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</si>
  <si>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</si>
  <si>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 xml:space="preserve">   1. Előző évi költségvetési maradvány igénybevétele</t>
  </si>
  <si>
    <t>B8. Finanszírozási bevételek összesen:</t>
  </si>
  <si>
    <t>Bevételek mindösszesen (B1-B8.):</t>
  </si>
  <si>
    <t xml:space="preserve">    1.3.7. Szociális ágazati összevont pótlék</t>
  </si>
  <si>
    <t xml:space="preserve">    1.6.1. Elszámolásból származó bevételek</t>
  </si>
  <si>
    <t>A Karcag Városi Önkormányzat 2018. évi költségvetésén belül az Önkormányzat tervezett bevételi főösszege 
kiemelt előirányzatonkénti bontásban</t>
  </si>
  <si>
    <t>2. Egyéb felhalmozási bevétel</t>
  </si>
  <si>
    <t>kiemelt előirányzatonkénti bontásban</t>
  </si>
  <si>
    <t>B1-B8.</t>
  </si>
  <si>
    <t>Helyi önkormányzatok működésének általános támogatása</t>
  </si>
  <si>
    <t>Mezőőrség támogatása</t>
  </si>
  <si>
    <t>Területalapú támogatás</t>
  </si>
  <si>
    <t>Mezőőri járulék</t>
  </si>
  <si>
    <t>Kamat és árfolyambevétel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</si>
  <si>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</si>
  <si>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</si>
  <si>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</si>
  <si>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</si>
  <si>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</si>
  <si>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>Kötelező feladatok összesen</t>
  </si>
  <si>
    <t>Önként vállalt feladatok</t>
  </si>
  <si>
    <t>Földhaszonbérlet</t>
  </si>
  <si>
    <t>Közterület-használati díj</t>
  </si>
  <si>
    <t>Bérleti díj (TRV)</t>
  </si>
  <si>
    <t>Vagyonkezelésbe adás bevétele</t>
  </si>
  <si>
    <t>Továbbszámlázott kiadások bevételei</t>
  </si>
  <si>
    <t xml:space="preserve">Előző évi maradvány igénybevétele </t>
  </si>
  <si>
    <t>Önként válallt feladatok összesen</t>
  </si>
  <si>
    <t>Mindösszesen:</t>
  </si>
  <si>
    <t>Talajkterhelési díj</t>
  </si>
  <si>
    <t>TRT módosítás megtéríttetése közhatalmi tevékenység gyakorlása keretében</t>
  </si>
  <si>
    <t>Köztemetés megtérülés</t>
  </si>
  <si>
    <t>Egyéb bérleti díj és működési bevétel</t>
  </si>
  <si>
    <t>Szennyvíz befizetés</t>
  </si>
  <si>
    <t>Eladásra kijelölt ingatlanok és Tenyőszigeti telkek  értékesítése</t>
  </si>
  <si>
    <t>Részvény értékesítés</t>
  </si>
  <si>
    <t>TOP 5.3.1-16 „Helyi identitás és kohézió erősítése” pályázat támogatása</t>
  </si>
  <si>
    <t>Maradvány elvonás</t>
  </si>
  <si>
    <t xml:space="preserve">Lakhatási körülmények javítására vonatkozó pályázat
17/2018. (I.25.) „kt.” határozat alapján
</t>
  </si>
  <si>
    <t xml:space="preserve">Önkormányzati feladatellátást szolgáló fejlesztések támogatása pályázat
Táncsics krt. 19. Óvoda tornaszoba felújítás   
118/2017. (IV.27.) „kt.” határozat alapján
</t>
  </si>
  <si>
    <t xml:space="preserve">Idősek Otthona pincerendszerének felújítása, födémcseréje
Karcag Város fejlesztései feladatainak támogatása
197/2018. (III.13.) Korm. határozat alapján
</t>
  </si>
  <si>
    <t xml:space="preserve">Zártkertek infrastrukturális háttér fejlesztéséra vonatkozó pályázat
16/2018. (I.25.) „kt.” határozat alapján
</t>
  </si>
  <si>
    <t xml:space="preserve">I. világháborús hadisírok felújítására vonatkozó pályázat
105/2018. (IV.26.) „kt.” határozat alapján
</t>
  </si>
  <si>
    <t xml:space="preserve">A Karcag Városi Önkormányzat 2018. évi tervezett bevételi főösszegén belül az önkormányzat működési és felhalmozási bevételei </t>
  </si>
  <si>
    <t>Önként vállalt feladat START munkaprogram</t>
  </si>
  <si>
    <t>Önként vállalt feladat TOP-os pályázat</t>
  </si>
  <si>
    <t>Egyéb mezőgazdasági feladatok</t>
  </si>
  <si>
    <t xml:space="preserve">Szünidei étkeztetés </t>
  </si>
  <si>
    <t>Előző évi támogatás elszámolás</t>
  </si>
  <si>
    <t>Karcag-Kenderes (Bánhalma) Víziközmű Beruházási Társulás megszűnése miatti pénzeszköz átadás</t>
  </si>
  <si>
    <t>NHSZ Tisza Nonprofit Kft. Üzletrész vásárlás</t>
  </si>
  <si>
    <t>Karcag Városi Cigány Nemzetiségi Önkormányzat támogatása
 -1 fő adminisztrátor 4 órás foglalkoztatásához keretösszeg 1.285.000,- Ft
- Kulturális rendezvényekhez támogatás nyújtása 200.000,- Ft (farsang, gyermeknap, mikulás, karácsony)                   - Nyári táborozás támogatása 300.000,- Ft</t>
  </si>
  <si>
    <t>Rendszerfüggő víziközmű elemek fejlesztése elkülönített bérleti díj terhére</t>
  </si>
  <si>
    <t>Önkormányzati feladatok 2017. évi maradvány terhére</t>
  </si>
  <si>
    <t>Karcagi Sport Egyesület támogatása 772/2018. (III.29.) kt. határozat alapján Kosárlabda liget önerő</t>
  </si>
  <si>
    <t>Karcag FM és www.infokarcag.hu együttműködési szerződés hirdetére, lakosság tájékoztatására</t>
  </si>
  <si>
    <t>TOP 1.4.1-16 "A foglalkoztatás és az életminőség javítása" pályázat</t>
  </si>
  <si>
    <t>Karácsonyi díszkivilágítás felszerelése és leszerelése, bővítése</t>
  </si>
  <si>
    <t>Karácsonyi díszkivilágítás bővítése</t>
  </si>
  <si>
    <t>Városháza épület klimatizálás</t>
  </si>
  <si>
    <t>EGYÉB MŰKÖDÉSI CÉLÚ KIADÁSOK ÖSSZESEN:</t>
  </si>
  <si>
    <t>Polgármesteri keret felhasználása</t>
  </si>
  <si>
    <t>"A vidéki térségek kisméretű infrastruktúrájának és alapvető szolgáltatásainak fejlesztésére" -  Piac fejlesztés pályázat 119/2017. (IV.27.) "kt." sz. határozat alapján</t>
  </si>
  <si>
    <t xml:space="preserve">       1.3.2.11. Óvodai és iskolai szociális segítő tevékenység</t>
  </si>
  <si>
    <t xml:space="preserve">    1.5.2. Rendkívüli önkormányzati támogatás</t>
  </si>
  <si>
    <t xml:space="preserve">   2. Folyószámlahitel igénybevétele</t>
  </si>
  <si>
    <t>Egyszeri gyermekvédelmi támogatás</t>
  </si>
  <si>
    <t>KSZC-tól műfüves pálya kialakításához</t>
  </si>
  <si>
    <t>EMMI Bursa ösztöndíj visszautalás</t>
  </si>
  <si>
    <t>Bethlen Gábor Alap "Együtt lenni jó" pályázat</t>
  </si>
  <si>
    <t>JNSZ Megyei Önkormányzat támogatása</t>
  </si>
  <si>
    <t>Belterületi utak, járdák felújítása pályázat                               103/2018. (IV.26.) Kt. Határozat alapján</t>
  </si>
  <si>
    <t>Közművelődési érdekeltségnövelő támogatás</t>
  </si>
  <si>
    <t>Folyószámlahitel igénybevétele</t>
  </si>
  <si>
    <t>Kacsóh u. 16. sz. alatti ingatlan vételára, értékesített telkek, önkormányzati lakások 2018. évi részlete</t>
  </si>
  <si>
    <t>Önként vállalt feladat nyári diákmunka</t>
  </si>
  <si>
    <t>Karcag-Tilalmasi Mezőgazdasági KFT. tulajdonában lévő kutak és vízhálózat bérlete a 155/2018. (V.24.) kt. sz. határozat alapján  2018.12.31-ig</t>
  </si>
  <si>
    <t>Bethlen Gábor Alap támogatása "Együtt lenni jó" pályázat</t>
  </si>
  <si>
    <t>JNSZ Megyei Önkormányzat támogatása kirándulásra</t>
  </si>
  <si>
    <t>Belterületi utak, járdák felújítása pályázat támogatása</t>
  </si>
  <si>
    <t>Pályázati támogatás</t>
  </si>
  <si>
    <t>Saját forrás 103/2018. (IV.26.) kt. Sz. határozat alapján</t>
  </si>
  <si>
    <t xml:space="preserve">TOP-2.1.2-15-JN1-2016-00011 Karcag zöldfelületeinek fejlesztése </t>
  </si>
  <si>
    <t>Saját forrás 334/2017. (XII.14.) kt. Sz. határozat alapján</t>
  </si>
  <si>
    <t>Folyószámlahitel kamat</t>
  </si>
  <si>
    <t>EGYÉB FELHALMOZÁSI CÉLÚ KIADÁSOK</t>
  </si>
  <si>
    <t>EGYÉB FELHALMOZÁSI CÉLÚ KIADÁSOK ÖSSZESEN:</t>
  </si>
  <si>
    <t>Folyószámlahitel igánybevétel törlesztés</t>
  </si>
  <si>
    <t>Ö S S Z E S E N:</t>
  </si>
  <si>
    <t>Országos tornaterem felújítási program - Sportcsarnok</t>
  </si>
  <si>
    <t xml:space="preserve">Országos tornaterem felújítási program - Sportcsarnok </t>
  </si>
  <si>
    <t>Polgármesteri keretből civil szervezetek támogatása</t>
  </si>
  <si>
    <t xml:space="preserve">    1.5.3. Téli rezsicsökkentés egyszeri támogatása</t>
  </si>
  <si>
    <t xml:space="preserve">    1.5.4. Települési önkormányzatok helyi közösségi közlekedésének támogatása</t>
  </si>
  <si>
    <t>Helyi közösségi közlekedés központi támogatás</t>
  </si>
  <si>
    <t>A 2015. évi Milánói  Világkiállítás magyar pavilonjának elhelyezésére kapott támogatás</t>
  </si>
  <si>
    <t>Téli rezsicsökkentés egyszeri támogatása</t>
  </si>
  <si>
    <t>1. sz. melléklet a Karcag Városi Önkormányzat Képviselő-testületének 21/2018.  (XII.14.) önkormányzati rendeletéhez</t>
  </si>
  <si>
    <t>2. sz. melléklet a Karcag Városi Önkormányzat Képviselő-testületének 21/2018.  (XII.14.) önkormányzati rendeletéhez</t>
  </si>
  <si>
    <t>3. sz. melléklet a Karcag Városi Önkormányzat Képviselő-testületének 21/2018.  (XII.14.) önkormányzati rendeletéhez</t>
  </si>
  <si>
    <t>4. sz. melléklet a Karcag Városi Önkormányzat Képviselő-testületének 21/2018.  (XII.14.) önkormányzati rendeletéhez</t>
  </si>
  <si>
    <t>5. sz. melléklet a Karcag Városi Önkormányzat Képviselő-testületének 21/2018.  (XII.14.)  önkormányzati rendeletéhez</t>
  </si>
  <si>
    <t>6. sz. melléklet a Karcag Városi Önkormányzat Képviselő-testületének 21/2018.  (XII.14.) önkormányzati rendeletéhez</t>
  </si>
  <si>
    <t>7. sz. melléklet a Karcag Városi Önkormányzat Képviselő-testületének 21/2018.  (XII.14.) önkormányzati rendeletéhez</t>
  </si>
  <si>
    <t>8. sz. melléklet a Karcag Városi Önkormányzat Képviselő-testületének 21/2018.  (XII.14.) önkormányzati rendeletéhez</t>
  </si>
  <si>
    <t>9. sz. melléklet a Karcag Városi Önkormányzat Képviselő-testületének 21/2018.  (XII.14.) önkormányzati rendeletéhez</t>
  </si>
  <si>
    <t>10. sz. melléklet a Karcag Városi Önkormányzat Képviselő-testületének 21/2018.  (XII.14.) önkormányzati rendeletéhez</t>
  </si>
  <si>
    <t>11. sz. melléklet a Karcag Városi Önkormányzat Képviselő-testületének 21/2018.  (XII.14.) önkormányzati rendeletéhez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</si>
</sst>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164" formatCode="#,##0\ _F_t"/>
    <numFmt numFmtId="165" formatCode="#,##0_ ;\-#,##0\ "/>
  </numFmts>
  <fonts count="47">
    <font>
      <sz val="11"/>
      <color theme="1"/>
      <name val="Calibri"/>
      <family val="2"/>
      <charset val="238"/>
      <scheme val="minor"/>
    </font>
    <font>
      <i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Calibri"/>
      <family val="2"/>
      <charset val="238"/>
    </font>
    <font>
      <b/>
      <i/>
      <sz val="16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3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i/>
      <sz val="14"/>
      <name val="Times New Roman"/>
      <family val="1"/>
      <charset val="238"/>
    </font>
    <font>
      <sz val="14"/>
      <name val="Arial"/>
      <family val="2"/>
      <charset val="238"/>
    </font>
    <font>
      <sz val="8"/>
      <name val="Times New Roman"/>
      <family val="1"/>
      <charset val="238"/>
    </font>
    <font>
      <i/>
      <u/>
      <sz val="16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9"/>
      <name val="Times New Roman"/>
      <family val="1"/>
      <charset val="238"/>
    </font>
    <font>
      <i/>
      <u/>
      <sz val="9"/>
      <name val="Times New Roman"/>
      <family val="1"/>
      <charset val="238"/>
    </font>
    <font>
      <u/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4" fillId="0" borderId="0"/>
  </cellStyleXfs>
  <cellXfs count="610">
    <xf numFmtId="0" fontId="0" fillId="0" borderId="0" xfId="0"/>
    <xf numFmtId="164" fontId="0" fillId="0" borderId="0" xfId="0" applyNumberFormat="1"/>
    <xf numFmtId="0" fontId="8" fillId="0" borderId="0" xfId="0" applyFont="1"/>
    <xf numFmtId="0" fontId="0" fillId="0" borderId="0" xfId="0" applyBorder="1"/>
    <xf numFmtId="164" fontId="5" fillId="0" borderId="0" xfId="0" applyNumberFormat="1" applyFont="1"/>
    <xf numFmtId="0" fontId="6" fillId="0" borderId="0" xfId="0" applyFont="1" applyBorder="1" applyAlignment="1">
      <alignment vertical="center"/>
    </xf>
    <xf numFmtId="0" fontId="11" fillId="0" borderId="0" xfId="0" applyFont="1" applyBorder="1"/>
    <xf numFmtId="0" fontId="12" fillId="0" borderId="0" xfId="0" applyFont="1" applyBorder="1"/>
    <xf numFmtId="0" fontId="5" fillId="0" borderId="0" xfId="0" applyFont="1" applyBorder="1"/>
    <xf numFmtId="0" fontId="0" fillId="0" borderId="1" xfId="0" applyBorder="1"/>
    <xf numFmtId="3" fontId="17" fillId="0" borderId="2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/>
    <xf numFmtId="0" fontId="8" fillId="0" borderId="3" xfId="0" applyFont="1" applyFill="1" applyBorder="1"/>
    <xf numFmtId="3" fontId="16" fillId="0" borderId="4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5" fillId="0" borderId="5" xfId="0" applyFont="1" applyBorder="1"/>
    <xf numFmtId="0" fontId="17" fillId="0" borderId="0" xfId="0" applyFont="1" applyFill="1" applyBorder="1"/>
    <xf numFmtId="0" fontId="17" fillId="0" borderId="3" xfId="0" applyFont="1" applyFill="1" applyBorder="1"/>
    <xf numFmtId="3" fontId="16" fillId="0" borderId="6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14" fillId="0" borderId="3" xfId="0" applyFont="1" applyFill="1" applyBorder="1"/>
    <xf numFmtId="0" fontId="1" fillId="0" borderId="0" xfId="0" applyFont="1" applyAlignment="1">
      <alignment horizontal="left"/>
    </xf>
    <xf numFmtId="0" fontId="2" fillId="0" borderId="0" xfId="0" applyFont="1"/>
    <xf numFmtId="0" fontId="20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21" fillId="0" borderId="0" xfId="0" applyFont="1" applyBorder="1"/>
    <xf numFmtId="0" fontId="21" fillId="0" borderId="0" xfId="0" applyFont="1"/>
    <xf numFmtId="0" fontId="10" fillId="0" borderId="7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8" fillId="0" borderId="8" xfId="0" applyFont="1" applyBorder="1" applyAlignment="1">
      <alignment horizontal="left" vertical="center" wrapText="1" indent="1"/>
    </xf>
    <xf numFmtId="3" fontId="8" fillId="0" borderId="8" xfId="0" applyNumberFormat="1" applyFont="1" applyBorder="1" applyAlignment="1">
      <alignment vertical="center" wrapText="1"/>
    </xf>
    <xf numFmtId="3" fontId="9" fillId="0" borderId="8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1"/>
    </xf>
    <xf numFmtId="0" fontId="8" fillId="0" borderId="9" xfId="0" applyFont="1" applyFill="1" applyBorder="1" applyAlignment="1">
      <alignment horizontal="left" vertical="center" wrapText="1" indent="1"/>
    </xf>
    <xf numFmtId="3" fontId="8" fillId="0" borderId="9" xfId="0" applyNumberFormat="1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9" fillId="0" borderId="7" xfId="0" applyFont="1" applyBorder="1" applyAlignment="1">
      <alignment horizontal="left" vertical="center" wrapText="1" indent="1"/>
    </xf>
    <xf numFmtId="3" fontId="9" fillId="0" borderId="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0" fontId="26" fillId="0" borderId="0" xfId="0" applyFont="1"/>
    <xf numFmtId="0" fontId="26" fillId="0" borderId="0" xfId="0" applyFont="1" applyBorder="1"/>
    <xf numFmtId="3" fontId="24" fillId="0" borderId="0" xfId="0" applyNumberFormat="1" applyFont="1" applyAlignment="1">
      <alignment vertical="center"/>
    </xf>
    <xf numFmtId="0" fontId="8" fillId="0" borderId="8" xfId="0" applyFont="1" applyFill="1" applyBorder="1" applyAlignment="1">
      <alignment horizontal="left" vertical="center" wrapText="1" indent="1"/>
    </xf>
    <xf numFmtId="3" fontId="8" fillId="0" borderId="4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/>
    <xf numFmtId="3" fontId="0" fillId="0" borderId="0" xfId="0" applyNumberFormat="1" applyFill="1"/>
    <xf numFmtId="0" fontId="7" fillId="0" borderId="0" xfId="0" applyFont="1" applyFill="1" applyAlignment="1"/>
    <xf numFmtId="0" fontId="2" fillId="0" borderId="0" xfId="0" applyFont="1" applyFill="1"/>
    <xf numFmtId="0" fontId="9" fillId="0" borderId="0" xfId="0" applyFont="1" applyFill="1" applyAlignment="1">
      <alignment horizontal="center"/>
    </xf>
    <xf numFmtId="0" fontId="45" fillId="0" borderId="0" xfId="0" applyFont="1"/>
    <xf numFmtId="0" fontId="28" fillId="0" borderId="0" xfId="0" applyFont="1" applyBorder="1" applyAlignment="1">
      <alignment vertical="center"/>
    </xf>
    <xf numFmtId="0" fontId="17" fillId="2" borderId="0" xfId="0" applyFont="1" applyFill="1" applyBorder="1"/>
    <xf numFmtId="0" fontId="17" fillId="2" borderId="3" xfId="0" applyFont="1" applyFill="1" applyBorder="1"/>
    <xf numFmtId="3" fontId="15" fillId="3" borderId="11" xfId="0" applyNumberFormat="1" applyFont="1" applyFill="1" applyBorder="1" applyAlignment="1">
      <alignment horizontal="left" vertical="center" wrapText="1"/>
    </xf>
    <xf numFmtId="3" fontId="15" fillId="3" borderId="12" xfId="0" applyNumberFormat="1" applyFont="1" applyFill="1" applyBorder="1" applyAlignment="1">
      <alignment horizontal="right" vertical="center" wrapText="1" indent="1"/>
    </xf>
    <xf numFmtId="3" fontId="16" fillId="0" borderId="0" xfId="0" applyNumberFormat="1" applyFont="1" applyFill="1" applyBorder="1"/>
    <xf numFmtId="3" fontId="16" fillId="0" borderId="0" xfId="0" applyNumberFormat="1" applyFont="1" applyFill="1" applyBorder="1" applyAlignment="1">
      <alignment horizontal="right" vertical="center" wrapText="1" indent="1"/>
    </xf>
    <xf numFmtId="3" fontId="16" fillId="0" borderId="13" xfId="0" applyNumberFormat="1" applyFont="1" applyFill="1" applyBorder="1" applyAlignment="1">
      <alignment horizontal="right" vertical="center" indent="1"/>
    </xf>
    <xf numFmtId="3" fontId="15" fillId="3" borderId="5" xfId="0" applyNumberFormat="1" applyFont="1" applyFill="1" applyBorder="1" applyAlignment="1">
      <alignment horizontal="left" vertical="center" wrapText="1"/>
    </xf>
    <xf numFmtId="3" fontId="15" fillId="3" borderId="14" xfId="0" applyNumberFormat="1" applyFont="1" applyFill="1" applyBorder="1" applyAlignment="1">
      <alignment horizontal="right" vertical="center" wrapText="1" indent="1"/>
    </xf>
    <xf numFmtId="3" fontId="16" fillId="3" borderId="13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vertical="center"/>
    </xf>
    <xf numFmtId="0" fontId="16" fillId="2" borderId="0" xfId="0" applyFont="1" applyFill="1" applyBorder="1"/>
    <xf numFmtId="0" fontId="16" fillId="2" borderId="3" xfId="0" applyFont="1" applyFill="1" applyBorder="1"/>
    <xf numFmtId="0" fontId="16" fillId="2" borderId="10" xfId="0" applyFont="1" applyFill="1" applyBorder="1"/>
    <xf numFmtId="3" fontId="9" fillId="0" borderId="0" xfId="0" applyNumberFormat="1" applyFont="1" applyFill="1" applyBorder="1"/>
    <xf numFmtId="0" fontId="29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0" xfId="0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/>
    <xf numFmtId="3" fontId="16" fillId="3" borderId="12" xfId="0" applyNumberFormat="1" applyFont="1" applyFill="1" applyBorder="1" applyAlignment="1">
      <alignment vertical="center"/>
    </xf>
    <xf numFmtId="3" fontId="16" fillId="0" borderId="5" xfId="0" applyNumberFormat="1" applyFont="1" applyFill="1" applyBorder="1" applyAlignment="1">
      <alignment horizontal="left" vertical="center" wrapText="1"/>
    </xf>
    <xf numFmtId="3" fontId="16" fillId="0" borderId="15" xfId="0" applyNumberFormat="1" applyFont="1" applyFill="1" applyBorder="1" applyAlignment="1">
      <alignment horizontal="right" vertical="center" wrapText="1" indent="1"/>
    </xf>
    <xf numFmtId="3" fontId="16" fillId="0" borderId="16" xfId="0" applyNumberFormat="1" applyFont="1" applyFill="1" applyBorder="1" applyAlignment="1">
      <alignment horizontal="right" vertical="center" indent="1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right" vertical="center" indent="1"/>
    </xf>
    <xf numFmtId="0" fontId="16" fillId="0" borderId="0" xfId="0" applyFont="1" applyFill="1" applyBorder="1"/>
    <xf numFmtId="0" fontId="16" fillId="0" borderId="3" xfId="0" applyFont="1" applyFill="1" applyBorder="1"/>
    <xf numFmtId="0" fontId="16" fillId="0" borderId="10" xfId="0" applyFont="1" applyFill="1" applyBorder="1"/>
    <xf numFmtId="3" fontId="16" fillId="0" borderId="7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right"/>
    </xf>
    <xf numFmtId="3" fontId="8" fillId="0" borderId="17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 indent="1"/>
    </xf>
    <xf numFmtId="3" fontId="8" fillId="0" borderId="7" xfId="0" applyNumberFormat="1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vertical="center" wrapText="1"/>
    </xf>
    <xf numFmtId="0" fontId="9" fillId="0" borderId="17" xfId="0" applyFont="1" applyBorder="1" applyAlignment="1">
      <alignment horizontal="left" vertical="center" wrapText="1" indent="1"/>
    </xf>
    <xf numFmtId="3" fontId="9" fillId="0" borderId="17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 indent="1"/>
    </xf>
    <xf numFmtId="0" fontId="8" fillId="0" borderId="0" xfId="0" applyFont="1" applyBorder="1"/>
    <xf numFmtId="0" fontId="0" fillId="0" borderId="1" xfId="0" applyBorder="1" applyAlignment="1">
      <alignment horizontal="right"/>
    </xf>
    <xf numFmtId="0" fontId="16" fillId="4" borderId="5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164" fontId="16" fillId="4" borderId="3" xfId="0" applyNumberFormat="1" applyFont="1" applyFill="1" applyBorder="1" applyAlignment="1">
      <alignment horizontal="center" vertical="center" wrapText="1"/>
    </xf>
    <xf numFmtId="0" fontId="17" fillId="4" borderId="0" xfId="0" applyFont="1" applyFill="1" applyBorder="1"/>
    <xf numFmtId="0" fontId="17" fillId="4" borderId="3" xfId="0" applyFont="1" applyFill="1" applyBorder="1"/>
    <xf numFmtId="0" fontId="16" fillId="4" borderId="13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/>
    <xf numFmtId="3" fontId="16" fillId="4" borderId="5" xfId="0" applyNumberFormat="1" applyFont="1" applyFill="1" applyBorder="1" applyAlignment="1">
      <alignment horizontal="left" vertical="center" wrapText="1"/>
    </xf>
    <xf numFmtId="3" fontId="16" fillId="4" borderId="13" xfId="0" applyNumberFormat="1" applyFont="1" applyFill="1" applyBorder="1" applyAlignment="1">
      <alignment horizontal="left" vertical="center" wrapText="1"/>
    </xf>
    <xf numFmtId="3" fontId="16" fillId="4" borderId="3" xfId="0" applyNumberFormat="1" applyFont="1" applyFill="1" applyBorder="1" applyAlignment="1">
      <alignment horizontal="right" vertical="center" indent="1"/>
    </xf>
    <xf numFmtId="3" fontId="16" fillId="2" borderId="0" xfId="0" applyNumberFormat="1" applyFont="1" applyFill="1" applyBorder="1"/>
    <xf numFmtId="3" fontId="16" fillId="4" borderId="5" xfId="0" applyNumberFormat="1" applyFont="1" applyFill="1" applyBorder="1" applyAlignment="1">
      <alignment horizontal="left" vertical="center"/>
    </xf>
    <xf numFmtId="3" fontId="16" fillId="4" borderId="13" xfId="0" applyNumberFormat="1" applyFont="1" applyFill="1" applyBorder="1" applyAlignment="1">
      <alignment horizontal="left" vertical="center"/>
    </xf>
    <xf numFmtId="0" fontId="8" fillId="5" borderId="0" xfId="0" applyFont="1" applyFill="1" applyBorder="1"/>
    <xf numFmtId="0" fontId="8" fillId="5" borderId="3" xfId="0" applyFont="1" applyFill="1" applyBorder="1"/>
    <xf numFmtId="0" fontId="9" fillId="5" borderId="0" xfId="0" applyFont="1" applyFill="1" applyBorder="1"/>
    <xf numFmtId="0" fontId="9" fillId="5" borderId="3" xfId="0" applyFont="1" applyFill="1" applyBorder="1"/>
    <xf numFmtId="0" fontId="9" fillId="5" borderId="10" xfId="0" applyFont="1" applyFill="1" applyBorder="1"/>
    <xf numFmtId="3" fontId="16" fillId="0" borderId="2" xfId="0" applyNumberFormat="1" applyFont="1" applyFill="1" applyBorder="1" applyAlignment="1">
      <alignment horizontal="right" vertical="center" wrapText="1" indent="1"/>
    </xf>
    <xf numFmtId="3" fontId="17" fillId="0" borderId="19" xfId="0" applyNumberFormat="1" applyFont="1" applyFill="1" applyBorder="1" applyAlignment="1">
      <alignment horizontal="left" vertical="center" wrapText="1"/>
    </xf>
    <xf numFmtId="3" fontId="17" fillId="0" borderId="4" xfId="0" applyNumberFormat="1" applyFont="1" applyFill="1" applyBorder="1" applyAlignment="1">
      <alignment horizontal="right" vertical="center" indent="1"/>
    </xf>
    <xf numFmtId="3" fontId="17" fillId="0" borderId="20" xfId="0" applyNumberFormat="1" applyFont="1" applyFill="1" applyBorder="1" applyAlignment="1">
      <alignment horizontal="left" vertical="center" wrapText="1"/>
    </xf>
    <xf numFmtId="3" fontId="17" fillId="0" borderId="21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Border="1"/>
    <xf numFmtId="0" fontId="9" fillId="0" borderId="3" xfId="0" applyFont="1" applyFill="1" applyBorder="1"/>
    <xf numFmtId="3" fontId="16" fillId="0" borderId="22" xfId="0" applyNumberFormat="1" applyFont="1" applyFill="1" applyBorder="1" applyAlignment="1">
      <alignment horizontal="left" vertical="center" wrapText="1"/>
    </xf>
    <xf numFmtId="3" fontId="16" fillId="0" borderId="23" xfId="0" applyNumberFormat="1" applyFont="1" applyFill="1" applyBorder="1" applyAlignment="1">
      <alignment horizontal="right" vertical="center" wrapText="1" indent="1"/>
    </xf>
    <xf numFmtId="3" fontId="17" fillId="0" borderId="2" xfId="0" applyNumberFormat="1" applyFont="1" applyFill="1" applyBorder="1" applyAlignment="1">
      <alignment horizontal="right" vertical="center" indent="1"/>
    </xf>
    <xf numFmtId="3" fontId="17" fillId="0" borderId="24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Border="1"/>
    <xf numFmtId="0" fontId="17" fillId="0" borderId="13" xfId="0" applyFont="1" applyFill="1" applyBorder="1"/>
    <xf numFmtId="0" fontId="17" fillId="0" borderId="5" xfId="0" applyFont="1" applyFill="1" applyBorder="1"/>
    <xf numFmtId="3" fontId="17" fillId="0" borderId="25" xfId="0" applyNumberFormat="1" applyFont="1" applyFill="1" applyBorder="1" applyAlignment="1">
      <alignment horizontal="left" vertical="center" wrapText="1"/>
    </xf>
    <xf numFmtId="3" fontId="16" fillId="0" borderId="25" xfId="0" applyNumberFormat="1" applyFont="1" applyFill="1" applyBorder="1" applyAlignment="1">
      <alignment horizontal="right" vertical="center" indent="1"/>
    </xf>
    <xf numFmtId="3" fontId="8" fillId="0" borderId="0" xfId="0" applyNumberFormat="1" applyFont="1" applyFill="1" applyBorder="1"/>
    <xf numFmtId="3" fontId="16" fillId="0" borderId="9" xfId="0" applyNumberFormat="1" applyFont="1" applyFill="1" applyBorder="1" applyAlignment="1">
      <alignment horizontal="right" vertical="center" indent="1"/>
    </xf>
    <xf numFmtId="3" fontId="16" fillId="0" borderId="8" xfId="0" applyNumberFormat="1" applyFont="1" applyFill="1" applyBorder="1" applyAlignment="1">
      <alignment horizontal="right" vertical="center" indent="1"/>
    </xf>
    <xf numFmtId="3" fontId="17" fillId="0" borderId="22" xfId="0" applyNumberFormat="1" applyFont="1" applyFill="1" applyBorder="1" applyAlignment="1">
      <alignment horizontal="left" vertical="center" wrapText="1"/>
    </xf>
    <xf numFmtId="3" fontId="17" fillId="0" borderId="23" xfId="0" applyNumberFormat="1" applyFont="1" applyFill="1" applyBorder="1" applyAlignment="1">
      <alignment horizontal="right" vertical="center" wrapText="1" indent="1"/>
    </xf>
    <xf numFmtId="3" fontId="17" fillId="0" borderId="8" xfId="0" applyNumberFormat="1" applyFont="1" applyFill="1" applyBorder="1" applyAlignment="1">
      <alignment horizontal="right" vertical="center" indent="1"/>
    </xf>
    <xf numFmtId="0" fontId="8" fillId="0" borderId="17" xfId="0" applyFont="1" applyFill="1" applyBorder="1"/>
    <xf numFmtId="3" fontId="16" fillId="0" borderId="13" xfId="0" applyNumberFormat="1" applyFont="1" applyFill="1" applyBorder="1" applyAlignment="1">
      <alignment horizontal="right" vertical="center" wrapText="1"/>
    </xf>
    <xf numFmtId="3" fontId="16" fillId="0" borderId="23" xfId="0" applyNumberFormat="1" applyFont="1" applyFill="1" applyBorder="1" applyAlignment="1">
      <alignment horizontal="right" vertical="center" wrapText="1"/>
    </xf>
    <xf numFmtId="3" fontId="16" fillId="0" borderId="19" xfId="0" applyNumberFormat="1" applyFont="1" applyFill="1" applyBorder="1" applyAlignment="1">
      <alignment horizontal="left" vertical="center" wrapText="1"/>
    </xf>
    <xf numFmtId="3" fontId="16" fillId="0" borderId="19" xfId="0" applyNumberFormat="1" applyFont="1" applyFill="1" applyBorder="1" applyAlignment="1">
      <alignment vertical="center" wrapText="1"/>
    </xf>
    <xf numFmtId="3" fontId="16" fillId="0" borderId="20" xfId="0" applyNumberFormat="1" applyFont="1" applyFill="1" applyBorder="1" applyAlignment="1">
      <alignment horizontal="left" vertical="center" wrapText="1"/>
    </xf>
    <xf numFmtId="0" fontId="45" fillId="0" borderId="0" xfId="0" applyFont="1" applyFill="1"/>
    <xf numFmtId="3" fontId="16" fillId="0" borderId="26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0" fillId="6" borderId="0" xfId="0" applyFill="1"/>
    <xf numFmtId="0" fontId="7" fillId="0" borderId="0" xfId="0" applyFont="1" applyAlignment="1">
      <alignment horizontal="center"/>
    </xf>
    <xf numFmtId="0" fontId="0" fillId="0" borderId="0" xfId="0"/>
    <xf numFmtId="0" fontId="31" fillId="0" borderId="0" xfId="0" applyFont="1" applyAlignment="1"/>
    <xf numFmtId="0" fontId="4" fillId="0" borderId="0" xfId="0" applyFont="1" applyAlignment="1"/>
    <xf numFmtId="0" fontId="0" fillId="0" borderId="0" xfId="0" applyFont="1"/>
    <xf numFmtId="0" fontId="32" fillId="0" borderId="0" xfId="0" applyFont="1" applyAlignment="1"/>
    <xf numFmtId="0" fontId="33" fillId="0" borderId="0" xfId="0" applyFont="1" applyAlignment="1"/>
    <xf numFmtId="0" fontId="0" fillId="0" borderId="0" xfId="0" applyAlignment="1">
      <alignment wrapText="1"/>
    </xf>
    <xf numFmtId="0" fontId="16" fillId="4" borderId="14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8" fillId="0" borderId="0" xfId="1" applyFont="1" applyFill="1"/>
    <xf numFmtId="0" fontId="22" fillId="0" borderId="0" xfId="0" applyFont="1" applyAlignment="1">
      <alignment horizontal="center"/>
    </xf>
    <xf numFmtId="0" fontId="1" fillId="0" borderId="0" xfId="0" applyFont="1"/>
    <xf numFmtId="0" fontId="35" fillId="4" borderId="27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4" borderId="26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36" fillId="0" borderId="11" xfId="0" applyFont="1" applyBorder="1" applyAlignment="1">
      <alignment vertical="top" wrapText="1"/>
    </xf>
    <xf numFmtId="0" fontId="36" fillId="0" borderId="28" xfId="0" applyFont="1" applyBorder="1" applyAlignment="1">
      <alignment vertical="top" wrapText="1"/>
    </xf>
    <xf numFmtId="3" fontId="37" fillId="0" borderId="27" xfId="0" applyNumberFormat="1" applyFont="1" applyBorder="1" applyAlignment="1">
      <alignment horizontal="right" vertical="center" wrapText="1" indent="1"/>
    </xf>
    <xf numFmtId="0" fontId="2" fillId="0" borderId="7" xfId="0" applyFont="1" applyBorder="1"/>
    <xf numFmtId="0" fontId="22" fillId="0" borderId="19" xfId="0" applyFont="1" applyBorder="1"/>
    <xf numFmtId="0" fontId="22" fillId="0" borderId="2" xfId="0" applyFont="1" applyBorder="1"/>
    <xf numFmtId="3" fontId="37" fillId="0" borderId="2" xfId="0" applyNumberFormat="1" applyFont="1" applyBorder="1" applyAlignment="1">
      <alignment horizontal="right" vertical="center" wrapText="1" indent="1"/>
    </xf>
    <xf numFmtId="0" fontId="22" fillId="0" borderId="4" xfId="0" applyFont="1" applyBorder="1"/>
    <xf numFmtId="0" fontId="22" fillId="0" borderId="0" xfId="0" applyFont="1"/>
    <xf numFmtId="0" fontId="37" fillId="0" borderId="19" xfId="0" applyFont="1" applyBorder="1" applyAlignment="1">
      <alignment horizontal="justify" vertical="top" wrapText="1"/>
    </xf>
    <xf numFmtId="0" fontId="22" fillId="0" borderId="4" xfId="0" applyFont="1" applyBorder="1" applyAlignment="1">
      <alignment horizontal="center" vertical="center"/>
    </xf>
    <xf numFmtId="0" fontId="37" fillId="0" borderId="19" xfId="0" applyFont="1" applyBorder="1" applyAlignment="1">
      <alignment vertical="top" wrapText="1"/>
    </xf>
    <xf numFmtId="0" fontId="37" fillId="0" borderId="2" xfId="0" applyFont="1" applyBorder="1" applyAlignment="1">
      <alignment vertical="top" wrapText="1"/>
    </xf>
    <xf numFmtId="0" fontId="2" fillId="0" borderId="4" xfId="0" applyFont="1" applyBorder="1"/>
    <xf numFmtId="0" fontId="37" fillId="0" borderId="2" xfId="0" applyFont="1" applyBorder="1" applyAlignment="1">
      <alignment horizontal="justify" vertical="top" wrapText="1"/>
    </xf>
    <xf numFmtId="0" fontId="37" fillId="0" borderId="22" xfId="0" applyFont="1" applyBorder="1" applyAlignment="1">
      <alignment horizontal="justify" vertical="top" wrapText="1"/>
    </xf>
    <xf numFmtId="0" fontId="37" fillId="0" borderId="23" xfId="0" applyFont="1" applyBorder="1" applyAlignment="1">
      <alignment horizontal="justify" vertical="top" wrapText="1"/>
    </xf>
    <xf numFmtId="3" fontId="37" fillId="0" borderId="23" xfId="0" applyNumberFormat="1" applyFont="1" applyBorder="1" applyAlignment="1">
      <alignment horizontal="right" vertical="center" wrapText="1" indent="1"/>
    </xf>
    <xf numFmtId="0" fontId="35" fillId="4" borderId="13" xfId="0" applyFont="1" applyFill="1" applyBorder="1" applyAlignment="1">
      <alignment vertical="center" wrapText="1"/>
    </xf>
    <xf numFmtId="3" fontId="35" fillId="4" borderId="13" xfId="0" applyNumberFormat="1" applyFont="1" applyFill="1" applyBorder="1" applyAlignment="1">
      <alignment horizontal="right" vertical="center" wrapText="1" indent="1"/>
    </xf>
    <xf numFmtId="3" fontId="23" fillId="4" borderId="3" xfId="0" applyNumberFormat="1" applyFont="1" applyFill="1" applyBorder="1"/>
    <xf numFmtId="0" fontId="2" fillId="3" borderId="0" xfId="0" applyFont="1" applyFill="1"/>
    <xf numFmtId="0" fontId="22" fillId="0" borderId="8" xfId="0" applyFont="1" applyBorder="1" applyAlignment="1">
      <alignment horizontal="center" vertical="center"/>
    </xf>
    <xf numFmtId="0" fontId="36" fillId="0" borderId="6" xfId="0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3" fontId="37" fillId="0" borderId="26" xfId="0" applyNumberFormat="1" applyFont="1" applyBorder="1" applyAlignment="1">
      <alignment horizontal="right" vertical="center" wrapText="1" indent="1"/>
    </xf>
    <xf numFmtId="0" fontId="37" fillId="0" borderId="22" xfId="0" applyFont="1" applyBorder="1" applyAlignment="1">
      <alignment vertical="top" wrapText="1"/>
    </xf>
    <xf numFmtId="0" fontId="37" fillId="0" borderId="23" xfId="0" applyFont="1" applyBorder="1" applyAlignment="1">
      <alignment vertical="top" wrapText="1"/>
    </xf>
    <xf numFmtId="0" fontId="37" fillId="0" borderId="21" xfId="0" applyFont="1" applyBorder="1" applyAlignment="1">
      <alignment vertical="top" wrapText="1"/>
    </xf>
    <xf numFmtId="0" fontId="35" fillId="4" borderId="13" xfId="0" applyFont="1" applyFill="1" applyBorder="1" applyAlignment="1">
      <alignment vertical="top" wrapText="1"/>
    </xf>
    <xf numFmtId="3" fontId="35" fillId="7" borderId="13" xfId="0" applyNumberFormat="1" applyFont="1" applyFill="1" applyBorder="1" applyAlignment="1">
      <alignment horizontal="right" vertical="center" wrapText="1" indent="1"/>
    </xf>
    <xf numFmtId="3" fontId="35" fillId="7" borderId="13" xfId="0" applyNumberFormat="1" applyFont="1" applyFill="1" applyBorder="1" applyAlignment="1">
      <alignment vertical="center" wrapText="1"/>
    </xf>
    <xf numFmtId="0" fontId="22" fillId="0" borderId="9" xfId="0" applyFont="1" applyBorder="1" applyAlignment="1">
      <alignment horizontal="center" vertical="center"/>
    </xf>
    <xf numFmtId="0" fontId="37" fillId="0" borderId="20" xfId="0" applyFont="1" applyBorder="1" applyAlignment="1">
      <alignment vertical="top" wrapText="1"/>
    </xf>
    <xf numFmtId="0" fontId="35" fillId="3" borderId="27" xfId="0" applyFont="1" applyFill="1" applyBorder="1" applyAlignment="1">
      <alignment vertical="top" wrapText="1"/>
    </xf>
    <xf numFmtId="3" fontId="37" fillId="3" borderId="27" xfId="0" applyNumberFormat="1" applyFont="1" applyFill="1" applyBorder="1" applyAlignment="1">
      <alignment horizontal="right" vertical="center" wrapText="1" indent="1"/>
    </xf>
    <xf numFmtId="3" fontId="35" fillId="3" borderId="27" xfId="0" applyNumberFormat="1" applyFont="1" applyFill="1" applyBorder="1" applyAlignment="1">
      <alignment vertical="center" wrapText="1"/>
    </xf>
    <xf numFmtId="0" fontId="22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justify" vertical="top" wrapText="1"/>
    </xf>
    <xf numFmtId="0" fontId="35" fillId="3" borderId="31" xfId="0" applyFont="1" applyFill="1" applyBorder="1" applyAlignment="1">
      <alignment vertical="top" wrapText="1"/>
    </xf>
    <xf numFmtId="3" fontId="37" fillId="3" borderId="31" xfId="0" applyNumberFormat="1" applyFont="1" applyFill="1" applyBorder="1" applyAlignment="1">
      <alignment horizontal="right" vertical="center" wrapText="1" indent="1"/>
    </xf>
    <xf numFmtId="3" fontId="35" fillId="3" borderId="31" xfId="0" applyNumberFormat="1" applyFont="1" applyFill="1" applyBorder="1" applyAlignment="1">
      <alignment vertical="center" wrapText="1"/>
    </xf>
    <xf numFmtId="0" fontId="35" fillId="2" borderId="13" xfId="0" applyFont="1" applyFill="1" applyBorder="1" applyAlignment="1">
      <alignment horizontal="left" vertical="center" wrapText="1"/>
    </xf>
    <xf numFmtId="0" fontId="0" fillId="0" borderId="0" xfId="0"/>
    <xf numFmtId="0" fontId="7" fillId="0" borderId="0" xfId="0" applyFont="1" applyFill="1" applyAlignment="1">
      <alignment horizontal="center"/>
    </xf>
    <xf numFmtId="0" fontId="12" fillId="0" borderId="0" xfId="0" applyFont="1"/>
    <xf numFmtId="0" fontId="0" fillId="0" borderId="0" xfId="0" applyFill="1"/>
    <xf numFmtId="41" fontId="45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/>
    <xf numFmtId="41" fontId="0" fillId="0" borderId="0" xfId="0" applyNumberFormat="1" applyFill="1"/>
    <xf numFmtId="41" fontId="7" fillId="0" borderId="0" xfId="0" applyNumberFormat="1" applyFont="1" applyFill="1" applyAlignment="1">
      <alignment horizontal="center"/>
    </xf>
    <xf numFmtId="0" fontId="23" fillId="4" borderId="7" xfId="0" applyFont="1" applyFill="1" applyBorder="1" applyAlignment="1">
      <alignment horizontal="center" vertical="center" wrapText="1"/>
    </xf>
    <xf numFmtId="41" fontId="23" fillId="4" borderId="26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top" wrapText="1"/>
    </xf>
    <xf numFmtId="41" fontId="22" fillId="0" borderId="27" xfId="0" applyNumberFormat="1" applyFont="1" applyFill="1" applyBorder="1" applyAlignment="1">
      <alignment horizontal="right" vertical="top" wrapText="1"/>
    </xf>
    <xf numFmtId="0" fontId="39" fillId="0" borderId="0" xfId="0" applyFont="1" applyFill="1"/>
    <xf numFmtId="0" fontId="23" fillId="0" borderId="4" xfId="0" applyFont="1" applyFill="1" applyBorder="1" applyAlignment="1">
      <alignment horizontal="center" vertical="top"/>
    </xf>
    <xf numFmtId="0" fontId="22" fillId="0" borderId="4" xfId="0" applyFont="1" applyFill="1" applyBorder="1" applyAlignment="1">
      <alignment vertical="top" wrapText="1"/>
    </xf>
    <xf numFmtId="165" fontId="22" fillId="0" borderId="2" xfId="0" applyNumberFormat="1" applyFont="1" applyFill="1" applyBorder="1" applyAlignment="1">
      <alignment horizontal="right" vertical="center" wrapText="1" indent="1"/>
    </xf>
    <xf numFmtId="0" fontId="23" fillId="0" borderId="17" xfId="0" applyFont="1" applyFill="1" applyBorder="1" applyAlignment="1">
      <alignment horizontal="center" vertical="top"/>
    </xf>
    <xf numFmtId="0" fontId="22" fillId="0" borderId="17" xfId="0" applyFont="1" applyFill="1" applyBorder="1" applyAlignment="1">
      <alignment vertical="top" wrapText="1"/>
    </xf>
    <xf numFmtId="165" fontId="22" fillId="0" borderId="32" xfId="0" applyNumberFormat="1" applyFont="1" applyFill="1" applyBorder="1" applyAlignment="1">
      <alignment horizontal="right" vertical="center" wrapText="1" indent="1"/>
    </xf>
    <xf numFmtId="0" fontId="23" fillId="4" borderId="3" xfId="0" applyFont="1" applyFill="1" applyBorder="1" applyAlignment="1">
      <alignment horizontal="center" vertical="top"/>
    </xf>
    <xf numFmtId="0" fontId="23" fillId="4" borderId="17" xfId="0" applyFont="1" applyFill="1" applyBorder="1" applyAlignment="1">
      <alignment vertical="top" wrapText="1"/>
    </xf>
    <xf numFmtId="165" fontId="23" fillId="4" borderId="32" xfId="0" applyNumberFormat="1" applyFont="1" applyFill="1" applyBorder="1" applyAlignment="1">
      <alignment horizontal="right" vertical="center" wrapText="1" indent="1"/>
    </xf>
    <xf numFmtId="0" fontId="39" fillId="2" borderId="0" xfId="0" applyFont="1" applyFill="1"/>
    <xf numFmtId="0" fontId="23" fillId="0" borderId="3" xfId="0" applyFont="1" applyFill="1" applyBorder="1" applyAlignment="1">
      <alignment horizontal="center" vertical="top"/>
    </xf>
    <xf numFmtId="0" fontId="23" fillId="0" borderId="33" xfId="0" applyFont="1" applyFill="1" applyBorder="1" applyAlignment="1">
      <alignment horizontal="center" vertical="top"/>
    </xf>
    <xf numFmtId="0" fontId="38" fillId="0" borderId="33" xfId="0" applyFont="1" applyFill="1" applyBorder="1" applyAlignment="1">
      <alignment vertical="top" wrapText="1"/>
    </xf>
    <xf numFmtId="165" fontId="22" fillId="0" borderId="28" xfId="0" applyNumberFormat="1" applyFont="1" applyFill="1" applyBorder="1" applyAlignment="1">
      <alignment horizontal="right" vertical="center" wrapText="1" indent="1"/>
    </xf>
    <xf numFmtId="0" fontId="23" fillId="4" borderId="3" xfId="0" applyFont="1" applyFill="1" applyBorder="1" applyAlignment="1">
      <alignment vertical="top" wrapText="1"/>
    </xf>
    <xf numFmtId="165" fontId="23" fillId="4" borderId="13" xfId="0" applyNumberFormat="1" applyFont="1" applyFill="1" applyBorder="1" applyAlignment="1">
      <alignment horizontal="right" vertical="center" wrapText="1" indent="1"/>
    </xf>
    <xf numFmtId="165" fontId="23" fillId="4" borderId="3" xfId="0" applyNumberFormat="1" applyFont="1" applyFill="1" applyBorder="1" applyAlignment="1">
      <alignment horizontal="right" vertical="center" wrapText="1" indent="1"/>
    </xf>
    <xf numFmtId="0" fontId="23" fillId="0" borderId="0" xfId="0" applyFont="1" applyFill="1" applyAlignment="1">
      <alignment horizontal="center" vertical="center"/>
    </xf>
    <xf numFmtId="41" fontId="39" fillId="0" borderId="0" xfId="0" applyNumberFormat="1" applyFont="1" applyFill="1"/>
    <xf numFmtId="0" fontId="16" fillId="4" borderId="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left" vertical="center" wrapText="1"/>
    </xf>
    <xf numFmtId="3" fontId="17" fillId="0" borderId="6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Border="1" applyAlignment="1">
      <alignment horizontal="right" vertical="center" wrapText="1" indent="1"/>
    </xf>
    <xf numFmtId="3" fontId="16" fillId="0" borderId="26" xfId="0" applyNumberFormat="1" applyFont="1" applyFill="1" applyBorder="1" applyAlignment="1">
      <alignment horizontal="right" vertical="center" wrapText="1" indent="1"/>
    </xf>
    <xf numFmtId="0" fontId="16" fillId="4" borderId="5" xfId="0" applyFont="1" applyFill="1" applyBorder="1" applyAlignment="1">
      <alignment horizontal="left"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/>
    <xf numFmtId="3" fontId="16" fillId="0" borderId="21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5" fillId="0" borderId="0" xfId="0" applyFont="1" applyFill="1" applyAlignment="1">
      <alignment horizontal="center"/>
    </xf>
    <xf numFmtId="3" fontId="16" fillId="0" borderId="2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left" vertical="center" wrapText="1" indent="1"/>
    </xf>
    <xf numFmtId="0" fontId="8" fillId="0" borderId="0" xfId="0" applyFont="1" applyFill="1" applyAlignment="1">
      <alignment horizontal="left"/>
    </xf>
    <xf numFmtId="0" fontId="15" fillId="4" borderId="5" xfId="0" applyFont="1" applyFill="1" applyBorder="1" applyAlignment="1">
      <alignment horizontal="left" vertical="center" wrapText="1"/>
    </xf>
    <xf numFmtId="164" fontId="16" fillId="4" borderId="13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right" vertical="center" indent="1"/>
    </xf>
    <xf numFmtId="3" fontId="16" fillId="0" borderId="21" xfId="0" applyNumberFormat="1" applyFont="1" applyFill="1" applyBorder="1" applyAlignment="1">
      <alignment horizontal="right" vertical="center" indent="1"/>
    </xf>
    <xf numFmtId="3" fontId="17" fillId="0" borderId="23" xfId="0" applyNumberFormat="1" applyFont="1" applyFill="1" applyBorder="1" applyAlignment="1">
      <alignment horizontal="right" vertical="center" indent="1"/>
    </xf>
    <xf numFmtId="3" fontId="16" fillId="0" borderId="26" xfId="0" applyNumberFormat="1" applyFont="1" applyFill="1" applyBorder="1" applyAlignment="1">
      <alignment horizontal="right" vertical="center" indent="1"/>
    </xf>
    <xf numFmtId="164" fontId="16" fillId="4" borderId="27" xfId="0" applyNumberFormat="1" applyFont="1" applyFill="1" applyBorder="1" applyAlignment="1">
      <alignment horizontal="center" vertical="center" wrapText="1"/>
    </xf>
    <xf numFmtId="164" fontId="16" fillId="4" borderId="3" xfId="0" applyNumberFormat="1" applyFont="1" applyFill="1" applyBorder="1" applyAlignment="1">
      <alignment horizontal="right" vertical="center" wrapText="1" indent="1"/>
    </xf>
    <xf numFmtId="164" fontId="16" fillId="0" borderId="27" xfId="0" applyNumberFormat="1" applyFont="1" applyFill="1" applyBorder="1" applyAlignment="1">
      <alignment horizontal="right" vertical="center" wrapText="1" indent="1"/>
    </xf>
    <xf numFmtId="164" fontId="16" fillId="0" borderId="3" xfId="0" applyNumberFormat="1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left"/>
    </xf>
    <xf numFmtId="164" fontId="3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64" fontId="3" fillId="2" borderId="17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 indent="1"/>
    </xf>
    <xf numFmtId="3" fontId="9" fillId="2" borderId="3" xfId="0" applyNumberFormat="1" applyFont="1" applyFill="1" applyBorder="1" applyAlignment="1">
      <alignment vertical="center" wrapText="1"/>
    </xf>
    <xf numFmtId="3" fontId="24" fillId="2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3" fontId="40" fillId="2" borderId="0" xfId="0" applyNumberFormat="1" applyFont="1" applyFill="1" applyBorder="1" applyAlignment="1">
      <alignment vertical="center"/>
    </xf>
    <xf numFmtId="0" fontId="40" fillId="2" borderId="0" xfId="0" applyFont="1" applyFill="1" applyBorder="1" applyAlignment="1">
      <alignment vertical="center"/>
    </xf>
    <xf numFmtId="0" fontId="40" fillId="2" borderId="0" xfId="0" applyFont="1" applyFill="1" applyAlignment="1">
      <alignment vertical="center"/>
    </xf>
    <xf numFmtId="0" fontId="9" fillId="2" borderId="35" xfId="0" applyFont="1" applyFill="1" applyBorder="1" applyAlignment="1">
      <alignment horizontal="left" vertical="center" wrapText="1" indent="1"/>
    </xf>
    <xf numFmtId="3" fontId="9" fillId="2" borderId="35" xfId="0" applyNumberFormat="1" applyFont="1" applyFill="1" applyBorder="1" applyAlignment="1">
      <alignment vertical="center" wrapText="1"/>
    </xf>
    <xf numFmtId="3" fontId="0" fillId="2" borderId="0" xfId="0" applyNumberFormat="1" applyFill="1" applyBorder="1"/>
    <xf numFmtId="3" fontId="16" fillId="3" borderId="27" xfId="0" applyNumberFormat="1" applyFont="1" applyFill="1" applyBorder="1" applyAlignment="1">
      <alignment vertical="center"/>
    </xf>
    <xf numFmtId="3" fontId="16" fillId="0" borderId="19" xfId="0" applyNumberFormat="1" applyFont="1" applyFill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/>
    </xf>
    <xf numFmtId="0" fontId="0" fillId="2" borderId="6" xfId="0" applyFill="1" applyBorder="1"/>
    <xf numFmtId="164" fontId="3" fillId="2" borderId="3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 wrapText="1" indent="1"/>
    </xf>
    <xf numFmtId="3" fontId="9" fillId="6" borderId="3" xfId="0" applyNumberFormat="1" applyFont="1" applyFill="1" applyBorder="1" applyAlignment="1">
      <alignment vertical="center" wrapText="1"/>
    </xf>
    <xf numFmtId="3" fontId="24" fillId="6" borderId="0" xfId="0" applyNumberFormat="1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24" fillId="6" borderId="0" xfId="0" applyFont="1" applyFill="1" applyAlignment="1">
      <alignment vertical="center"/>
    </xf>
    <xf numFmtId="3" fontId="8" fillId="0" borderId="3" xfId="0" applyNumberFormat="1" applyFont="1" applyBorder="1" applyAlignment="1">
      <alignment vertical="center" wrapText="1"/>
    </xf>
    <xf numFmtId="0" fontId="9" fillId="3" borderId="3" xfId="0" applyFont="1" applyFill="1" applyBorder="1" applyAlignment="1">
      <alignment horizontal="left" vertical="center" wrapText="1" indent="1"/>
    </xf>
    <xf numFmtId="3" fontId="9" fillId="3" borderId="3" xfId="0" applyNumberFormat="1" applyFont="1" applyFill="1" applyBorder="1" applyAlignment="1">
      <alignment vertical="center" wrapText="1"/>
    </xf>
    <xf numFmtId="0" fontId="24" fillId="3" borderId="0" xfId="0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0" fontId="8" fillId="0" borderId="29" xfId="0" applyFont="1" applyFill="1" applyBorder="1" applyAlignment="1">
      <alignment horizontal="left" vertical="center" wrapText="1" indent="1"/>
    </xf>
    <xf numFmtId="3" fontId="8" fillId="0" borderId="29" xfId="0" applyNumberFormat="1" applyFont="1" applyFill="1" applyBorder="1" applyAlignment="1">
      <alignment vertical="center" wrapText="1"/>
    </xf>
    <xf numFmtId="0" fontId="0" fillId="6" borderId="0" xfId="0" applyFill="1" applyBorder="1"/>
    <xf numFmtId="3" fontId="12" fillId="0" borderId="0" xfId="0" applyNumberFormat="1" applyFont="1" applyFill="1"/>
    <xf numFmtId="0" fontId="12" fillId="0" borderId="0" xfId="0" applyFont="1" applyFill="1"/>
    <xf numFmtId="0" fontId="9" fillId="2" borderId="36" xfId="0" applyFont="1" applyFill="1" applyBorder="1" applyAlignment="1">
      <alignment horizontal="left" vertical="center" wrapText="1" indent="1"/>
    </xf>
    <xf numFmtId="3" fontId="9" fillId="2" borderId="36" xfId="0" applyNumberFormat="1" applyFont="1" applyFill="1" applyBorder="1" applyAlignment="1">
      <alignment vertical="center" wrapText="1"/>
    </xf>
    <xf numFmtId="3" fontId="0" fillId="2" borderId="0" xfId="0" applyNumberFormat="1" applyFill="1"/>
    <xf numFmtId="164" fontId="16" fillId="0" borderId="2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indent="15"/>
    </xf>
    <xf numFmtId="0" fontId="8" fillId="0" borderId="0" xfId="0" applyFont="1" applyBorder="1" applyAlignment="1"/>
    <xf numFmtId="164" fontId="9" fillId="4" borderId="14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vertical="top" wrapText="1"/>
    </xf>
    <xf numFmtId="0" fontId="8" fillId="0" borderId="37" xfId="0" applyFont="1" applyBorder="1" applyAlignment="1">
      <alignment horizontal="center" vertical="top" wrapText="1"/>
    </xf>
    <xf numFmtId="164" fontId="8" fillId="0" borderId="23" xfId="0" applyNumberFormat="1" applyFont="1" applyBorder="1" applyAlignment="1">
      <alignment horizontal="center" vertical="center" wrapText="1"/>
    </xf>
    <xf numFmtId="164" fontId="9" fillId="0" borderId="23" xfId="0" applyNumberFormat="1" applyFont="1" applyBorder="1" applyAlignment="1">
      <alignment horizontal="right" vertical="center" wrapText="1" indent="1"/>
    </xf>
    <xf numFmtId="164" fontId="8" fillId="0" borderId="2" xfId="0" applyNumberFormat="1" applyFont="1" applyBorder="1" applyAlignment="1">
      <alignment horizontal="right" vertical="center" wrapText="1" indent="1"/>
    </xf>
    <xf numFmtId="0" fontId="8" fillId="0" borderId="19" xfId="0" applyFont="1" applyBorder="1" applyAlignment="1">
      <alignment horizontal="left" vertical="top" wrapText="1" indent="1"/>
    </xf>
    <xf numFmtId="0" fontId="8" fillId="0" borderId="25" xfId="0" applyFont="1" applyBorder="1" applyAlignment="1">
      <alignment horizontal="left" vertical="top" wrapText="1" indent="1"/>
    </xf>
    <xf numFmtId="164" fontId="8" fillId="0" borderId="25" xfId="0" applyNumberFormat="1" applyFont="1" applyBorder="1" applyAlignment="1">
      <alignment horizontal="left" vertical="top" wrapText="1" indent="1"/>
    </xf>
    <xf numFmtId="0" fontId="8" fillId="0" borderId="20" xfId="0" applyFont="1" applyBorder="1" applyAlignment="1">
      <alignment horizontal="left" vertical="top" wrapText="1" indent="1"/>
    </xf>
    <xf numFmtId="164" fontId="8" fillId="0" borderId="18" xfId="0" applyNumberFormat="1" applyFont="1" applyBorder="1" applyAlignment="1">
      <alignment horizontal="left" vertical="top" wrapText="1" indent="1"/>
    </xf>
    <xf numFmtId="164" fontId="8" fillId="0" borderId="21" xfId="0" applyNumberFormat="1" applyFont="1" applyBorder="1" applyAlignment="1">
      <alignment horizontal="right" vertical="center" wrapText="1" indent="1"/>
    </xf>
    <xf numFmtId="164" fontId="9" fillId="4" borderId="13" xfId="0" applyNumberFormat="1" applyFont="1" applyFill="1" applyBorder="1" applyAlignment="1">
      <alignment horizontal="right" vertical="center" wrapText="1" indent="1"/>
    </xf>
    <xf numFmtId="0" fontId="8" fillId="0" borderId="18" xfId="0" applyFont="1" applyBorder="1" applyAlignment="1">
      <alignment horizontal="left" vertical="top" wrapText="1" indent="1"/>
    </xf>
    <xf numFmtId="0" fontId="8" fillId="0" borderId="6" xfId="0" applyFont="1" applyBorder="1" applyAlignment="1">
      <alignment horizontal="left" vertical="top" wrapText="1" indent="1"/>
    </xf>
    <xf numFmtId="0" fontId="8" fillId="0" borderId="25" xfId="0" applyFont="1" applyBorder="1" applyAlignment="1">
      <alignment horizontal="left" vertical="top" wrapText="1"/>
    </xf>
    <xf numFmtId="164" fontId="9" fillId="0" borderId="2" xfId="0" applyNumberFormat="1" applyFont="1" applyBorder="1" applyAlignment="1">
      <alignment horizontal="right" vertical="center" wrapText="1" indent="1"/>
    </xf>
    <xf numFmtId="164" fontId="8" fillId="0" borderId="25" xfId="0" applyNumberFormat="1" applyFont="1" applyBorder="1" applyAlignment="1">
      <alignment horizontal="right" vertical="center" wrapText="1" indent="1"/>
    </xf>
    <xf numFmtId="3" fontId="8" fillId="0" borderId="25" xfId="0" applyNumberFormat="1" applyFont="1" applyBorder="1" applyAlignment="1">
      <alignment horizontal="right" vertical="top" wrapText="1" indent="1"/>
    </xf>
    <xf numFmtId="3" fontId="8" fillId="0" borderId="18" xfId="0" applyNumberFormat="1" applyFont="1" applyBorder="1" applyAlignment="1">
      <alignment horizontal="right" vertical="top" wrapText="1" indent="1"/>
    </xf>
    <xf numFmtId="3" fontId="8" fillId="0" borderId="18" xfId="0" applyNumberFormat="1" applyFont="1" applyFill="1" applyBorder="1" applyAlignment="1">
      <alignment horizontal="right" vertical="top" wrapText="1" indent="1"/>
    </xf>
    <xf numFmtId="3" fontId="8" fillId="0" borderId="21" xfId="0" applyNumberFormat="1" applyFont="1" applyFill="1" applyBorder="1" applyAlignment="1">
      <alignment horizontal="right" vertical="top" wrapText="1" indent="1"/>
    </xf>
    <xf numFmtId="164" fontId="8" fillId="0" borderId="4" xfId="0" applyNumberFormat="1" applyFont="1" applyBorder="1" applyAlignment="1">
      <alignment horizontal="right" vertical="center" wrapText="1" indent="1"/>
    </xf>
    <xf numFmtId="164" fontId="9" fillId="4" borderId="28" xfId="0" applyNumberFormat="1" applyFont="1" applyFill="1" applyBorder="1" applyAlignment="1">
      <alignment horizontal="right" vertical="center" wrapText="1" indent="1"/>
    </xf>
    <xf numFmtId="0" fontId="9" fillId="4" borderId="30" xfId="0" applyFont="1" applyFill="1" applyBorder="1" applyAlignment="1">
      <alignment horizontal="left" vertical="top" wrapText="1" indent="1"/>
    </xf>
    <xf numFmtId="3" fontId="8" fillId="4" borderId="38" xfId="0" applyNumberFormat="1" applyFont="1" applyFill="1" applyBorder="1" applyAlignment="1">
      <alignment horizontal="right" vertical="top" wrapText="1" indent="1"/>
    </xf>
    <xf numFmtId="164" fontId="8" fillId="4" borderId="31" xfId="0" applyNumberFormat="1" applyFont="1" applyFill="1" applyBorder="1" applyAlignment="1">
      <alignment horizontal="right" vertical="center" wrapText="1" indent="1"/>
    </xf>
    <xf numFmtId="164" fontId="8" fillId="0" borderId="26" xfId="0" applyNumberFormat="1" applyFont="1" applyBorder="1" applyAlignment="1">
      <alignment horizontal="right" vertical="center" wrapText="1" indent="1"/>
    </xf>
    <xf numFmtId="0" fontId="8" fillId="0" borderId="22" xfId="0" applyFont="1" applyBorder="1" applyAlignment="1">
      <alignment horizontal="left" vertical="top" wrapText="1" indent="1"/>
    </xf>
    <xf numFmtId="3" fontId="8" fillId="0" borderId="37" xfId="0" applyNumberFormat="1" applyFont="1" applyBorder="1" applyAlignment="1">
      <alignment horizontal="right" vertical="top" wrapText="1" indent="1"/>
    </xf>
    <xf numFmtId="164" fontId="8" fillId="0" borderId="23" xfId="0" applyNumberFormat="1" applyFont="1" applyBorder="1" applyAlignment="1">
      <alignment horizontal="right" vertical="center" wrapText="1" indent="1"/>
    </xf>
    <xf numFmtId="3" fontId="8" fillId="0" borderId="25" xfId="0" applyNumberFormat="1" applyFont="1" applyFill="1" applyBorder="1" applyAlignment="1">
      <alignment horizontal="right" vertical="top" wrapText="1" indent="1"/>
    </xf>
    <xf numFmtId="164" fontId="8" fillId="4" borderId="23" xfId="0" applyNumberFormat="1" applyFont="1" applyFill="1" applyBorder="1" applyAlignment="1">
      <alignment horizontal="right" vertical="center" wrapText="1" indent="1"/>
    </xf>
    <xf numFmtId="164" fontId="9" fillId="4" borderId="23" xfId="0" applyNumberFormat="1" applyFont="1" applyFill="1" applyBorder="1" applyAlignment="1">
      <alignment horizontal="right" vertical="center" wrapText="1" indent="1"/>
    </xf>
    <xf numFmtId="164" fontId="45" fillId="0" borderId="0" xfId="0" applyNumberFormat="1" applyFont="1"/>
    <xf numFmtId="164" fontId="8" fillId="4" borderId="2" xfId="0" applyNumberFormat="1" applyFont="1" applyFill="1" applyBorder="1" applyAlignment="1">
      <alignment horizontal="right" vertical="center" wrapText="1" indent="1"/>
    </xf>
    <xf numFmtId="164" fontId="9" fillId="4" borderId="2" xfId="0" applyNumberFormat="1" applyFont="1" applyFill="1" applyBorder="1" applyAlignment="1">
      <alignment horizontal="right" vertical="center" wrapText="1" indent="1"/>
    </xf>
    <xf numFmtId="164" fontId="8" fillId="4" borderId="26" xfId="0" applyNumberFormat="1" applyFont="1" applyFill="1" applyBorder="1" applyAlignment="1">
      <alignment horizontal="right" vertical="center" wrapText="1" indent="1"/>
    </xf>
    <xf numFmtId="164" fontId="9" fillId="4" borderId="26" xfId="0" applyNumberFormat="1" applyFont="1" applyFill="1" applyBorder="1" applyAlignment="1">
      <alignment horizontal="right" vertical="center" wrapText="1" indent="1"/>
    </xf>
    <xf numFmtId="0" fontId="9" fillId="4" borderId="5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 indent="1"/>
    </xf>
    <xf numFmtId="164" fontId="8" fillId="4" borderId="14" xfId="0" applyNumberFormat="1" applyFont="1" applyFill="1" applyBorder="1" applyAlignment="1">
      <alignment horizontal="right" vertical="center" wrapText="1" indent="1"/>
    </xf>
    <xf numFmtId="164" fontId="9" fillId="4" borderId="3" xfId="0" applyNumberFormat="1" applyFont="1" applyFill="1" applyBorder="1" applyAlignment="1">
      <alignment horizontal="right" vertical="center" wrapText="1" indent="1"/>
    </xf>
    <xf numFmtId="164" fontId="8" fillId="4" borderId="13" xfId="0" applyNumberFormat="1" applyFont="1" applyFill="1" applyBorder="1" applyAlignment="1">
      <alignment horizontal="right" vertical="center" wrapText="1" indent="1"/>
    </xf>
    <xf numFmtId="164" fontId="8" fillId="0" borderId="26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right" vertical="top" wrapText="1"/>
    </xf>
    <xf numFmtId="3" fontId="8" fillId="0" borderId="25" xfId="0" applyNumberFormat="1" applyFont="1" applyBorder="1" applyAlignment="1">
      <alignment horizontal="right" vertical="center" wrapText="1" indent="1"/>
    </xf>
    <xf numFmtId="164" fontId="8" fillId="0" borderId="25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 indent="1"/>
    </xf>
    <xf numFmtId="0" fontId="8" fillId="0" borderId="30" xfId="0" applyFont="1" applyBorder="1" applyAlignment="1">
      <alignment horizontal="left" vertical="top" wrapText="1" indent="1"/>
    </xf>
    <xf numFmtId="0" fontId="8" fillId="0" borderId="38" xfId="0" applyFont="1" applyBorder="1" applyAlignment="1">
      <alignment horizontal="left" vertical="top" wrapText="1" indent="1"/>
    </xf>
    <xf numFmtId="164" fontId="8" fillId="0" borderId="31" xfId="0" applyNumberFormat="1" applyFont="1" applyFill="1" applyBorder="1" applyAlignment="1">
      <alignment horizontal="right" vertical="center" wrapText="1" indent="1"/>
    </xf>
    <xf numFmtId="164" fontId="8" fillId="0" borderId="29" xfId="0" applyNumberFormat="1" applyFont="1" applyBorder="1" applyAlignment="1">
      <alignment horizontal="right" vertical="center" wrapText="1" indent="1"/>
    </xf>
    <xf numFmtId="164" fontId="8" fillId="0" borderId="26" xfId="0" applyNumberFormat="1" applyFont="1" applyFill="1" applyBorder="1" applyAlignment="1">
      <alignment horizontal="right" vertical="center" wrapText="1" indent="1"/>
    </xf>
    <xf numFmtId="0" fontId="9" fillId="4" borderId="5" xfId="0" applyFont="1" applyFill="1" applyBorder="1" applyAlignment="1">
      <alignment horizontal="justify" vertical="top" wrapText="1"/>
    </xf>
    <xf numFmtId="0" fontId="9" fillId="4" borderId="14" xfId="0" applyFont="1" applyFill="1" applyBorder="1" applyAlignment="1">
      <alignment horizontal="justify" vertical="top" wrapText="1"/>
    </xf>
    <xf numFmtId="164" fontId="8" fillId="0" borderId="27" xfId="0" applyNumberFormat="1" applyFont="1" applyBorder="1" applyAlignment="1">
      <alignment horizontal="right" vertical="center" wrapText="1" indent="1"/>
    </xf>
    <xf numFmtId="164" fontId="8" fillId="0" borderId="7" xfId="0" applyNumberFormat="1" applyFont="1" applyBorder="1" applyAlignment="1">
      <alignment horizontal="right" vertical="center" wrapText="1" indent="1"/>
    </xf>
    <xf numFmtId="164" fontId="8" fillId="0" borderId="37" xfId="0" applyNumberFormat="1" applyFont="1" applyBorder="1" applyAlignment="1">
      <alignment horizontal="right" vertical="center" wrapText="1" indent="1"/>
    </xf>
    <xf numFmtId="164" fontId="8" fillId="0" borderId="8" xfId="0" applyNumberFormat="1" applyFont="1" applyFill="1" applyBorder="1" applyAlignment="1">
      <alignment horizontal="right" vertical="center" wrapText="1" indent="1"/>
    </xf>
    <xf numFmtId="164" fontId="9" fillId="4" borderId="14" xfId="0" applyNumberFormat="1" applyFont="1" applyFill="1" applyBorder="1" applyAlignment="1">
      <alignment horizontal="right" vertical="center" wrapText="1" indent="1"/>
    </xf>
    <xf numFmtId="164" fontId="9" fillId="4" borderId="28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164" fontId="9" fillId="4" borderId="31" xfId="0" applyNumberFormat="1" applyFont="1" applyFill="1" applyBorder="1" applyAlignment="1">
      <alignment horizontal="left" vertical="center" wrapText="1"/>
    </xf>
    <xf numFmtId="164" fontId="9" fillId="4" borderId="31" xfId="0" applyNumberFormat="1" applyFont="1" applyFill="1" applyBorder="1" applyAlignment="1">
      <alignment horizontal="right" vertical="center" wrapText="1" indent="1"/>
    </xf>
    <xf numFmtId="0" fontId="10" fillId="0" borderId="6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4" fontId="9" fillId="0" borderId="26" xfId="0" applyNumberFormat="1" applyFont="1" applyBorder="1" applyAlignment="1">
      <alignment horizontal="right" vertical="center" wrapText="1" indent="1"/>
    </xf>
    <xf numFmtId="0" fontId="8" fillId="0" borderId="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4" borderId="5" xfId="0" applyFont="1" applyFill="1" applyBorder="1" applyAlignment="1">
      <alignment vertical="top" wrapText="1"/>
    </xf>
    <xf numFmtId="0" fontId="9" fillId="4" borderId="14" xfId="0" applyFont="1" applyFill="1" applyBorder="1" applyAlignment="1">
      <alignment vertical="top" wrapText="1"/>
    </xf>
    <xf numFmtId="164" fontId="46" fillId="0" borderId="0" xfId="0" applyNumberFormat="1" applyFont="1" applyFill="1"/>
    <xf numFmtId="0" fontId="45" fillId="0" borderId="0" xfId="0" applyFont="1" applyFill="1" applyAlignment="1">
      <alignment horizontal="right"/>
    </xf>
    <xf numFmtId="164" fontId="45" fillId="0" borderId="0" xfId="0" applyNumberFormat="1" applyFont="1" applyFill="1"/>
    <xf numFmtId="3" fontId="8" fillId="0" borderId="38" xfId="0" applyNumberFormat="1" applyFont="1" applyFill="1" applyBorder="1" applyAlignment="1">
      <alignment horizontal="right" vertical="top" wrapText="1" indent="1"/>
    </xf>
    <xf numFmtId="3" fontId="8" fillId="0" borderId="31" xfId="0" applyNumberFormat="1" applyFont="1" applyFill="1" applyBorder="1" applyAlignment="1">
      <alignment horizontal="right" vertical="top" wrapText="1" indent="1"/>
    </xf>
    <xf numFmtId="0" fontId="8" fillId="0" borderId="6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164" fontId="8" fillId="0" borderId="0" xfId="0" applyNumberFormat="1" applyFont="1" applyBorder="1" applyAlignment="1">
      <alignment horizontal="right" vertical="center" wrapText="1" indent="1"/>
    </xf>
    <xf numFmtId="164" fontId="8" fillId="0" borderId="7" xfId="0" applyNumberFormat="1" applyFont="1" applyFill="1" applyBorder="1" applyAlignment="1">
      <alignment horizontal="right" vertical="center" wrapText="1" indent="1"/>
    </xf>
    <xf numFmtId="3" fontId="45" fillId="0" borderId="0" xfId="0" applyNumberFormat="1" applyFont="1"/>
    <xf numFmtId="3" fontId="11" fillId="0" borderId="0" xfId="0" applyNumberFormat="1" applyFont="1" applyAlignment="1">
      <alignment horizontal="left"/>
    </xf>
    <xf numFmtId="0" fontId="41" fillId="0" borderId="0" xfId="0" applyFont="1" applyFill="1"/>
    <xf numFmtId="164" fontId="41" fillId="0" borderId="0" xfId="0" applyNumberFormat="1" applyFont="1" applyFill="1"/>
    <xf numFmtId="16" fontId="41" fillId="0" borderId="0" xfId="0" applyNumberFormat="1" applyFont="1" applyFill="1"/>
    <xf numFmtId="0" fontId="42" fillId="0" borderId="0" xfId="0" applyFont="1" applyFill="1" applyAlignment="1">
      <alignment horizontal="left"/>
    </xf>
    <xf numFmtId="164" fontId="42" fillId="0" borderId="0" xfId="0" applyNumberFormat="1" applyFont="1" applyFill="1"/>
    <xf numFmtId="0" fontId="42" fillId="0" borderId="0" xfId="0" applyFont="1" applyFill="1"/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vertical="center"/>
    </xf>
    <xf numFmtId="164" fontId="43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right"/>
    </xf>
    <xf numFmtId="0" fontId="41" fillId="4" borderId="0" xfId="0" applyFont="1" applyFill="1"/>
    <xf numFmtId="164" fontId="14" fillId="4" borderId="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left" vertical="center" wrapText="1"/>
    </xf>
    <xf numFmtId="3" fontId="41" fillId="0" borderId="4" xfId="0" applyNumberFormat="1" applyFont="1" applyFill="1" applyBorder="1" applyAlignment="1">
      <alignment vertical="center" wrapText="1"/>
    </xf>
    <xf numFmtId="3" fontId="14" fillId="0" borderId="4" xfId="0" applyNumberFormat="1" applyFont="1" applyFill="1" applyBorder="1" applyAlignment="1">
      <alignment vertical="center" wrapText="1"/>
    </xf>
    <xf numFmtId="3" fontId="41" fillId="0" borderId="0" xfId="0" applyNumberFormat="1" applyFont="1" applyFill="1"/>
    <xf numFmtId="3" fontId="41" fillId="0" borderId="4" xfId="0" applyNumberFormat="1" applyFont="1" applyFill="1" applyBorder="1" applyAlignment="1"/>
    <xf numFmtId="3" fontId="41" fillId="0" borderId="4" xfId="0" applyNumberFormat="1" applyFont="1" applyFill="1" applyBorder="1" applyAlignment="1">
      <alignment vertical="center"/>
    </xf>
    <xf numFmtId="0" fontId="41" fillId="0" borderId="9" xfId="0" applyFont="1" applyFill="1" applyBorder="1" applyAlignment="1">
      <alignment horizontal="left" vertical="center" wrapText="1"/>
    </xf>
    <xf numFmtId="3" fontId="41" fillId="0" borderId="9" xfId="0" applyNumberFormat="1" applyFont="1" applyFill="1" applyBorder="1" applyAlignment="1"/>
    <xf numFmtId="3" fontId="41" fillId="0" borderId="9" xfId="0" applyNumberFormat="1" applyFont="1" applyFill="1" applyBorder="1" applyAlignment="1">
      <alignment vertical="center"/>
    </xf>
    <xf numFmtId="3" fontId="41" fillId="0" borderId="9" xfId="0" applyNumberFormat="1" applyFont="1" applyFill="1" applyBorder="1" applyAlignment="1">
      <alignment vertical="center" wrapText="1"/>
    </xf>
    <xf numFmtId="0" fontId="14" fillId="4" borderId="10" xfId="0" applyFont="1" applyFill="1" applyBorder="1" applyAlignment="1">
      <alignment horizontal="left" vertical="center" wrapText="1"/>
    </xf>
    <xf numFmtId="3" fontId="14" fillId="4" borderId="3" xfId="0" applyNumberFormat="1" applyFont="1" applyFill="1" applyBorder="1" applyAlignment="1">
      <alignment vertical="center" wrapText="1"/>
    </xf>
    <xf numFmtId="3" fontId="14" fillId="4" borderId="0" xfId="0" applyNumberFormat="1" applyFont="1" applyFill="1"/>
    <xf numFmtId="0" fontId="14" fillId="4" borderId="0" xfId="0" applyFont="1" applyFill="1"/>
    <xf numFmtId="0" fontId="14" fillId="0" borderId="33" xfId="0" applyFont="1" applyFill="1" applyBorder="1" applyAlignment="1">
      <alignment horizontal="left" vertical="center" wrapText="1"/>
    </xf>
    <xf numFmtId="3" fontId="41" fillId="0" borderId="8" xfId="0" applyNumberFormat="1" applyFont="1" applyFill="1" applyBorder="1" applyAlignment="1">
      <alignment vertical="center" wrapText="1"/>
    </xf>
    <xf numFmtId="3" fontId="41" fillId="0" borderId="8" xfId="0" applyNumberFormat="1" applyFont="1" applyFill="1" applyBorder="1" applyAlignment="1">
      <alignment vertical="center"/>
    </xf>
    <xf numFmtId="3" fontId="41" fillId="0" borderId="8" xfId="0" applyNumberFormat="1" applyFont="1" applyFill="1" applyBorder="1" applyAlignment="1"/>
    <xf numFmtId="0" fontId="41" fillId="0" borderId="4" xfId="0" applyFont="1" applyFill="1" applyBorder="1" applyAlignment="1">
      <alignment vertical="center" wrapText="1"/>
    </xf>
    <xf numFmtId="0" fontId="14" fillId="4" borderId="33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41" fillId="0" borderId="4" xfId="0" applyFont="1" applyBorder="1" applyAlignment="1">
      <alignment horizontal="left" vertical="center" wrapText="1"/>
    </xf>
    <xf numFmtId="0" fontId="41" fillId="0" borderId="9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 inden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5" borderId="0" xfId="0" applyFont="1" applyFill="1" applyBorder="1"/>
    <xf numFmtId="0" fontId="16" fillId="5" borderId="3" xfId="0" applyFont="1" applyFill="1" applyBorder="1"/>
    <xf numFmtId="0" fontId="16" fillId="0" borderId="25" xfId="0" applyFont="1" applyFill="1" applyBorder="1" applyAlignment="1">
      <alignment horizontal="left" vertical="center" wrapText="1"/>
    </xf>
    <xf numFmtId="3" fontId="17" fillId="0" borderId="26" xfId="0" applyNumberFormat="1" applyFont="1" applyFill="1" applyBorder="1" applyAlignment="1">
      <alignment horizontal="right" vertical="center" wrapText="1" indent="1"/>
    </xf>
    <xf numFmtId="0" fontId="9" fillId="0" borderId="10" xfId="0" applyFont="1" applyFill="1" applyBorder="1"/>
    <xf numFmtId="0" fontId="9" fillId="4" borderId="5" xfId="0" applyFont="1" applyFill="1" applyBorder="1" applyAlignment="1">
      <alignment vertical="top" wrapText="1"/>
    </xf>
    <xf numFmtId="0" fontId="9" fillId="4" borderId="14" xfId="0" applyFont="1" applyFill="1" applyBorder="1" applyAlignment="1">
      <alignment vertical="top" wrapText="1"/>
    </xf>
    <xf numFmtId="164" fontId="8" fillId="0" borderId="17" xfId="0" applyNumberFormat="1" applyFont="1" applyFill="1" applyBorder="1" applyAlignment="1">
      <alignment horizontal="right" vertical="center" wrapText="1" indent="1"/>
    </xf>
    <xf numFmtId="3" fontId="9" fillId="0" borderId="4" xfId="0" applyNumberFormat="1" applyFont="1" applyBorder="1" applyAlignment="1">
      <alignment vertical="center" wrapText="1"/>
    </xf>
    <xf numFmtId="3" fontId="8" fillId="0" borderId="4" xfId="0" applyNumberFormat="1" applyFont="1" applyFill="1" applyBorder="1" applyAlignment="1">
      <alignment vertical="center" wrapText="1"/>
    </xf>
    <xf numFmtId="0" fontId="17" fillId="0" borderId="20" xfId="0" applyFont="1" applyFill="1" applyBorder="1" applyAlignment="1">
      <alignment horizontal="left" vertical="center" wrapText="1"/>
    </xf>
    <xf numFmtId="3" fontId="17" fillId="0" borderId="2" xfId="0" applyNumberFormat="1" applyFont="1" applyFill="1" applyBorder="1" applyAlignment="1">
      <alignment horizontal="right" vertical="center" wrapText="1"/>
    </xf>
    <xf numFmtId="0" fontId="17" fillId="0" borderId="24" xfId="0" applyFont="1" applyFill="1" applyBorder="1" applyAlignment="1">
      <alignment horizontal="left" vertical="center" wrapText="1"/>
    </xf>
    <xf numFmtId="3" fontId="16" fillId="0" borderId="23" xfId="0" applyNumberFormat="1" applyFont="1" applyFill="1" applyBorder="1" applyAlignment="1">
      <alignment horizontal="right" vertical="center" indent="1"/>
    </xf>
    <xf numFmtId="3" fontId="16" fillId="0" borderId="32" xfId="0" applyNumberFormat="1" applyFont="1" applyFill="1" applyBorder="1" applyAlignment="1">
      <alignment horizontal="right" vertical="center" indent="1"/>
    </xf>
    <xf numFmtId="3" fontId="16" fillId="0" borderId="14" xfId="0" applyNumberFormat="1" applyFont="1" applyFill="1" applyBorder="1" applyAlignment="1">
      <alignment horizontal="right" vertical="center" wrapText="1"/>
    </xf>
    <xf numFmtId="3" fontId="17" fillId="0" borderId="2" xfId="0" applyNumberFormat="1" applyFont="1" applyFill="1" applyBorder="1" applyAlignment="1">
      <alignment vertical="center" wrapText="1"/>
    </xf>
    <xf numFmtId="3" fontId="16" fillId="4" borderId="0" xfId="0" applyNumberFormat="1" applyFont="1" applyFill="1" applyBorder="1"/>
    <xf numFmtId="0" fontId="16" fillId="4" borderId="0" xfId="0" applyFont="1" applyFill="1" applyBorder="1"/>
    <xf numFmtId="0" fontId="16" fillId="4" borderId="10" xfId="0" applyFont="1" applyFill="1" applyBorder="1"/>
    <xf numFmtId="165" fontId="39" fillId="0" borderId="0" xfId="0" applyNumberFormat="1" applyFont="1" applyFill="1"/>
    <xf numFmtId="3" fontId="39" fillId="0" borderId="0" xfId="0" applyNumberFormat="1" applyFont="1" applyFill="1"/>
    <xf numFmtId="3" fontId="39" fillId="2" borderId="0" xfId="0" applyNumberFormat="1" applyFont="1" applyFill="1"/>
    <xf numFmtId="3" fontId="0" fillId="0" borderId="0" xfId="0" applyNumberFormat="1" applyFill="1" applyBorder="1"/>
    <xf numFmtId="3" fontId="45" fillId="0" borderId="0" xfId="0" applyNumberFormat="1" applyFont="1" applyFill="1"/>
    <xf numFmtId="0" fontId="8" fillId="0" borderId="19" xfId="0" applyFont="1" applyBorder="1" applyAlignment="1">
      <alignment horizontal="left" vertical="top" wrapText="1" indent="1"/>
    </xf>
    <xf numFmtId="0" fontId="8" fillId="0" borderId="25" xfId="0" applyFont="1" applyBorder="1" applyAlignment="1">
      <alignment horizontal="left" vertical="top" wrapText="1" indent="1"/>
    </xf>
    <xf numFmtId="0" fontId="8" fillId="0" borderId="6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 indent="1"/>
    </xf>
    <xf numFmtId="0" fontId="9" fillId="4" borderId="5" xfId="0" applyFont="1" applyFill="1" applyBorder="1" applyAlignment="1">
      <alignment horizontal="left" vertical="top" wrapText="1" indent="1"/>
    </xf>
    <xf numFmtId="0" fontId="9" fillId="4" borderId="14" xfId="0" applyFont="1" applyFill="1" applyBorder="1" applyAlignment="1">
      <alignment horizontal="left" vertical="top" wrapText="1" indent="1"/>
    </xf>
    <xf numFmtId="0" fontId="9" fillId="4" borderId="5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4" borderId="5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top" wrapText="1" indent="2"/>
    </xf>
    <xf numFmtId="0" fontId="8" fillId="0" borderId="25" xfId="0" applyFont="1" applyBorder="1" applyAlignment="1">
      <alignment horizontal="left" vertical="top" wrapText="1" indent="2"/>
    </xf>
    <xf numFmtId="0" fontId="8" fillId="0" borderId="22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9" fillId="4" borderId="39" xfId="0" applyFont="1" applyFill="1" applyBorder="1" applyAlignment="1">
      <alignment horizontal="left" vertical="top" wrapText="1"/>
    </xf>
    <xf numFmtId="0" fontId="9" fillId="4" borderId="34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9" fillId="4" borderId="22" xfId="0" applyFont="1" applyFill="1" applyBorder="1" applyAlignment="1">
      <alignment vertical="top" wrapText="1"/>
    </xf>
    <xf numFmtId="0" fontId="9" fillId="4" borderId="37" xfId="0" applyFont="1" applyFill="1" applyBorder="1" applyAlignment="1">
      <alignment vertical="top" wrapText="1"/>
    </xf>
    <xf numFmtId="0" fontId="9" fillId="4" borderId="19" xfId="0" applyFont="1" applyFill="1" applyBorder="1" applyAlignment="1">
      <alignment vertical="top" wrapText="1"/>
    </xf>
    <xf numFmtId="0" fontId="9" fillId="4" borderId="25" xfId="0" applyFont="1" applyFill="1" applyBorder="1" applyAlignment="1">
      <alignment vertical="top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4" borderId="5" xfId="0" applyFont="1" applyFill="1" applyBorder="1" applyAlignment="1">
      <alignment vertical="top" wrapText="1"/>
    </xf>
    <xf numFmtId="0" fontId="9" fillId="4" borderId="14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9" fillId="4" borderId="5" xfId="0" applyFont="1" applyFill="1" applyBorder="1" applyAlignment="1">
      <alignment horizontal="justify" vertical="top" wrapText="1"/>
    </xf>
    <xf numFmtId="0" fontId="9" fillId="4" borderId="14" xfId="0" applyFont="1" applyFill="1" applyBorder="1" applyAlignment="1">
      <alignment horizontal="justify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center" wrapText="1" indent="1"/>
    </xf>
    <xf numFmtId="0" fontId="8" fillId="0" borderId="37" xfId="0" applyFont="1" applyBorder="1" applyAlignment="1">
      <alignment horizontal="left" vertical="center" wrapText="1" indent="1"/>
    </xf>
    <xf numFmtId="0" fontId="9" fillId="4" borderId="39" xfId="0" applyFont="1" applyFill="1" applyBorder="1" applyAlignment="1">
      <alignment horizontal="left" vertical="center" wrapText="1"/>
    </xf>
    <xf numFmtId="0" fontId="9" fillId="4" borderId="34" xfId="0" applyFont="1" applyFill="1" applyBorder="1" applyAlignment="1">
      <alignment horizontal="left" vertical="center" wrapText="1"/>
    </xf>
    <xf numFmtId="0" fontId="9" fillId="4" borderId="30" xfId="0" applyFont="1" applyFill="1" applyBorder="1" applyAlignment="1">
      <alignment horizontal="left" vertical="center" wrapText="1"/>
    </xf>
    <xf numFmtId="0" fontId="9" fillId="4" borderId="38" xfId="0" applyFont="1" applyFill="1" applyBorder="1" applyAlignment="1">
      <alignment horizontal="left" vertical="center" wrapText="1"/>
    </xf>
    <xf numFmtId="164" fontId="14" fillId="4" borderId="11" xfId="0" applyNumberFormat="1" applyFont="1" applyFill="1" applyBorder="1" applyAlignment="1">
      <alignment horizontal="center" vertical="center" wrapText="1"/>
    </xf>
    <xf numFmtId="164" fontId="14" fillId="4" borderId="27" xfId="0" applyNumberFormat="1" applyFont="1" applyFill="1" applyBorder="1" applyAlignment="1">
      <alignment horizontal="center" vertical="center" wrapText="1"/>
    </xf>
    <xf numFmtId="164" fontId="14" fillId="4" borderId="40" xfId="0" applyNumberFormat="1" applyFont="1" applyFill="1" applyBorder="1" applyAlignment="1">
      <alignment horizontal="center" vertical="center" wrapText="1"/>
    </xf>
    <xf numFmtId="164" fontId="14" fillId="4" borderId="32" xfId="0" applyNumberFormat="1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/>
    </xf>
    <xf numFmtId="164" fontId="14" fillId="4" borderId="5" xfId="0" applyNumberFormat="1" applyFont="1" applyFill="1" applyBorder="1" applyAlignment="1">
      <alignment horizontal="center" vertical="center" wrapText="1"/>
    </xf>
    <xf numFmtId="164" fontId="14" fillId="4" borderId="13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/>
    </xf>
    <xf numFmtId="164" fontId="14" fillId="4" borderId="5" xfId="0" applyNumberFormat="1" applyFont="1" applyFill="1" applyBorder="1" applyAlignment="1">
      <alignment horizontal="center"/>
    </xf>
    <xf numFmtId="164" fontId="14" fillId="4" borderId="13" xfId="0" applyNumberFormat="1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164" fontId="14" fillId="4" borderId="3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164" fontId="43" fillId="0" borderId="0" xfId="0" applyNumberFormat="1" applyFont="1" applyFill="1" applyAlignment="1">
      <alignment horizontal="center" vertical="center"/>
    </xf>
    <xf numFmtId="0" fontId="41" fillId="0" borderId="0" xfId="0" applyFont="1" applyFill="1" applyBorder="1" applyAlignment="1">
      <alignment horizontal="right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40" xfId="0" applyNumberFormat="1" applyFont="1" applyFill="1" applyBorder="1" applyAlignment="1">
      <alignment horizontal="center" vertical="center" wrapText="1"/>
    </xf>
    <xf numFmtId="164" fontId="3" fillId="2" borderId="32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16" fillId="0" borderId="19" xfId="0" applyNumberFormat="1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3" fontId="16" fillId="0" borderId="39" xfId="0" applyNumberFormat="1" applyFont="1" applyFill="1" applyBorder="1" applyAlignment="1">
      <alignment horizontal="left" vertical="center" wrapText="1"/>
    </xf>
    <xf numFmtId="3" fontId="16" fillId="0" borderId="28" xfId="0" applyNumberFormat="1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35" fillId="4" borderId="5" xfId="0" applyFont="1" applyFill="1" applyBorder="1" applyAlignment="1">
      <alignment horizontal="left" vertical="center" wrapText="1"/>
    </xf>
    <xf numFmtId="0" fontId="35" fillId="4" borderId="14" xfId="0" applyFont="1" applyFill="1" applyBorder="1" applyAlignment="1">
      <alignment horizontal="left" vertical="center" wrapText="1"/>
    </xf>
    <xf numFmtId="0" fontId="35" fillId="7" borderId="5" xfId="0" applyFont="1" applyFill="1" applyBorder="1" applyAlignment="1">
      <alignment horizontal="left" vertical="center" wrapText="1"/>
    </xf>
    <xf numFmtId="0" fontId="35" fillId="7" borderId="14" xfId="0" applyFont="1" applyFill="1" applyBorder="1" applyAlignment="1">
      <alignment horizontal="left" vertical="center" wrapText="1"/>
    </xf>
    <xf numFmtId="0" fontId="35" fillId="7" borderId="13" xfId="0" applyFont="1" applyFill="1" applyBorder="1" applyAlignment="1">
      <alignment horizontal="left" vertical="center" wrapText="1"/>
    </xf>
    <xf numFmtId="0" fontId="35" fillId="2" borderId="5" xfId="0" applyFont="1" applyFill="1" applyBorder="1" applyAlignment="1">
      <alignment horizontal="left" vertical="center" wrapText="1"/>
    </xf>
    <xf numFmtId="0" fontId="35" fillId="2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22" fillId="0" borderId="1" xfId="0" applyFont="1" applyBorder="1" applyAlignment="1">
      <alignment horizontal="right"/>
    </xf>
    <xf numFmtId="0" fontId="35" fillId="4" borderId="10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/>
    </xf>
    <xf numFmtId="0" fontId="35" fillId="4" borderId="1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31" fillId="0" borderId="1" xfId="0" applyFont="1" applyFill="1" applyBorder="1" applyAlignment="1">
      <alignment horizontal="right" vertical="top" wrapText="1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Szab&#243;n&#233;%20B&#243;ka%20R&#233;ka\&#214;NKORM&#193;NYZAT\20180222%20k&#246;lts&#233;gvet&#233;s%20m&#243;dos&#237;t&#225;s%202017.%20UTOLS&#211;\K&#246;lts&#233;gvet&#233;s%20m&#243;dos&#237;t&#225;s%20mell&#233;kletei%202018.02.22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éklet"/>
      <sheetName val="2. sz. melléklet"/>
      <sheetName val="3. sz. melléklet"/>
      <sheetName val="4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</sheetNames>
    <sheetDataSet>
      <sheetData sheetId="0"/>
      <sheetData sheetId="1"/>
      <sheetData sheetId="2"/>
      <sheetData sheetId="3">
        <row r="38">
          <cell r="Z38">
            <v>40000</v>
          </cell>
        </row>
        <row r="39">
          <cell r="Z39">
            <v>2376210506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view="pageBreakPreview" topLeftCell="A43" zoomScale="89" zoomScaleSheetLayoutView="89" workbookViewId="0">
      <selection sqref="A1:D1"/>
    </sheetView>
  </sheetViews>
  <sheetFormatPr defaultRowHeight="15.75"/>
  <cols>
    <col min="1" max="1" width="74.5703125" style="63" customWidth="1"/>
    <col min="2" max="2" width="16.28515625" style="63" customWidth="1"/>
    <col min="3" max="3" width="19" style="374" customWidth="1"/>
    <col min="4" max="4" width="19.28515625" style="374" customWidth="1"/>
    <col min="5" max="5" width="19.28515625" style="63" hidden="1" customWidth="1"/>
    <col min="6" max="6" width="19.28515625" style="374" customWidth="1"/>
    <col min="7" max="7" width="25.140625" style="63" customWidth="1"/>
    <col min="8" max="8" width="14.28515625" style="63" bestFit="1" customWidth="1"/>
    <col min="9" max="16384" width="9.140625" style="63"/>
  </cols>
  <sheetData>
    <row r="1" spans="1:6" ht="20.100000000000001" customHeight="1">
      <c r="A1" s="504" t="s">
        <v>479</v>
      </c>
      <c r="B1" s="505"/>
      <c r="C1" s="505"/>
      <c r="D1" s="505"/>
      <c r="E1" s="331"/>
      <c r="F1" s="63"/>
    </row>
    <row r="2" spans="1:6" ht="20.100000000000001" customHeight="1">
      <c r="A2" s="332"/>
      <c r="B2" s="330"/>
      <c r="C2" s="333"/>
      <c r="D2" s="333"/>
      <c r="E2" s="333"/>
      <c r="F2" s="333"/>
    </row>
    <row r="3" spans="1:6" ht="39" customHeight="1">
      <c r="A3" s="528" t="s">
        <v>288</v>
      </c>
      <c r="B3" s="528"/>
      <c r="C3" s="528"/>
      <c r="D3" s="528"/>
      <c r="E3" s="528"/>
      <c r="F3" s="528"/>
    </row>
    <row r="4" spans="1:6" ht="20.100000000000001" customHeight="1">
      <c r="A4" s="332" t="s">
        <v>289</v>
      </c>
      <c r="B4" s="330"/>
      <c r="C4" s="333"/>
      <c r="D4" s="333"/>
      <c r="E4" s="333"/>
      <c r="F4" s="333"/>
    </row>
    <row r="5" spans="1:6" ht="20.100000000000001" customHeight="1" thickBot="1">
      <c r="A5" s="334"/>
      <c r="B5" s="335"/>
      <c r="C5" s="335"/>
      <c r="D5" s="99"/>
      <c r="E5" s="99"/>
      <c r="F5" s="99" t="s">
        <v>0</v>
      </c>
    </row>
    <row r="6" spans="1:6" ht="31.5" customHeight="1" thickBot="1">
      <c r="A6" s="506" t="s">
        <v>290</v>
      </c>
      <c r="B6" s="507"/>
      <c r="C6" s="336"/>
      <c r="D6" s="337" t="s">
        <v>291</v>
      </c>
      <c r="E6" s="337" t="s">
        <v>292</v>
      </c>
      <c r="F6" s="337" t="s">
        <v>292</v>
      </c>
    </row>
    <row r="7" spans="1:6" ht="20.100000000000001" customHeight="1">
      <c r="A7" s="338" t="s">
        <v>293</v>
      </c>
      <c r="B7" s="339"/>
      <c r="C7" s="340"/>
      <c r="D7" s="340"/>
      <c r="E7" s="340"/>
      <c r="F7" s="340"/>
    </row>
    <row r="8" spans="1:6" ht="20.100000000000001" customHeight="1">
      <c r="A8" s="341" t="s">
        <v>294</v>
      </c>
      <c r="B8" s="342" t="s">
        <v>0</v>
      </c>
      <c r="C8" s="343" t="s">
        <v>0</v>
      </c>
      <c r="D8" s="344"/>
      <c r="E8" s="344"/>
      <c r="F8" s="344"/>
    </row>
    <row r="9" spans="1:6" ht="20.100000000000001" customHeight="1">
      <c r="A9" s="341" t="s">
        <v>295</v>
      </c>
      <c r="B9" s="342"/>
      <c r="C9" s="343"/>
      <c r="D9" s="344"/>
      <c r="E9" s="344"/>
      <c r="F9" s="344"/>
    </row>
    <row r="10" spans="1:6" ht="20.100000000000001" customHeight="1">
      <c r="A10" s="496" t="s">
        <v>296</v>
      </c>
      <c r="B10" s="497"/>
      <c r="C10" s="345">
        <v>194650000</v>
      </c>
      <c r="D10" s="345">
        <v>194650000</v>
      </c>
      <c r="E10" s="345"/>
      <c r="F10" s="345">
        <v>194650000</v>
      </c>
    </row>
    <row r="11" spans="1:6" ht="20.100000000000001" customHeight="1">
      <c r="A11" s="496" t="s">
        <v>297</v>
      </c>
      <c r="B11" s="497"/>
      <c r="C11" s="345">
        <v>29491750</v>
      </c>
      <c r="D11" s="345">
        <v>0</v>
      </c>
      <c r="E11" s="345"/>
      <c r="F11" s="345">
        <v>0</v>
      </c>
    </row>
    <row r="12" spans="1:6" ht="20.100000000000001" customHeight="1">
      <c r="A12" s="496" t="s">
        <v>298</v>
      </c>
      <c r="B12" s="497"/>
      <c r="C12" s="345">
        <v>0</v>
      </c>
      <c r="D12" s="345"/>
      <c r="E12" s="345"/>
      <c r="F12" s="345"/>
    </row>
    <row r="13" spans="1:6" ht="20.100000000000001" customHeight="1">
      <c r="A13" s="346" t="s">
        <v>299</v>
      </c>
      <c r="B13" s="347"/>
      <c r="C13" s="345">
        <v>54720000</v>
      </c>
      <c r="D13" s="345">
        <v>47789692</v>
      </c>
      <c r="E13" s="345"/>
      <c r="F13" s="345">
        <v>47789692</v>
      </c>
    </row>
    <row r="14" spans="1:6" ht="20.100000000000001" customHeight="1">
      <c r="A14" s="496" t="s">
        <v>298</v>
      </c>
      <c r="B14" s="497"/>
      <c r="C14" s="345">
        <v>47789692</v>
      </c>
      <c r="D14" s="345"/>
      <c r="E14" s="345"/>
      <c r="F14" s="345"/>
    </row>
    <row r="15" spans="1:6" ht="20.100000000000001" customHeight="1">
      <c r="A15" s="346" t="s">
        <v>300</v>
      </c>
      <c r="B15" s="347"/>
      <c r="C15" s="345">
        <v>0</v>
      </c>
      <c r="D15" s="345">
        <v>0</v>
      </c>
      <c r="E15" s="345"/>
      <c r="F15" s="345">
        <v>0</v>
      </c>
    </row>
    <row r="16" spans="1:6" ht="20.100000000000001" customHeight="1">
      <c r="A16" s="346" t="s">
        <v>301</v>
      </c>
      <c r="B16" s="347"/>
      <c r="C16" s="345">
        <v>32733200</v>
      </c>
      <c r="D16" s="345">
        <v>32733200</v>
      </c>
      <c r="E16" s="345"/>
      <c r="F16" s="345">
        <v>32733200</v>
      </c>
    </row>
    <row r="17" spans="1:6" ht="20.100000000000001" customHeight="1">
      <c r="A17" s="496" t="s">
        <v>298</v>
      </c>
      <c r="B17" s="497"/>
      <c r="C17" s="345">
        <v>32733200</v>
      </c>
      <c r="D17" s="345"/>
      <c r="E17" s="345"/>
      <c r="F17" s="345"/>
    </row>
    <row r="18" spans="1:6" ht="20.100000000000001" customHeight="1">
      <c r="A18" s="346" t="s">
        <v>302</v>
      </c>
      <c r="B18" s="347"/>
      <c r="C18" s="345">
        <v>55115100</v>
      </c>
      <c r="D18" s="345">
        <v>0</v>
      </c>
      <c r="E18" s="345"/>
      <c r="F18" s="345">
        <v>0</v>
      </c>
    </row>
    <row r="19" spans="1:6" ht="20.100000000000001" customHeight="1">
      <c r="A19" s="496" t="s">
        <v>298</v>
      </c>
      <c r="B19" s="497"/>
      <c r="C19" s="345">
        <v>0</v>
      </c>
      <c r="D19" s="345"/>
      <c r="E19" s="345"/>
      <c r="F19" s="345"/>
    </row>
    <row r="20" spans="1:6" ht="20.100000000000001" customHeight="1">
      <c r="A20" s="346" t="s">
        <v>303</v>
      </c>
      <c r="B20" s="347"/>
      <c r="C20" s="345">
        <v>1412700</v>
      </c>
      <c r="D20" s="345">
        <v>0</v>
      </c>
      <c r="E20" s="345"/>
      <c r="F20" s="345">
        <v>0</v>
      </c>
    </row>
    <row r="21" spans="1:6" ht="20.100000000000001" customHeight="1">
      <c r="A21" s="496" t="s">
        <v>298</v>
      </c>
      <c r="B21" s="497"/>
      <c r="C21" s="345">
        <v>0</v>
      </c>
      <c r="D21" s="345"/>
      <c r="E21" s="345"/>
      <c r="F21" s="345"/>
    </row>
    <row r="22" spans="1:6" ht="20.100000000000001" customHeight="1">
      <c r="A22" s="346" t="s">
        <v>304</v>
      </c>
      <c r="B22" s="347"/>
      <c r="C22" s="345">
        <v>4054610</v>
      </c>
      <c r="D22" s="345">
        <v>4054610</v>
      </c>
      <c r="E22" s="345"/>
      <c r="F22" s="345">
        <v>4054610</v>
      </c>
    </row>
    <row r="23" spans="1:6" ht="20.100000000000001" customHeight="1">
      <c r="A23" s="496" t="s">
        <v>298</v>
      </c>
      <c r="B23" s="497"/>
      <c r="C23" s="345">
        <v>4054610</v>
      </c>
      <c r="D23" s="345"/>
      <c r="E23" s="345"/>
      <c r="F23" s="345"/>
    </row>
    <row r="24" spans="1:6" ht="20.100000000000001" customHeight="1">
      <c r="A24" s="346" t="s">
        <v>305</v>
      </c>
      <c r="B24" s="348">
        <f>SUM(C11-C12+C13-C14+C15+C16-C17+C18-C19+C20-C21+C22-C23)</f>
        <v>92949858</v>
      </c>
      <c r="C24" s="345"/>
      <c r="D24" s="345"/>
      <c r="E24" s="345"/>
      <c r="F24" s="345"/>
    </row>
    <row r="25" spans="1:6" ht="20.100000000000001" customHeight="1" thickBot="1">
      <c r="A25" s="349" t="s">
        <v>306</v>
      </c>
      <c r="B25" s="350"/>
      <c r="C25" s="351">
        <v>984784</v>
      </c>
      <c r="D25" s="351"/>
      <c r="E25" s="351"/>
      <c r="F25" s="351">
        <f>SUM(C25)</f>
        <v>984784</v>
      </c>
    </row>
    <row r="26" spans="1:6" ht="19.5" customHeight="1" thickBot="1">
      <c r="A26" s="502" t="s">
        <v>307</v>
      </c>
      <c r="B26" s="503"/>
      <c r="C26" s="352">
        <f>C10+C12+C14+C15+C16+C19+C21+C23+C25</f>
        <v>280212286</v>
      </c>
      <c r="D26" s="352">
        <f>SUM(D10:D25)</f>
        <v>279227502</v>
      </c>
      <c r="E26" s="352">
        <f>SUM(E10:E25)</f>
        <v>0</v>
      </c>
      <c r="F26" s="352">
        <f>SUM(F10:F25)</f>
        <v>280212286</v>
      </c>
    </row>
    <row r="27" spans="1:6" ht="20.100000000000001" customHeight="1" thickBot="1">
      <c r="A27" s="346" t="s">
        <v>308</v>
      </c>
      <c r="B27" s="347"/>
      <c r="C27" s="345">
        <v>2048700</v>
      </c>
      <c r="D27" s="345">
        <v>2048700</v>
      </c>
      <c r="E27" s="345"/>
      <c r="F27" s="345">
        <v>2048700</v>
      </c>
    </row>
    <row r="28" spans="1:6" ht="19.5" customHeight="1" thickBot="1">
      <c r="A28" s="502" t="s">
        <v>309</v>
      </c>
      <c r="B28" s="503"/>
      <c r="C28" s="352">
        <f>SUM(C26:C27)</f>
        <v>282260986</v>
      </c>
      <c r="D28" s="352">
        <f>SUM(D26:D27)</f>
        <v>281276202</v>
      </c>
      <c r="E28" s="352">
        <f>SUM(E12:E27)</f>
        <v>0</v>
      </c>
      <c r="F28" s="352">
        <f>SUM(F26:F27)</f>
        <v>282260986</v>
      </c>
    </row>
    <row r="29" spans="1:6" ht="19.5" customHeight="1">
      <c r="A29" s="510" t="s">
        <v>310</v>
      </c>
      <c r="B29" s="511"/>
      <c r="C29" s="344"/>
      <c r="D29" s="344"/>
      <c r="E29" s="344"/>
      <c r="F29" s="344"/>
    </row>
    <row r="30" spans="1:6" s="224" customFormat="1" ht="20.100000000000001" customHeight="1">
      <c r="A30" s="346" t="s">
        <v>311</v>
      </c>
      <c r="B30" s="347"/>
      <c r="C30" s="345">
        <f>195614400+61740000+2946000+95892300+30870000+1473000+736500+5155500</f>
        <v>394427700</v>
      </c>
      <c r="D30" s="345">
        <v>388535700</v>
      </c>
      <c r="E30" s="345"/>
      <c r="F30" s="345">
        <f>SUM(C30)</f>
        <v>394427700</v>
      </c>
    </row>
    <row r="31" spans="1:6" s="224" customFormat="1" ht="20.100000000000001" customHeight="1">
      <c r="A31" s="346" t="s">
        <v>312</v>
      </c>
      <c r="B31" s="347"/>
      <c r="C31" s="345"/>
      <c r="D31" s="345"/>
      <c r="E31" s="345"/>
      <c r="F31" s="345"/>
    </row>
    <row r="32" spans="1:6" s="224" customFormat="1" ht="20.100000000000001" customHeight="1">
      <c r="A32" s="346" t="s">
        <v>313</v>
      </c>
      <c r="B32" s="347"/>
      <c r="C32" s="345">
        <f>39869600+19689700+81700+1171033</f>
        <v>60812033</v>
      </c>
      <c r="D32" s="345">
        <v>59559300</v>
      </c>
      <c r="E32" s="345"/>
      <c r="F32" s="345">
        <f>SUM(C32)</f>
        <v>60812033</v>
      </c>
    </row>
    <row r="33" spans="1:6" s="224" customFormat="1" ht="20.100000000000001" customHeight="1">
      <c r="A33" s="346" t="s">
        <v>314</v>
      </c>
      <c r="B33" s="347"/>
      <c r="C33" s="345">
        <f>10025000+2926000+2561868-1203000</f>
        <v>14309868</v>
      </c>
      <c r="D33" s="345">
        <v>12951000</v>
      </c>
      <c r="E33" s="345"/>
      <c r="F33" s="345">
        <f>SUM(C33)</f>
        <v>14309868</v>
      </c>
    </row>
    <row r="34" spans="1:6" s="224" customFormat="1" ht="20.100000000000001" customHeight="1" thickBot="1">
      <c r="A34" s="349" t="s">
        <v>315</v>
      </c>
      <c r="B34" s="353"/>
      <c r="C34" s="351"/>
      <c r="D34" s="351"/>
      <c r="E34" s="345"/>
      <c r="F34" s="351"/>
    </row>
    <row r="35" spans="1:6" s="224" customFormat="1" ht="20.100000000000001" customHeight="1" thickBot="1">
      <c r="A35" s="502" t="s">
        <v>310</v>
      </c>
      <c r="B35" s="503"/>
      <c r="C35" s="352">
        <f>SUM(C30:C34)</f>
        <v>469549601</v>
      </c>
      <c r="D35" s="352">
        <f>SUM(D30:D34)</f>
        <v>461046000</v>
      </c>
      <c r="E35" s="352">
        <f>SUM(E30:E34)</f>
        <v>0</v>
      </c>
      <c r="F35" s="352">
        <f>SUM(F30:F34)</f>
        <v>469549601</v>
      </c>
    </row>
    <row r="36" spans="1:6" s="224" customFormat="1" ht="20.100000000000001" customHeight="1">
      <c r="A36" s="510" t="s">
        <v>316</v>
      </c>
      <c r="B36" s="511"/>
      <c r="C36" s="344"/>
      <c r="D36" s="344"/>
      <c r="E36" s="344"/>
      <c r="F36" s="344"/>
    </row>
    <row r="37" spans="1:6" s="224" customFormat="1" ht="20.100000000000001" customHeight="1">
      <c r="A37" s="354" t="s">
        <v>317</v>
      </c>
      <c r="B37" s="355"/>
      <c r="C37" s="356"/>
      <c r="D37" s="356"/>
      <c r="E37" s="356"/>
      <c r="F37" s="356"/>
    </row>
    <row r="38" spans="1:6" s="224" customFormat="1" ht="20.100000000000001" customHeight="1">
      <c r="A38" s="512" t="s">
        <v>318</v>
      </c>
      <c r="B38" s="513"/>
      <c r="C38" s="345">
        <v>80695000</v>
      </c>
      <c r="D38" s="345">
        <v>80695000</v>
      </c>
      <c r="E38" s="345"/>
      <c r="F38" s="345">
        <v>80695000</v>
      </c>
    </row>
    <row r="39" spans="1:6" s="224" customFormat="1" ht="20.100000000000001" customHeight="1">
      <c r="A39" s="346" t="s">
        <v>319</v>
      </c>
      <c r="B39" s="347"/>
      <c r="C39" s="345">
        <f>SUM(B40:B50)</f>
        <v>147371393</v>
      </c>
      <c r="D39" s="345">
        <v>138110644</v>
      </c>
      <c r="E39" s="345"/>
      <c r="F39" s="345">
        <f>SUM(C39)</f>
        <v>147371393</v>
      </c>
    </row>
    <row r="40" spans="1:6" s="224" customFormat="1" ht="20.100000000000001" customHeight="1">
      <c r="A40" s="346" t="s">
        <v>320</v>
      </c>
      <c r="B40" s="357">
        <v>16660000</v>
      </c>
      <c r="C40" s="345"/>
      <c r="D40" s="345"/>
      <c r="E40" s="345"/>
      <c r="F40" s="345"/>
    </row>
    <row r="41" spans="1:6" s="224" customFormat="1" ht="20.100000000000001" customHeight="1">
      <c r="A41" s="346" t="s">
        <v>321</v>
      </c>
      <c r="B41" s="357">
        <v>24750000</v>
      </c>
      <c r="C41" s="345"/>
      <c r="D41" s="345"/>
      <c r="E41" s="345"/>
      <c r="F41" s="345"/>
    </row>
    <row r="42" spans="1:6" s="224" customFormat="1" ht="20.100000000000001" customHeight="1">
      <c r="A42" s="346" t="s">
        <v>322</v>
      </c>
      <c r="B42" s="357">
        <f>29778144-487168+1522400</f>
        <v>30813376</v>
      </c>
      <c r="C42" s="345"/>
      <c r="D42" s="345"/>
      <c r="E42" s="345"/>
      <c r="F42" s="345"/>
    </row>
    <row r="43" spans="1:6" s="224" customFormat="1" ht="20.100000000000001" customHeight="1">
      <c r="A43" s="346" t="s">
        <v>323</v>
      </c>
      <c r="B43" s="357">
        <f>175000-100000-25000</f>
        <v>50000</v>
      </c>
      <c r="C43" s="345"/>
      <c r="D43" s="345"/>
      <c r="E43" s="345"/>
      <c r="F43" s="345"/>
    </row>
    <row r="44" spans="1:6" s="224" customFormat="1" ht="20.100000000000001" customHeight="1">
      <c r="A44" s="346" t="s">
        <v>324</v>
      </c>
      <c r="B44" s="357">
        <f>42042000+2145000</f>
        <v>44187000</v>
      </c>
      <c r="C44" s="345"/>
      <c r="D44" s="345"/>
      <c r="E44" s="345"/>
      <c r="F44" s="345"/>
    </row>
    <row r="45" spans="1:6" s="224" customFormat="1" ht="20.100000000000001" customHeight="1">
      <c r="A45" s="346" t="s">
        <v>325</v>
      </c>
      <c r="B45" s="357">
        <v>3100000</v>
      </c>
      <c r="C45" s="345"/>
      <c r="D45" s="345"/>
      <c r="E45" s="345"/>
      <c r="F45" s="345"/>
    </row>
    <row r="46" spans="1:6" s="224" customFormat="1" ht="20.100000000000001" customHeight="1">
      <c r="A46" s="346" t="s">
        <v>326</v>
      </c>
      <c r="B46" s="357">
        <f>8665500-654000</f>
        <v>8011500</v>
      </c>
      <c r="C46" s="345"/>
      <c r="D46" s="345"/>
      <c r="E46" s="345"/>
      <c r="F46" s="345"/>
    </row>
    <row r="47" spans="1:6" s="224" customFormat="1" ht="20.100000000000001" customHeight="1">
      <c r="A47" s="346" t="s">
        <v>327</v>
      </c>
      <c r="B47" s="357">
        <f>5500000-550000</f>
        <v>4950000</v>
      </c>
      <c r="C47" s="345"/>
      <c r="D47" s="345"/>
      <c r="E47" s="345"/>
      <c r="F47" s="345"/>
    </row>
    <row r="48" spans="1:6" s="224" customFormat="1" ht="20.100000000000001" customHeight="1">
      <c r="A48" s="346" t="s">
        <v>328</v>
      </c>
      <c r="B48" s="357">
        <v>4464000</v>
      </c>
      <c r="C48" s="345"/>
      <c r="D48" s="345"/>
      <c r="E48" s="345"/>
      <c r="F48" s="345"/>
    </row>
    <row r="49" spans="1:6" s="224" customFormat="1" ht="20.100000000000001" customHeight="1">
      <c r="A49" s="346" t="s">
        <v>329</v>
      </c>
      <c r="B49" s="357">
        <f>2976000+744000</f>
        <v>3720000</v>
      </c>
      <c r="C49" s="345"/>
      <c r="D49" s="345"/>
      <c r="E49" s="345"/>
      <c r="F49" s="345"/>
    </row>
    <row r="50" spans="1:6" s="224" customFormat="1" ht="20.100000000000001" customHeight="1">
      <c r="A50" s="346" t="s">
        <v>445</v>
      </c>
      <c r="B50" s="357">
        <v>6665517</v>
      </c>
      <c r="C50" s="345"/>
      <c r="D50" s="345"/>
      <c r="E50" s="345"/>
      <c r="F50" s="345"/>
    </row>
    <row r="51" spans="1:6" s="224" customFormat="1" ht="20.100000000000001" customHeight="1">
      <c r="A51" s="346" t="s">
        <v>330</v>
      </c>
      <c r="B51" s="347"/>
      <c r="C51" s="345">
        <f>SUM(B53:B54)</f>
        <v>344853000</v>
      </c>
      <c r="D51" s="345">
        <v>330531000</v>
      </c>
      <c r="E51" s="345"/>
      <c r="F51" s="345">
        <f>SUM(C51)</f>
        <v>344853000</v>
      </c>
    </row>
    <row r="52" spans="1:6" s="224" customFormat="1" ht="20.100000000000001" customHeight="1">
      <c r="A52" s="512" t="s">
        <v>331</v>
      </c>
      <c r="B52" s="513"/>
      <c r="C52" s="345"/>
      <c r="D52" s="345"/>
      <c r="E52" s="345"/>
      <c r="F52" s="345"/>
    </row>
    <row r="53" spans="1:6" s="224" customFormat="1" ht="20.100000000000001" customHeight="1">
      <c r="A53" s="346" t="s">
        <v>332</v>
      </c>
      <c r="B53" s="358">
        <f>222144000+2848000</f>
        <v>224992000</v>
      </c>
      <c r="C53" s="345"/>
      <c r="D53" s="345"/>
      <c r="E53" s="345"/>
      <c r="F53" s="345"/>
    </row>
    <row r="54" spans="1:6" s="224" customFormat="1" ht="20.100000000000001" customHeight="1">
      <c r="A54" s="346" t="s">
        <v>333</v>
      </c>
      <c r="B54" s="358">
        <f>108387000+11474000</f>
        <v>119861000</v>
      </c>
      <c r="C54" s="345"/>
      <c r="D54" s="345"/>
      <c r="E54" s="345"/>
      <c r="F54" s="345"/>
    </row>
    <row r="55" spans="1:6" s="224" customFormat="1" ht="20.100000000000001" customHeight="1">
      <c r="A55" s="346" t="s">
        <v>334</v>
      </c>
      <c r="B55" s="358"/>
      <c r="C55" s="345">
        <f>SUM(B56:B57)</f>
        <v>188998876</v>
      </c>
      <c r="D55" s="345">
        <v>205280329</v>
      </c>
      <c r="E55" s="345"/>
      <c r="F55" s="345">
        <f>SUM(C55)</f>
        <v>188998876</v>
      </c>
    </row>
    <row r="56" spans="1:6" s="224" customFormat="1" ht="20.100000000000001" customHeight="1">
      <c r="A56" s="346" t="s">
        <v>335</v>
      </c>
      <c r="B56" s="358">
        <f>59736000-5966000-551000</f>
        <v>53219000</v>
      </c>
      <c r="C56" s="345"/>
      <c r="D56" s="345"/>
      <c r="E56" s="345"/>
      <c r="F56" s="345"/>
    </row>
    <row r="57" spans="1:6" s="224" customFormat="1" ht="20.100000000000001" customHeight="1">
      <c r="A57" s="346" t="s">
        <v>336</v>
      </c>
      <c r="B57" s="358">
        <f>145544329-9764453</f>
        <v>135779876</v>
      </c>
      <c r="C57" s="345"/>
      <c r="D57" s="345"/>
      <c r="E57" s="345"/>
      <c r="F57" s="345"/>
    </row>
    <row r="58" spans="1:6" s="224" customFormat="1" ht="20.100000000000001" customHeight="1">
      <c r="A58" s="346" t="s">
        <v>337</v>
      </c>
      <c r="B58" s="358">
        <f>14002028+1229798-1428170</f>
        <v>13803656</v>
      </c>
      <c r="C58" s="345">
        <f>SUM(B58)</f>
        <v>13803656</v>
      </c>
      <c r="D58" s="345">
        <v>14002028</v>
      </c>
      <c r="E58" s="345"/>
      <c r="F58" s="345">
        <f>SUM(C58)</f>
        <v>13803656</v>
      </c>
    </row>
    <row r="59" spans="1:6" s="224" customFormat="1" ht="20.100000000000001" customHeight="1">
      <c r="A59" s="346" t="s">
        <v>338</v>
      </c>
      <c r="B59" s="358"/>
      <c r="C59" s="345">
        <f>SUM(B60:B64)</f>
        <v>95818200</v>
      </c>
      <c r="D59" s="345">
        <v>86214600</v>
      </c>
      <c r="E59" s="345"/>
      <c r="F59" s="345">
        <f>SUM(C59)</f>
        <v>95818200</v>
      </c>
    </row>
    <row r="60" spans="1:6" s="224" customFormat="1" ht="20.100000000000001" customHeight="1">
      <c r="A60" s="346" t="s">
        <v>339</v>
      </c>
      <c r="B60" s="358">
        <v>15466500</v>
      </c>
      <c r="C60" s="345"/>
      <c r="D60" s="345"/>
      <c r="E60" s="345"/>
      <c r="F60" s="345"/>
    </row>
    <row r="61" spans="1:6" s="224" customFormat="1" ht="20.100000000000001" customHeight="1">
      <c r="A61" s="346" t="s">
        <v>340</v>
      </c>
      <c r="B61" s="358"/>
      <c r="C61" s="345"/>
      <c r="D61" s="345"/>
      <c r="E61" s="345"/>
      <c r="F61" s="345"/>
    </row>
    <row r="62" spans="1:6" s="224" customFormat="1" ht="20.100000000000001" customHeight="1">
      <c r="A62" s="346" t="s">
        <v>341</v>
      </c>
      <c r="B62" s="358">
        <f>49983100+1197200-598600</f>
        <v>50581700</v>
      </c>
      <c r="C62" s="345"/>
      <c r="D62" s="345"/>
      <c r="E62" s="345"/>
      <c r="F62" s="345"/>
    </row>
    <row r="63" spans="1:6" s="224" customFormat="1" ht="20.100000000000001" customHeight="1">
      <c r="A63" s="346" t="s">
        <v>342</v>
      </c>
      <c r="B63" s="359"/>
      <c r="C63" s="351"/>
      <c r="D63" s="345"/>
      <c r="E63" s="351"/>
      <c r="F63" s="345"/>
    </row>
    <row r="64" spans="1:6" s="224" customFormat="1" ht="20.100000000000001" customHeight="1">
      <c r="A64" s="346" t="s">
        <v>343</v>
      </c>
      <c r="B64" s="360">
        <f>20765000+9005000</f>
        <v>29770000</v>
      </c>
      <c r="C64" s="361"/>
      <c r="D64" s="362"/>
      <c r="E64" s="351"/>
      <c r="F64" s="362"/>
    </row>
    <row r="65" spans="1:6" s="224" customFormat="1" ht="20.100000000000001" customHeight="1" thickBot="1">
      <c r="A65" s="346" t="s">
        <v>385</v>
      </c>
      <c r="B65" s="415"/>
      <c r="C65" s="416">
        <f>34035422+20691626+27865228</f>
        <v>82592276</v>
      </c>
      <c r="D65" s="370"/>
      <c r="E65" s="367"/>
      <c r="F65" s="370">
        <f>SUM(C65)</f>
        <v>82592276</v>
      </c>
    </row>
    <row r="66" spans="1:6" s="224" customFormat="1" ht="21" customHeight="1">
      <c r="A66" s="514" t="s">
        <v>316</v>
      </c>
      <c r="B66" s="515"/>
      <c r="C66" s="363">
        <f>SUM(C38:C65)</f>
        <v>954132401</v>
      </c>
      <c r="D66" s="363">
        <f>SUM(D38:D65)</f>
        <v>854833601</v>
      </c>
      <c r="E66" s="363">
        <f>SUM(E38:E65)</f>
        <v>0</v>
      </c>
      <c r="F66" s="363">
        <f>SUM(F38:F65)</f>
        <v>954132401</v>
      </c>
    </row>
    <row r="67" spans="1:6" s="224" customFormat="1" ht="20.100000000000001" customHeight="1" thickBot="1">
      <c r="A67" s="364" t="s">
        <v>317</v>
      </c>
      <c r="B67" s="365"/>
      <c r="C67" s="366"/>
      <c r="D67" s="366"/>
      <c r="E67" s="366"/>
      <c r="F67" s="366"/>
    </row>
    <row r="68" spans="1:6" ht="31.5" customHeight="1" thickBot="1">
      <c r="A68" s="506" t="s">
        <v>290</v>
      </c>
      <c r="B68" s="507"/>
      <c r="C68" s="336"/>
      <c r="D68" s="337" t="s">
        <v>291</v>
      </c>
      <c r="E68" s="337" t="s">
        <v>292</v>
      </c>
      <c r="F68" s="337" t="s">
        <v>291</v>
      </c>
    </row>
    <row r="69" spans="1:6" s="224" customFormat="1" ht="20.100000000000001" customHeight="1">
      <c r="A69" s="498" t="s">
        <v>344</v>
      </c>
      <c r="B69" s="499"/>
      <c r="C69" s="367"/>
      <c r="D69" s="367"/>
      <c r="E69" s="367"/>
      <c r="F69" s="367"/>
    </row>
    <row r="70" spans="1:6" ht="20.100000000000001" customHeight="1">
      <c r="A70" s="368" t="s">
        <v>345</v>
      </c>
      <c r="B70" s="369">
        <v>24699730</v>
      </c>
      <c r="C70" s="370"/>
      <c r="D70" s="370">
        <v>24699730</v>
      </c>
      <c r="E70" s="370"/>
      <c r="F70" s="370">
        <v>24699730</v>
      </c>
    </row>
    <row r="71" spans="1:6" ht="19.5" customHeight="1">
      <c r="A71" s="346" t="s">
        <v>346</v>
      </c>
      <c r="B71" s="358"/>
      <c r="C71" s="345"/>
      <c r="D71" s="345"/>
      <c r="E71" s="345"/>
      <c r="F71" s="345"/>
    </row>
    <row r="72" spans="1:6" ht="20.100000000000001" customHeight="1">
      <c r="A72" s="346" t="s">
        <v>347</v>
      </c>
      <c r="B72" s="371">
        <v>18262000</v>
      </c>
      <c r="C72" s="345"/>
      <c r="D72" s="345">
        <v>18262000</v>
      </c>
      <c r="E72" s="345"/>
      <c r="F72" s="345">
        <v>18262000</v>
      </c>
    </row>
    <row r="73" spans="1:6" ht="20.100000000000001" customHeight="1">
      <c r="A73" s="349" t="s">
        <v>348</v>
      </c>
      <c r="B73" s="360"/>
      <c r="C73" s="351"/>
      <c r="D73" s="351"/>
      <c r="E73" s="351"/>
      <c r="F73" s="351"/>
    </row>
    <row r="74" spans="1:6" ht="20.100000000000001" customHeight="1" thickBot="1">
      <c r="A74" s="349" t="s">
        <v>349</v>
      </c>
      <c r="B74" s="360">
        <f>4040154+4599226</f>
        <v>8639380</v>
      </c>
      <c r="C74" s="351"/>
      <c r="D74" s="351"/>
      <c r="E74" s="351"/>
      <c r="F74" s="351">
        <f>SUM(B74)</f>
        <v>8639380</v>
      </c>
    </row>
    <row r="75" spans="1:6" ht="20.100000000000001" customHeight="1" thickBot="1">
      <c r="A75" s="500" t="s">
        <v>344</v>
      </c>
      <c r="B75" s="501"/>
      <c r="C75" s="352">
        <f>SUM(B70:B74)</f>
        <v>51601110</v>
      </c>
      <c r="D75" s="352">
        <f>SUM(D70:D74)</f>
        <v>42961730</v>
      </c>
      <c r="E75" s="352">
        <f>SUM(E70:E74)</f>
        <v>0</v>
      </c>
      <c r="F75" s="352">
        <f>SUM(F70:F74)</f>
        <v>51601110</v>
      </c>
    </row>
    <row r="76" spans="1:6" ht="20.100000000000001" customHeight="1">
      <c r="A76" s="349" t="s">
        <v>350</v>
      </c>
      <c r="B76" s="360">
        <f>3184338+865788+1639429</f>
        <v>5689555</v>
      </c>
      <c r="C76" s="351"/>
      <c r="D76" s="351"/>
      <c r="E76" s="351"/>
      <c r="F76" s="351">
        <f>SUM(B76)</f>
        <v>5689555</v>
      </c>
    </row>
    <row r="77" spans="1:6" ht="20.100000000000001" customHeight="1">
      <c r="A77" s="346" t="s">
        <v>446</v>
      </c>
      <c r="B77" s="371">
        <v>10000000</v>
      </c>
      <c r="C77" s="345"/>
      <c r="D77" s="345"/>
      <c r="E77" s="345"/>
      <c r="F77" s="351">
        <f>SUM(B77)</f>
        <v>10000000</v>
      </c>
    </row>
    <row r="78" spans="1:6" ht="20.100000000000001" customHeight="1">
      <c r="A78" s="346" t="s">
        <v>474</v>
      </c>
      <c r="B78" s="360">
        <v>11964000</v>
      </c>
      <c r="C78" s="351"/>
      <c r="D78" s="351"/>
      <c r="E78" s="345"/>
      <c r="F78" s="351">
        <f>SUM(B78)</f>
        <v>11964000</v>
      </c>
    </row>
    <row r="79" spans="1:6" ht="20.100000000000001" customHeight="1" thickBot="1">
      <c r="A79" s="346" t="s">
        <v>475</v>
      </c>
      <c r="B79" s="360">
        <v>478000</v>
      </c>
      <c r="C79" s="351"/>
      <c r="D79" s="351"/>
      <c r="E79" s="345"/>
      <c r="F79" s="351">
        <f>SUM(B79)</f>
        <v>478000</v>
      </c>
    </row>
    <row r="80" spans="1:6" ht="20.100000000000001" hidden="1" customHeight="1">
      <c r="A80" s="349"/>
      <c r="B80" s="360"/>
      <c r="C80" s="351"/>
      <c r="D80" s="351"/>
      <c r="E80" s="345"/>
      <c r="F80" s="351"/>
    </row>
    <row r="81" spans="1:7" ht="20.100000000000001" hidden="1" customHeight="1">
      <c r="A81" s="349"/>
      <c r="B81" s="360"/>
      <c r="C81" s="351"/>
      <c r="D81" s="351"/>
      <c r="E81" s="345"/>
      <c r="F81" s="351"/>
    </row>
    <row r="82" spans="1:7" ht="20.100000000000001" hidden="1" customHeight="1" thickBot="1">
      <c r="A82" s="349"/>
      <c r="B82" s="360"/>
      <c r="C82" s="351"/>
      <c r="D82" s="351"/>
      <c r="E82" s="345"/>
      <c r="F82" s="351"/>
    </row>
    <row r="83" spans="1:7" ht="20.100000000000001" customHeight="1" thickBot="1">
      <c r="A83" s="500" t="s">
        <v>351</v>
      </c>
      <c r="B83" s="501"/>
      <c r="C83" s="352">
        <f>SUM(B76:B82)</f>
        <v>28131555</v>
      </c>
      <c r="D83" s="352">
        <v>0</v>
      </c>
      <c r="E83" s="352">
        <f>SUM(E76:E82)</f>
        <v>0</v>
      </c>
      <c r="F83" s="352">
        <f>SUM(F76:F82)</f>
        <v>28131555</v>
      </c>
    </row>
    <row r="84" spans="1:7" ht="20.100000000000001" customHeight="1" thickBot="1">
      <c r="A84" s="349" t="s">
        <v>386</v>
      </c>
      <c r="B84" s="360">
        <v>81600</v>
      </c>
      <c r="C84" s="351"/>
      <c r="D84" s="351"/>
      <c r="E84" s="351"/>
      <c r="F84" s="351">
        <f>SUM(B84)</f>
        <v>81600</v>
      </c>
    </row>
    <row r="85" spans="1:7" ht="20.100000000000001" customHeight="1" thickBot="1">
      <c r="A85" s="500" t="s">
        <v>352</v>
      </c>
      <c r="B85" s="501"/>
      <c r="C85" s="352">
        <v>0</v>
      </c>
      <c r="D85" s="352">
        <f>SUM(D80:D83)</f>
        <v>0</v>
      </c>
      <c r="E85" s="352"/>
      <c r="F85" s="352">
        <f>SUM(F84)</f>
        <v>81600</v>
      </c>
    </row>
    <row r="86" spans="1:7" ht="20.100000000000001" customHeight="1">
      <c r="A86" s="518" t="s">
        <v>353</v>
      </c>
      <c r="B86" s="519"/>
      <c r="C86" s="372"/>
      <c r="D86" s="373">
        <f>D26+D35+D66+D75+D83+D85</f>
        <v>1638068833</v>
      </c>
      <c r="E86" s="373">
        <f>E26+E35+E66+E75+E83+E85</f>
        <v>0</v>
      </c>
      <c r="F86" s="373">
        <f>F28+F35+F66+F75+F83+F85</f>
        <v>1785757253</v>
      </c>
      <c r="G86" s="374"/>
    </row>
    <row r="87" spans="1:7" ht="20.100000000000001" customHeight="1">
      <c r="A87" s="520" t="s">
        <v>354</v>
      </c>
      <c r="B87" s="521"/>
      <c r="C87" s="375"/>
      <c r="D87" s="376">
        <f>8560000+15500000+96776076</f>
        <v>120836076</v>
      </c>
      <c r="E87" s="376"/>
      <c r="F87" s="376">
        <f>120836076+304216720+71950810+124629397</f>
        <v>621633003</v>
      </c>
      <c r="G87" s="374"/>
    </row>
    <row r="88" spans="1:7" ht="20.100000000000001" customHeight="1" thickBot="1">
      <c r="A88" s="520" t="s">
        <v>355</v>
      </c>
      <c r="B88" s="521"/>
      <c r="C88" s="377"/>
      <c r="D88" s="378">
        <v>0</v>
      </c>
      <c r="E88" s="378"/>
      <c r="F88" s="378">
        <v>307517</v>
      </c>
      <c r="G88" s="374"/>
    </row>
    <row r="89" spans="1:7" ht="20.100000000000001" customHeight="1" thickBot="1">
      <c r="A89" s="379" t="s">
        <v>356</v>
      </c>
      <c r="B89" s="380"/>
      <c r="C89" s="381"/>
      <c r="D89" s="382">
        <f>SUM(D86:D88)</f>
        <v>1758904909</v>
      </c>
      <c r="E89" s="382">
        <f>SUM(E86:E88)</f>
        <v>0</v>
      </c>
      <c r="F89" s="382">
        <f>SUM(F86:F88)</f>
        <v>2407697773</v>
      </c>
      <c r="G89" s="374"/>
    </row>
    <row r="90" spans="1:7" ht="20.100000000000001" customHeight="1" thickBot="1">
      <c r="A90" s="522" t="s">
        <v>357</v>
      </c>
      <c r="B90" s="523"/>
      <c r="C90" s="383"/>
      <c r="D90" s="352">
        <f>215340000</f>
        <v>215340000</v>
      </c>
      <c r="E90" s="352"/>
      <c r="F90" s="352">
        <f>215340000+289400000+30535539+554050000</f>
        <v>1089325539</v>
      </c>
      <c r="G90" s="374"/>
    </row>
    <row r="91" spans="1:7" ht="20.100000000000001" customHeight="1">
      <c r="A91" s="524" t="s">
        <v>358</v>
      </c>
      <c r="B91" s="525"/>
      <c r="C91" s="384"/>
      <c r="D91" s="367"/>
      <c r="E91" s="367"/>
      <c r="F91" s="367"/>
    </row>
    <row r="92" spans="1:7" ht="20.100000000000001" customHeight="1">
      <c r="A92" s="508" t="s">
        <v>359</v>
      </c>
      <c r="B92" s="509"/>
      <c r="C92" s="385"/>
      <c r="D92" s="345"/>
      <c r="E92" s="345"/>
      <c r="F92" s="345"/>
    </row>
    <row r="93" spans="1:7" ht="20.100000000000001" customHeight="1">
      <c r="A93" s="496" t="s">
        <v>360</v>
      </c>
      <c r="B93" s="497"/>
      <c r="C93" s="345"/>
      <c r="D93" s="345">
        <v>590400000</v>
      </c>
      <c r="E93" s="345"/>
      <c r="F93" s="345">
        <v>630400000</v>
      </c>
    </row>
    <row r="94" spans="1:7" ht="20.100000000000001" customHeight="1">
      <c r="A94" s="496" t="s">
        <v>361</v>
      </c>
      <c r="B94" s="497"/>
      <c r="C94" s="345">
        <f>B95+B96</f>
        <v>625400000</v>
      </c>
      <c r="D94" s="345"/>
      <c r="E94" s="345"/>
      <c r="F94" s="345"/>
    </row>
    <row r="95" spans="1:7" ht="20.100000000000001" customHeight="1">
      <c r="A95" s="346" t="s">
        <v>362</v>
      </c>
      <c r="B95" s="386">
        <v>625000000</v>
      </c>
      <c r="C95" s="345"/>
      <c r="D95" s="345"/>
      <c r="E95" s="345"/>
      <c r="F95" s="345"/>
    </row>
    <row r="96" spans="1:7" ht="20.100000000000001" customHeight="1">
      <c r="A96" s="346" t="s">
        <v>363</v>
      </c>
      <c r="B96" s="386">
        <v>400000</v>
      </c>
      <c r="C96" s="345"/>
      <c r="D96" s="345"/>
      <c r="E96" s="345"/>
      <c r="F96" s="345"/>
    </row>
    <row r="97" spans="1:7" ht="20.100000000000001" customHeight="1">
      <c r="A97" s="496" t="s">
        <v>364</v>
      </c>
      <c r="B97" s="497"/>
      <c r="C97" s="345">
        <v>5000000</v>
      </c>
      <c r="D97" s="345"/>
      <c r="E97" s="345"/>
      <c r="F97" s="345"/>
    </row>
    <row r="98" spans="1:7" ht="20.100000000000001" customHeight="1">
      <c r="A98" s="346" t="s">
        <v>365</v>
      </c>
      <c r="B98" s="387"/>
      <c r="C98" s="345"/>
      <c r="D98" s="345">
        <f>SUM(C99+C100)</f>
        <v>42030000</v>
      </c>
      <c r="E98" s="345"/>
      <c r="F98" s="345">
        <v>42030000</v>
      </c>
    </row>
    <row r="99" spans="1:7" ht="20.100000000000001" customHeight="1">
      <c r="A99" s="516" t="s">
        <v>366</v>
      </c>
      <c r="B99" s="517"/>
      <c r="C99" s="345">
        <v>42000000</v>
      </c>
      <c r="D99" s="362"/>
      <c r="E99" s="362"/>
      <c r="F99" s="362"/>
    </row>
    <row r="100" spans="1:7" ht="20.100000000000001" customHeight="1">
      <c r="A100" s="516" t="s">
        <v>367</v>
      </c>
      <c r="B100" s="517"/>
      <c r="C100" s="345">
        <v>30000</v>
      </c>
      <c r="D100" s="362"/>
      <c r="E100" s="362"/>
      <c r="F100" s="362"/>
    </row>
    <row r="101" spans="1:7" ht="20.100000000000001" customHeight="1">
      <c r="A101" s="496" t="s">
        <v>368</v>
      </c>
      <c r="B101" s="497"/>
      <c r="C101" s="345"/>
      <c r="D101" s="345">
        <f>SUM(C102+C103)</f>
        <v>1300000</v>
      </c>
      <c r="E101" s="345"/>
      <c r="F101" s="345">
        <v>1300000</v>
      </c>
    </row>
    <row r="102" spans="1:7" ht="20.100000000000001" customHeight="1">
      <c r="A102" s="346" t="s">
        <v>369</v>
      </c>
      <c r="B102" s="347"/>
      <c r="C102" s="345">
        <v>1000000</v>
      </c>
      <c r="D102" s="345"/>
      <c r="E102" s="345"/>
      <c r="F102" s="345"/>
    </row>
    <row r="103" spans="1:7" ht="20.100000000000001" customHeight="1">
      <c r="A103" s="346" t="s">
        <v>370</v>
      </c>
      <c r="B103" s="347"/>
      <c r="C103" s="345">
        <v>300000</v>
      </c>
      <c r="D103" s="345"/>
      <c r="E103" s="345"/>
      <c r="F103" s="345"/>
    </row>
    <row r="104" spans="1:7" ht="20.100000000000001" customHeight="1">
      <c r="A104" s="349" t="s">
        <v>371</v>
      </c>
      <c r="B104" s="388"/>
      <c r="C104" s="367">
        <v>3000000</v>
      </c>
      <c r="D104" s="367">
        <f>SUM(C104)</f>
        <v>3000000</v>
      </c>
      <c r="E104" s="367"/>
      <c r="F104" s="367">
        <v>3000000</v>
      </c>
    </row>
    <row r="105" spans="1:7" ht="20.100000000000001" customHeight="1" thickBot="1">
      <c r="A105" s="389" t="s">
        <v>372</v>
      </c>
      <c r="B105" s="390"/>
      <c r="C105" s="391">
        <f>10000000+4000000</f>
        <v>14000000</v>
      </c>
      <c r="D105" s="392">
        <f>SUM(C105)</f>
        <v>14000000</v>
      </c>
      <c r="E105" s="393"/>
      <c r="F105" s="392">
        <v>14000000</v>
      </c>
    </row>
    <row r="106" spans="1:7" ht="20.100000000000001" customHeight="1" thickBot="1">
      <c r="A106" s="529" t="s">
        <v>373</v>
      </c>
      <c r="B106" s="530"/>
      <c r="C106" s="352"/>
      <c r="D106" s="352">
        <f>SUM(D92:D105)</f>
        <v>650730000</v>
      </c>
      <c r="E106" s="352">
        <f>SUM(E92:E105)</f>
        <v>0</v>
      </c>
      <c r="F106" s="352">
        <f>SUM(F92:F105)</f>
        <v>690730000</v>
      </c>
    </row>
    <row r="107" spans="1:7" ht="20.100000000000001" customHeight="1" thickBot="1">
      <c r="A107" s="394" t="s">
        <v>374</v>
      </c>
      <c r="B107" s="395"/>
      <c r="C107" s="352"/>
      <c r="D107" s="352">
        <f>332033407+169631546</f>
        <v>501664953</v>
      </c>
      <c r="E107" s="352"/>
      <c r="F107" s="352">
        <f>332033407+169631546-996608-50000000+1631580</f>
        <v>452299925</v>
      </c>
      <c r="G107" s="374"/>
    </row>
    <row r="108" spans="1:7" ht="20.100000000000001" customHeight="1">
      <c r="A108" s="531" t="s">
        <v>375</v>
      </c>
      <c r="B108" s="532"/>
      <c r="C108" s="396"/>
      <c r="D108" s="397"/>
      <c r="E108" s="397"/>
      <c r="F108" s="397"/>
    </row>
    <row r="109" spans="1:7" ht="20.100000000000001" customHeight="1">
      <c r="A109" s="533" t="s">
        <v>376</v>
      </c>
      <c r="B109" s="534"/>
      <c r="C109" s="398"/>
      <c r="D109" s="399">
        <v>129101736</v>
      </c>
      <c r="E109" s="399"/>
      <c r="F109" s="399">
        <v>129101736</v>
      </c>
    </row>
    <row r="110" spans="1:7" ht="20.100000000000001" customHeight="1" thickBot="1">
      <c r="A110" s="417" t="s">
        <v>388</v>
      </c>
      <c r="B110" s="418"/>
      <c r="C110" s="419"/>
      <c r="D110" s="420"/>
      <c r="E110" s="420"/>
      <c r="F110" s="420">
        <f>1878840-1878840</f>
        <v>0</v>
      </c>
    </row>
    <row r="111" spans="1:7" ht="20.100000000000001" customHeight="1" thickBot="1">
      <c r="A111" s="526" t="s">
        <v>377</v>
      </c>
      <c r="B111" s="527"/>
      <c r="C111" s="400"/>
      <c r="D111" s="382">
        <f>SUM(D109:D109)</f>
        <v>129101736</v>
      </c>
      <c r="E111" s="382">
        <f>SUM(E109:E109)</f>
        <v>0</v>
      </c>
      <c r="F111" s="382">
        <f>SUM(F109:F110)</f>
        <v>129101736</v>
      </c>
      <c r="G111" s="374"/>
    </row>
    <row r="112" spans="1:7" s="402" customFormat="1" ht="20.100000000000001" customHeight="1">
      <c r="A112" s="535" t="s">
        <v>378</v>
      </c>
      <c r="B112" s="536"/>
      <c r="C112" s="401"/>
      <c r="D112" s="363"/>
      <c r="E112" s="363"/>
      <c r="F112" s="363"/>
    </row>
    <row r="113" spans="1:8" s="402" customFormat="1" ht="20.100000000000001" customHeight="1" thickBot="1">
      <c r="A113" s="537" t="s">
        <v>379</v>
      </c>
      <c r="B113" s="538"/>
      <c r="C113" s="403"/>
      <c r="D113" s="404"/>
      <c r="E113" s="404"/>
      <c r="F113" s="404">
        <f>1878840</f>
        <v>1878840</v>
      </c>
    </row>
    <row r="114" spans="1:8" ht="20.100000000000001" customHeight="1" thickBot="1">
      <c r="A114" s="526" t="s">
        <v>380</v>
      </c>
      <c r="B114" s="527"/>
      <c r="C114" s="400"/>
      <c r="D114" s="382">
        <f>SUM(D89+D90+D106+D107+D111+D112+D113)</f>
        <v>3255741598</v>
      </c>
      <c r="E114" s="382">
        <f>SUM(E89+E90+E106+E107+E111+E112+E113)</f>
        <v>0</v>
      </c>
      <c r="F114" s="382">
        <f>SUM(F89+F90+F106+F107+F111+F112+F113)</f>
        <v>4771033813</v>
      </c>
    </row>
    <row r="115" spans="1:8" ht="20.100000000000001" customHeight="1">
      <c r="A115" s="405" t="s">
        <v>381</v>
      </c>
      <c r="B115" s="406"/>
      <c r="C115" s="407"/>
      <c r="D115" s="407"/>
      <c r="E115" s="407"/>
      <c r="F115" s="407"/>
    </row>
    <row r="116" spans="1:8" ht="19.5" customHeight="1">
      <c r="A116" s="408" t="s">
        <v>382</v>
      </c>
      <c r="B116" s="409"/>
      <c r="C116" s="367"/>
      <c r="D116" s="393">
        <f>2558448382+114167900</f>
        <v>2672616282</v>
      </c>
      <c r="E116" s="393"/>
      <c r="F116" s="393">
        <f>2558448382+114167900+191155916</f>
        <v>2863772198</v>
      </c>
    </row>
    <row r="117" spans="1:8" ht="19.5" customHeight="1" thickBot="1">
      <c r="A117" s="408" t="s">
        <v>447</v>
      </c>
      <c r="B117" s="409"/>
      <c r="C117" s="419"/>
      <c r="D117" s="478"/>
      <c r="E117" s="393"/>
      <c r="F117" s="393">
        <f>100000000+58351238</f>
        <v>158351238</v>
      </c>
    </row>
    <row r="118" spans="1:8" ht="20.100000000000001" customHeight="1" thickBot="1">
      <c r="A118" s="410" t="s">
        <v>383</v>
      </c>
      <c r="B118" s="411"/>
      <c r="C118" s="400"/>
      <c r="D118" s="382">
        <f>SUM(D116:E117)</f>
        <v>2672616282</v>
      </c>
      <c r="E118" s="382">
        <f>SUM(E116:F117)</f>
        <v>3022123436</v>
      </c>
      <c r="F118" s="382">
        <f>SUM(F116:G117)</f>
        <v>3022123436</v>
      </c>
      <c r="G118" s="374"/>
    </row>
    <row r="119" spans="1:8" ht="20.100000000000001" customHeight="1" thickBot="1">
      <c r="A119" s="526" t="s">
        <v>384</v>
      </c>
      <c r="B119" s="527"/>
      <c r="C119" s="400"/>
      <c r="D119" s="382">
        <f>D114+D118</f>
        <v>5928357880</v>
      </c>
      <c r="E119" s="382">
        <f>E114+E118</f>
        <v>3022123436</v>
      </c>
      <c r="F119" s="382">
        <f>F114+F118</f>
        <v>7793157249</v>
      </c>
      <c r="G119" s="374"/>
    </row>
    <row r="123" spans="1:8" s="155" customFormat="1">
      <c r="A123" s="412"/>
      <c r="B123" s="413"/>
      <c r="C123" s="414"/>
      <c r="D123" s="414"/>
      <c r="F123" s="414"/>
      <c r="G123" s="414"/>
      <c r="H123" s="495"/>
    </row>
  </sheetData>
  <mergeCells count="44">
    <mergeCell ref="A114:B114"/>
    <mergeCell ref="A119:B119"/>
    <mergeCell ref="A3:F3"/>
    <mergeCell ref="A106:B106"/>
    <mergeCell ref="A108:B108"/>
    <mergeCell ref="A109:B109"/>
    <mergeCell ref="A111:B111"/>
    <mergeCell ref="A112:B112"/>
    <mergeCell ref="A113:B113"/>
    <mergeCell ref="A93:B93"/>
    <mergeCell ref="A94:B94"/>
    <mergeCell ref="A97:B97"/>
    <mergeCell ref="A99:B99"/>
    <mergeCell ref="A100:B100"/>
    <mergeCell ref="A101:B101"/>
    <mergeCell ref="A92:B92"/>
    <mergeCell ref="A85:B85"/>
    <mergeCell ref="A28:B28"/>
    <mergeCell ref="A29:B29"/>
    <mergeCell ref="A35:B35"/>
    <mergeCell ref="A36:B36"/>
    <mergeCell ref="A38:B38"/>
    <mergeCell ref="A52:B52"/>
    <mergeCell ref="A66:B66"/>
    <mergeCell ref="A68:B68"/>
    <mergeCell ref="A86:B86"/>
    <mergeCell ref="A87:B87"/>
    <mergeCell ref="A88:B88"/>
    <mergeCell ref="A90:B90"/>
    <mergeCell ref="A91:B91"/>
    <mergeCell ref="A75:B75"/>
    <mergeCell ref="A83:B83"/>
    <mergeCell ref="A26:B26"/>
    <mergeCell ref="A1:D1"/>
    <mergeCell ref="A6:B6"/>
    <mergeCell ref="A10:B10"/>
    <mergeCell ref="A11:B11"/>
    <mergeCell ref="A12:B12"/>
    <mergeCell ref="A14:B14"/>
    <mergeCell ref="A17:B17"/>
    <mergeCell ref="A19:B19"/>
    <mergeCell ref="A21:B21"/>
    <mergeCell ref="A23:B23"/>
    <mergeCell ref="A69:B69"/>
  </mergeCells>
  <pageMargins left="0.7" right="0.7" top="0.75" bottom="0.75" header="0.3" footer="0.3"/>
  <pageSetup paperSize="9" scale="55" orientation="portrait" r:id="rId1"/>
  <rowBreaks count="1" manualBreakCount="1">
    <brk id="6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7"/>
  <sheetViews>
    <sheetView view="pageBreakPreview" zoomScale="118" zoomScaleSheetLayoutView="118" workbookViewId="0"/>
  </sheetViews>
  <sheetFormatPr defaultColWidth="15.7109375" defaultRowHeight="15"/>
  <cols>
    <col min="1" max="1" width="9.140625" style="171" customWidth="1"/>
    <col min="2" max="2" width="65.28515625" style="24" customWidth="1"/>
    <col min="3" max="3" width="15.140625" style="24" customWidth="1"/>
    <col min="4" max="5" width="15.7109375" style="24" customWidth="1"/>
    <col min="6" max="6" width="17.85546875" style="24" customWidth="1"/>
    <col min="7" max="250" width="9.140625" style="24" customWidth="1"/>
    <col min="251" max="251" width="65.28515625" style="24" customWidth="1"/>
    <col min="252" max="252" width="15.140625" style="24" customWidth="1"/>
    <col min="253" max="16384" width="15.7109375" style="24"/>
  </cols>
  <sheetData>
    <row r="1" spans="1:256" s="2" customFormat="1" ht="15.75">
      <c r="A1" s="170" t="s">
        <v>488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 t="s">
        <v>202</v>
      </c>
      <c r="BU1" s="170" t="s">
        <v>202</v>
      </c>
      <c r="BV1" s="170" t="s">
        <v>202</v>
      </c>
      <c r="BW1" s="170" t="s">
        <v>202</v>
      </c>
      <c r="BX1" s="170" t="s">
        <v>202</v>
      </c>
      <c r="BY1" s="170" t="s">
        <v>202</v>
      </c>
      <c r="BZ1" s="170" t="s">
        <v>202</v>
      </c>
      <c r="CA1" s="170" t="s">
        <v>202</v>
      </c>
      <c r="CB1" s="170" t="s">
        <v>202</v>
      </c>
      <c r="CC1" s="170" t="s">
        <v>202</v>
      </c>
      <c r="CD1" s="170" t="s">
        <v>202</v>
      </c>
      <c r="CE1" s="170" t="s">
        <v>202</v>
      </c>
      <c r="CF1" s="170" t="s">
        <v>202</v>
      </c>
      <c r="CG1" s="170" t="s">
        <v>202</v>
      </c>
      <c r="CH1" s="170" t="s">
        <v>202</v>
      </c>
      <c r="CI1" s="170" t="s">
        <v>202</v>
      </c>
      <c r="CJ1" s="170" t="s">
        <v>202</v>
      </c>
      <c r="CK1" s="170" t="s">
        <v>202</v>
      </c>
      <c r="CL1" s="170" t="s">
        <v>202</v>
      </c>
      <c r="CM1" s="170" t="s">
        <v>202</v>
      </c>
      <c r="CN1" s="170" t="s">
        <v>202</v>
      </c>
      <c r="CO1" s="170" t="s">
        <v>202</v>
      </c>
      <c r="CP1" s="170" t="s">
        <v>202</v>
      </c>
      <c r="CQ1" s="170" t="s">
        <v>202</v>
      </c>
      <c r="CR1" s="170" t="s">
        <v>202</v>
      </c>
      <c r="CS1" s="170" t="s">
        <v>202</v>
      </c>
      <c r="CT1" s="170" t="s">
        <v>202</v>
      </c>
      <c r="CU1" s="170" t="s">
        <v>202</v>
      </c>
      <c r="CV1" s="170" t="s">
        <v>202</v>
      </c>
      <c r="CW1" s="170" t="s">
        <v>202</v>
      </c>
      <c r="CX1" s="170" t="s">
        <v>202</v>
      </c>
      <c r="CY1" s="170" t="s">
        <v>202</v>
      </c>
      <c r="CZ1" s="170" t="s">
        <v>202</v>
      </c>
      <c r="DA1" s="170" t="s">
        <v>202</v>
      </c>
      <c r="DB1" s="170" t="s">
        <v>202</v>
      </c>
      <c r="DC1" s="170" t="s">
        <v>202</v>
      </c>
      <c r="DD1" s="170" t="s">
        <v>202</v>
      </c>
      <c r="DE1" s="170" t="s">
        <v>202</v>
      </c>
      <c r="DF1" s="170" t="s">
        <v>202</v>
      </c>
      <c r="DG1" s="170" t="s">
        <v>202</v>
      </c>
      <c r="DH1" s="170" t="s">
        <v>202</v>
      </c>
      <c r="DI1" s="170" t="s">
        <v>202</v>
      </c>
      <c r="DJ1" s="170" t="s">
        <v>202</v>
      </c>
      <c r="DK1" s="170" t="s">
        <v>202</v>
      </c>
      <c r="DL1" s="170" t="s">
        <v>202</v>
      </c>
      <c r="DM1" s="170" t="s">
        <v>202</v>
      </c>
      <c r="DN1" s="170" t="s">
        <v>202</v>
      </c>
      <c r="DO1" s="170" t="s">
        <v>202</v>
      </c>
      <c r="DP1" s="170" t="s">
        <v>202</v>
      </c>
      <c r="DQ1" s="170" t="s">
        <v>202</v>
      </c>
      <c r="DR1" s="170" t="s">
        <v>202</v>
      </c>
      <c r="DS1" s="170" t="s">
        <v>202</v>
      </c>
      <c r="DT1" s="170" t="s">
        <v>202</v>
      </c>
      <c r="DU1" s="170" t="s">
        <v>202</v>
      </c>
      <c r="DV1" s="170" t="s">
        <v>202</v>
      </c>
      <c r="DW1" s="170" t="s">
        <v>202</v>
      </c>
      <c r="DX1" s="170" t="s">
        <v>202</v>
      </c>
      <c r="DY1" s="170" t="s">
        <v>202</v>
      </c>
      <c r="DZ1" s="170" t="s">
        <v>202</v>
      </c>
      <c r="EA1" s="170" t="s">
        <v>202</v>
      </c>
      <c r="EB1" s="170" t="s">
        <v>202</v>
      </c>
      <c r="EC1" s="170" t="s">
        <v>202</v>
      </c>
      <c r="ED1" s="170" t="s">
        <v>202</v>
      </c>
      <c r="EE1" s="170" t="s">
        <v>202</v>
      </c>
      <c r="EF1" s="170" t="s">
        <v>202</v>
      </c>
      <c r="EG1" s="170" t="s">
        <v>202</v>
      </c>
      <c r="EH1" s="170" t="s">
        <v>202</v>
      </c>
      <c r="EI1" s="170" t="s">
        <v>202</v>
      </c>
      <c r="EJ1" s="170" t="s">
        <v>202</v>
      </c>
      <c r="EK1" s="170" t="s">
        <v>202</v>
      </c>
      <c r="EL1" s="170" t="s">
        <v>202</v>
      </c>
      <c r="EM1" s="170" t="s">
        <v>202</v>
      </c>
      <c r="EN1" s="170" t="s">
        <v>202</v>
      </c>
      <c r="EO1" s="170" t="s">
        <v>202</v>
      </c>
      <c r="EP1" s="170" t="s">
        <v>202</v>
      </c>
      <c r="EQ1" s="170" t="s">
        <v>202</v>
      </c>
      <c r="ER1" s="170" t="s">
        <v>202</v>
      </c>
      <c r="ES1" s="170" t="s">
        <v>202</v>
      </c>
      <c r="ET1" s="170" t="s">
        <v>202</v>
      </c>
      <c r="EU1" s="170" t="s">
        <v>202</v>
      </c>
      <c r="EV1" s="170" t="s">
        <v>202</v>
      </c>
      <c r="EW1" s="170" t="s">
        <v>202</v>
      </c>
      <c r="EX1" s="170" t="s">
        <v>202</v>
      </c>
      <c r="EY1" s="170" t="s">
        <v>202</v>
      </c>
      <c r="EZ1" s="170" t="s">
        <v>202</v>
      </c>
      <c r="FA1" s="170" t="s">
        <v>202</v>
      </c>
      <c r="FB1" s="170" t="s">
        <v>202</v>
      </c>
      <c r="FC1" s="170" t="s">
        <v>202</v>
      </c>
      <c r="FD1" s="170" t="s">
        <v>202</v>
      </c>
      <c r="FE1" s="170" t="s">
        <v>202</v>
      </c>
      <c r="FF1" s="170" t="s">
        <v>202</v>
      </c>
      <c r="FG1" s="170" t="s">
        <v>202</v>
      </c>
      <c r="FH1" s="170" t="s">
        <v>202</v>
      </c>
      <c r="FI1" s="170" t="s">
        <v>202</v>
      </c>
      <c r="FJ1" s="170" t="s">
        <v>202</v>
      </c>
      <c r="FK1" s="170" t="s">
        <v>202</v>
      </c>
      <c r="FL1" s="170" t="s">
        <v>202</v>
      </c>
      <c r="FM1" s="170" t="s">
        <v>202</v>
      </c>
      <c r="FN1" s="170" t="s">
        <v>202</v>
      </c>
      <c r="FO1" s="170" t="s">
        <v>202</v>
      </c>
      <c r="FP1" s="170" t="s">
        <v>202</v>
      </c>
      <c r="FQ1" s="170" t="s">
        <v>202</v>
      </c>
      <c r="FR1" s="170" t="s">
        <v>202</v>
      </c>
      <c r="FS1" s="170" t="s">
        <v>202</v>
      </c>
      <c r="FT1" s="170" t="s">
        <v>202</v>
      </c>
      <c r="FU1" s="170" t="s">
        <v>202</v>
      </c>
      <c r="FV1" s="170" t="s">
        <v>202</v>
      </c>
      <c r="FW1" s="170" t="s">
        <v>202</v>
      </c>
      <c r="FX1" s="170" t="s">
        <v>202</v>
      </c>
      <c r="FY1" s="170" t="s">
        <v>202</v>
      </c>
      <c r="FZ1" s="170" t="s">
        <v>202</v>
      </c>
      <c r="GA1" s="170" t="s">
        <v>202</v>
      </c>
      <c r="GB1" s="170" t="s">
        <v>202</v>
      </c>
      <c r="GC1" s="170" t="s">
        <v>202</v>
      </c>
      <c r="GD1" s="170" t="s">
        <v>202</v>
      </c>
      <c r="GE1" s="170" t="s">
        <v>202</v>
      </c>
      <c r="GF1" s="170" t="s">
        <v>202</v>
      </c>
      <c r="GG1" s="170" t="s">
        <v>202</v>
      </c>
      <c r="GH1" s="170" t="s">
        <v>202</v>
      </c>
      <c r="GI1" s="170" t="s">
        <v>202</v>
      </c>
      <c r="GJ1" s="170" t="s">
        <v>202</v>
      </c>
      <c r="GK1" s="170" t="s">
        <v>202</v>
      </c>
      <c r="GL1" s="170" t="s">
        <v>202</v>
      </c>
      <c r="GM1" s="170" t="s">
        <v>202</v>
      </c>
      <c r="GN1" s="170" t="s">
        <v>202</v>
      </c>
      <c r="GO1" s="170" t="s">
        <v>202</v>
      </c>
      <c r="GP1" s="170" t="s">
        <v>202</v>
      </c>
      <c r="GQ1" s="170" t="s">
        <v>202</v>
      </c>
      <c r="GR1" s="170" t="s">
        <v>202</v>
      </c>
      <c r="GS1" s="170" t="s">
        <v>202</v>
      </c>
      <c r="GT1" s="170" t="s">
        <v>202</v>
      </c>
      <c r="GU1" s="170" t="s">
        <v>202</v>
      </c>
      <c r="GV1" s="170" t="s">
        <v>202</v>
      </c>
      <c r="GW1" s="170" t="s">
        <v>202</v>
      </c>
      <c r="GX1" s="170" t="s">
        <v>202</v>
      </c>
      <c r="GY1" s="170" t="s">
        <v>202</v>
      </c>
      <c r="GZ1" s="170" t="s">
        <v>202</v>
      </c>
      <c r="HA1" s="170" t="s">
        <v>202</v>
      </c>
      <c r="HB1" s="170" t="s">
        <v>202</v>
      </c>
      <c r="HC1" s="170" t="s">
        <v>202</v>
      </c>
      <c r="HD1" s="170" t="s">
        <v>202</v>
      </c>
      <c r="HE1" s="170" t="s">
        <v>202</v>
      </c>
      <c r="HF1" s="170" t="s">
        <v>202</v>
      </c>
      <c r="HG1" s="170" t="s">
        <v>202</v>
      </c>
      <c r="HH1" s="170" t="s">
        <v>202</v>
      </c>
      <c r="HI1" s="170" t="s">
        <v>202</v>
      </c>
      <c r="HJ1" s="170" t="s">
        <v>202</v>
      </c>
      <c r="HK1" s="170" t="s">
        <v>202</v>
      </c>
      <c r="HL1" s="170" t="s">
        <v>202</v>
      </c>
      <c r="HM1" s="170" t="s">
        <v>202</v>
      </c>
      <c r="HN1" s="170" t="s">
        <v>202</v>
      </c>
      <c r="HO1" s="170" t="s">
        <v>202</v>
      </c>
      <c r="HP1" s="170" t="s">
        <v>202</v>
      </c>
      <c r="HQ1" s="170" t="s">
        <v>202</v>
      </c>
      <c r="HR1" s="170" t="s">
        <v>202</v>
      </c>
      <c r="HS1" s="170" t="s">
        <v>202</v>
      </c>
      <c r="HT1" s="170" t="s">
        <v>202</v>
      </c>
      <c r="HU1" s="170" t="s">
        <v>202</v>
      </c>
      <c r="HV1" s="170" t="s">
        <v>202</v>
      </c>
      <c r="HW1" s="170" t="s">
        <v>202</v>
      </c>
      <c r="HX1" s="170" t="s">
        <v>202</v>
      </c>
      <c r="HY1" s="170" t="s">
        <v>202</v>
      </c>
      <c r="HZ1" s="170" t="s">
        <v>202</v>
      </c>
      <c r="IA1" s="170" t="s">
        <v>202</v>
      </c>
      <c r="IB1" s="170" t="s">
        <v>202</v>
      </c>
      <c r="IC1" s="170" t="s">
        <v>202</v>
      </c>
      <c r="ID1" s="170" t="s">
        <v>202</v>
      </c>
      <c r="IE1" s="170" t="s">
        <v>202</v>
      </c>
      <c r="IF1" s="170" t="s">
        <v>202</v>
      </c>
      <c r="IG1" s="170" t="s">
        <v>202</v>
      </c>
      <c r="IH1" s="170" t="s">
        <v>202</v>
      </c>
      <c r="II1" s="170" t="s">
        <v>202</v>
      </c>
      <c r="IJ1" s="170" t="s">
        <v>202</v>
      </c>
      <c r="IK1" s="170" t="s">
        <v>202</v>
      </c>
      <c r="IL1" s="170" t="s">
        <v>202</v>
      </c>
      <c r="IM1" s="170" t="s">
        <v>202</v>
      </c>
      <c r="IN1" s="170" t="s">
        <v>202</v>
      </c>
      <c r="IO1" s="170" t="s">
        <v>202</v>
      </c>
      <c r="IP1" s="170" t="s">
        <v>202</v>
      </c>
      <c r="IQ1" s="170" t="s">
        <v>202</v>
      </c>
      <c r="IR1" s="170" t="s">
        <v>202</v>
      </c>
      <c r="IS1" s="170" t="s">
        <v>202</v>
      </c>
      <c r="IT1" s="170" t="s">
        <v>202</v>
      </c>
      <c r="IU1" s="170" t="s">
        <v>202</v>
      </c>
      <c r="IV1" s="170" t="s">
        <v>202</v>
      </c>
    </row>
    <row r="2" spans="1:256">
      <c r="B2" s="172"/>
      <c r="C2" s="172"/>
    </row>
    <row r="3" spans="1:256">
      <c r="B3" s="172"/>
      <c r="C3" s="172"/>
    </row>
    <row r="4" spans="1:256" ht="15.75">
      <c r="B4" s="595" t="s">
        <v>242</v>
      </c>
      <c r="C4" s="595"/>
      <c r="D4" s="595"/>
      <c r="E4" s="595"/>
      <c r="F4" s="595"/>
    </row>
    <row r="5" spans="1:256" ht="15.75">
      <c r="B5" s="596" t="s">
        <v>203</v>
      </c>
      <c r="C5" s="596"/>
      <c r="D5" s="596"/>
      <c r="E5" s="596"/>
      <c r="F5" s="596"/>
    </row>
    <row r="6" spans="1:256" ht="15.75">
      <c r="B6" s="159"/>
      <c r="C6" s="159"/>
    </row>
    <row r="7" spans="1:256" ht="15.75" thickBot="1">
      <c r="A7" s="597" t="s">
        <v>204</v>
      </c>
      <c r="B7" s="597"/>
      <c r="C7" s="597"/>
      <c r="D7" s="597"/>
      <c r="E7" s="597"/>
      <c r="F7" s="597"/>
    </row>
    <row r="8" spans="1:256" s="174" customFormat="1" ht="17.25" customHeight="1" thickBot="1">
      <c r="A8" s="598" t="s">
        <v>205</v>
      </c>
      <c r="B8" s="600" t="s">
        <v>12</v>
      </c>
      <c r="C8" s="173"/>
      <c r="D8" s="602" t="s">
        <v>206</v>
      </c>
      <c r="E8" s="602"/>
      <c r="F8" s="603" t="s">
        <v>207</v>
      </c>
    </row>
    <row r="9" spans="1:256" s="174" customFormat="1" ht="17.25" customHeight="1" thickBot="1">
      <c r="A9" s="599"/>
      <c r="B9" s="601"/>
      <c r="C9" s="175"/>
      <c r="D9" s="176" t="s">
        <v>208</v>
      </c>
      <c r="E9" s="177" t="s">
        <v>209</v>
      </c>
      <c r="F9" s="604"/>
    </row>
    <row r="10" spans="1:256" ht="17.25" customHeight="1">
      <c r="A10" s="178"/>
      <c r="B10" s="179" t="s">
        <v>210</v>
      </c>
      <c r="C10" s="180"/>
      <c r="D10" s="181"/>
      <c r="E10" s="181"/>
      <c r="F10" s="182"/>
    </row>
    <row r="11" spans="1:256" s="187" customFormat="1" ht="17.25" customHeight="1">
      <c r="A11" s="605" t="s">
        <v>211</v>
      </c>
      <c r="B11" s="183" t="s">
        <v>212</v>
      </c>
      <c r="C11" s="184"/>
      <c r="D11" s="185">
        <f>SUM(C13:C15)</f>
        <v>2407697773</v>
      </c>
      <c r="E11" s="185"/>
      <c r="F11" s="186"/>
    </row>
    <row r="12" spans="1:256" s="187" customFormat="1" ht="17.25" customHeight="1">
      <c r="A12" s="606"/>
      <c r="B12" s="183" t="s">
        <v>17</v>
      </c>
      <c r="C12" s="184"/>
      <c r="D12" s="185"/>
      <c r="E12" s="185"/>
      <c r="F12" s="186"/>
    </row>
    <row r="13" spans="1:256" s="187" customFormat="1" ht="17.25" customHeight="1">
      <c r="A13" s="606"/>
      <c r="B13" s="188" t="s">
        <v>213</v>
      </c>
      <c r="C13" s="185">
        <f>SUM('1. sz. melléklet'!F86)</f>
        <v>1785757253</v>
      </c>
      <c r="D13" s="185"/>
      <c r="E13" s="185"/>
      <c r="F13" s="186"/>
    </row>
    <row r="14" spans="1:256" s="187" customFormat="1" ht="17.25" customHeight="1">
      <c r="A14" s="606"/>
      <c r="B14" s="183" t="s">
        <v>214</v>
      </c>
      <c r="C14" s="185">
        <f>SUM('1. sz. melléklet'!F87)</f>
        <v>621633003</v>
      </c>
      <c r="D14" s="185"/>
      <c r="E14" s="185"/>
      <c r="F14" s="186"/>
    </row>
    <row r="15" spans="1:256" s="187" customFormat="1" ht="17.25" customHeight="1">
      <c r="A15" s="607"/>
      <c r="B15" s="183" t="s">
        <v>215</v>
      </c>
      <c r="C15" s="185">
        <f>SUM('1. sz. melléklet'!F88)</f>
        <v>307517</v>
      </c>
      <c r="D15" s="185"/>
      <c r="E15" s="185"/>
      <c r="F15" s="186"/>
    </row>
    <row r="16" spans="1:256" ht="17.25" customHeight="1">
      <c r="A16" s="189" t="s">
        <v>216</v>
      </c>
      <c r="B16" s="190" t="s">
        <v>217</v>
      </c>
      <c r="C16" s="191"/>
      <c r="D16" s="185">
        <f>SUM('1. sz. melléklet'!F106)</f>
        <v>690730000</v>
      </c>
      <c r="E16" s="185"/>
      <c r="F16" s="192"/>
    </row>
    <row r="17" spans="1:6">
      <c r="A17" s="189" t="s">
        <v>218</v>
      </c>
      <c r="B17" s="188" t="s">
        <v>219</v>
      </c>
      <c r="C17" s="193"/>
      <c r="D17" s="185">
        <f>SUM('1. sz. melléklet'!F107)</f>
        <v>452299925</v>
      </c>
      <c r="E17" s="185"/>
      <c r="F17" s="192"/>
    </row>
    <row r="18" spans="1:6">
      <c r="A18" s="189" t="s">
        <v>220</v>
      </c>
      <c r="B18" s="194" t="s">
        <v>2</v>
      </c>
      <c r="C18" s="195"/>
      <c r="D18" s="196"/>
      <c r="E18" s="196"/>
      <c r="F18" s="182"/>
    </row>
    <row r="19" spans="1:6">
      <c r="A19" s="189" t="s">
        <v>221</v>
      </c>
      <c r="B19" s="190" t="s">
        <v>5</v>
      </c>
      <c r="C19" s="191"/>
      <c r="D19" s="185"/>
      <c r="E19" s="185">
        <f>SUM('5. sz. melléklet'!C19)</f>
        <v>1311897737</v>
      </c>
      <c r="F19" s="192"/>
    </row>
    <row r="20" spans="1:6">
      <c r="A20" s="189" t="s">
        <v>222</v>
      </c>
      <c r="B20" s="188" t="s">
        <v>6</v>
      </c>
      <c r="C20" s="193"/>
      <c r="D20" s="185"/>
      <c r="E20" s="185">
        <f>SUM('5. sz. melléklet'!E19)</f>
        <v>247712729</v>
      </c>
      <c r="F20" s="192"/>
    </row>
    <row r="21" spans="1:6">
      <c r="A21" s="189" t="s">
        <v>223</v>
      </c>
      <c r="B21" s="188" t="s">
        <v>7</v>
      </c>
      <c r="C21" s="193"/>
      <c r="D21" s="185"/>
      <c r="E21" s="185">
        <f>SUM('5. sz. melléklet'!G19)</f>
        <v>1026527493</v>
      </c>
      <c r="F21" s="192"/>
    </row>
    <row r="22" spans="1:6">
      <c r="A22" s="189" t="s">
        <v>224</v>
      </c>
      <c r="B22" s="190" t="s">
        <v>225</v>
      </c>
      <c r="C22" s="191"/>
      <c r="D22" s="185"/>
      <c r="E22" s="185">
        <f>SUM('5. sz. melléklet'!I19)</f>
        <v>75601500</v>
      </c>
      <c r="F22" s="192"/>
    </row>
    <row r="23" spans="1:6" ht="15.75" thickBot="1">
      <c r="A23" s="189" t="s">
        <v>226</v>
      </c>
      <c r="B23" s="190" t="s">
        <v>8</v>
      </c>
      <c r="C23" s="191"/>
      <c r="D23" s="185"/>
      <c r="E23" s="185">
        <f>SUM('5. sz. melléklet'!K19)</f>
        <v>2355347323</v>
      </c>
      <c r="F23" s="182"/>
    </row>
    <row r="24" spans="1:6" s="200" customFormat="1" thickBot="1">
      <c r="A24" s="588" t="s">
        <v>227</v>
      </c>
      <c r="B24" s="589"/>
      <c r="C24" s="197"/>
      <c r="D24" s="198">
        <f>SUM(D11:D23)</f>
        <v>3550727698</v>
      </c>
      <c r="E24" s="198">
        <f>SUM(E11:E23)</f>
        <v>5017086782</v>
      </c>
      <c r="F24" s="199">
        <f>D24-E24</f>
        <v>-1466359084</v>
      </c>
    </row>
    <row r="25" spans="1:6">
      <c r="A25" s="201"/>
      <c r="B25" s="202" t="s">
        <v>228</v>
      </c>
      <c r="C25" s="203"/>
      <c r="D25" s="204"/>
      <c r="E25" s="204"/>
      <c r="F25" s="182"/>
    </row>
    <row r="26" spans="1:6">
      <c r="A26" s="189" t="s">
        <v>229</v>
      </c>
      <c r="B26" s="190" t="s">
        <v>230</v>
      </c>
      <c r="C26" s="191"/>
      <c r="D26" s="185">
        <f>SUM('1. sz. melléklet'!F90)</f>
        <v>1089325539</v>
      </c>
      <c r="E26" s="185"/>
      <c r="F26" s="192"/>
    </row>
    <row r="27" spans="1:6">
      <c r="A27" s="189" t="s">
        <v>231</v>
      </c>
      <c r="B27" s="190" t="s">
        <v>29</v>
      </c>
      <c r="C27" s="191"/>
      <c r="D27" s="185">
        <f>SUM('1. sz. melléklet'!F111)</f>
        <v>129101736</v>
      </c>
      <c r="E27" s="185"/>
      <c r="F27" s="192"/>
    </row>
    <row r="28" spans="1:6">
      <c r="A28" s="189" t="s">
        <v>232</v>
      </c>
      <c r="B28" s="205" t="s">
        <v>3</v>
      </c>
      <c r="C28" s="206"/>
      <c r="D28" s="196">
        <f>SUM('1. sz. melléklet'!F113)</f>
        <v>1878840</v>
      </c>
      <c r="E28" s="196"/>
      <c r="F28" s="182"/>
    </row>
    <row r="29" spans="1:6">
      <c r="A29" s="189" t="s">
        <v>233</v>
      </c>
      <c r="B29" s="190" t="s">
        <v>10</v>
      </c>
      <c r="C29" s="191"/>
      <c r="D29" s="185"/>
      <c r="E29" s="185">
        <f>SUM('5. sz. melléklet'!M19)</f>
        <v>1340924487.3199999</v>
      </c>
      <c r="F29" s="192"/>
    </row>
    <row r="30" spans="1:6">
      <c r="A30" s="189" t="s">
        <v>234</v>
      </c>
      <c r="B30" s="190" t="s">
        <v>9</v>
      </c>
      <c r="C30" s="191"/>
      <c r="D30" s="185"/>
      <c r="E30" s="185">
        <f>SUM('5. sz. melléklet'!O19)</f>
        <v>1195998616</v>
      </c>
      <c r="F30" s="192"/>
    </row>
    <row r="31" spans="1:6" ht="15.75" thickBot="1">
      <c r="A31" s="189" t="s">
        <v>235</v>
      </c>
      <c r="B31" s="190" t="s">
        <v>236</v>
      </c>
      <c r="C31" s="207"/>
      <c r="D31" s="185"/>
      <c r="E31" s="185">
        <f>SUM('5. sz. melléklet'!Q19)</f>
        <v>22356945</v>
      </c>
      <c r="F31" s="182"/>
    </row>
    <row r="32" spans="1:6" s="200" customFormat="1" thickBot="1">
      <c r="A32" s="588" t="s">
        <v>237</v>
      </c>
      <c r="B32" s="589"/>
      <c r="C32" s="208"/>
      <c r="D32" s="198">
        <f>SUM(D26:D31)</f>
        <v>1220306115</v>
      </c>
      <c r="E32" s="198">
        <f>SUM(E26:E31)</f>
        <v>2559280048.3199997</v>
      </c>
      <c r="F32" s="199">
        <f>D32-E32</f>
        <v>-1338973933.3199997</v>
      </c>
    </row>
    <row r="33" spans="1:6" s="200" customFormat="1" thickBot="1">
      <c r="A33" s="590" t="s">
        <v>238</v>
      </c>
      <c r="B33" s="591"/>
      <c r="C33" s="592"/>
      <c r="D33" s="209">
        <f>SUM(D24+D32)</f>
        <v>4771033813</v>
      </c>
      <c r="E33" s="209">
        <f>SUM(E24+E32)</f>
        <v>7576366830.3199997</v>
      </c>
      <c r="F33" s="210">
        <f>SUM(F24+F32)</f>
        <v>-2805333017.3199997</v>
      </c>
    </row>
    <row r="34" spans="1:6" s="200" customFormat="1">
      <c r="A34" s="211" t="s">
        <v>239</v>
      </c>
      <c r="B34" s="212" t="s">
        <v>38</v>
      </c>
      <c r="C34" s="213"/>
      <c r="D34" s="214"/>
      <c r="E34" s="214">
        <f>SUM('5. sz. melléklet'!S19)</f>
        <v>216790419</v>
      </c>
      <c r="F34" s="215"/>
    </row>
    <row r="35" spans="1:6" s="200" customFormat="1" ht="15.75" thickBot="1">
      <c r="A35" s="216" t="s">
        <v>1</v>
      </c>
      <c r="B35" s="217" t="s">
        <v>4</v>
      </c>
      <c r="C35" s="218"/>
      <c r="D35" s="219">
        <f>SUM('1. sz. melléklet'!F118)</f>
        <v>3022123436</v>
      </c>
      <c r="E35" s="219"/>
      <c r="F35" s="220"/>
    </row>
    <row r="36" spans="1:6" s="200" customFormat="1" thickBot="1">
      <c r="A36" s="588" t="s">
        <v>240</v>
      </c>
      <c r="B36" s="589"/>
      <c r="C36" s="208"/>
      <c r="D36" s="198">
        <f>SUM(D34:D35)</f>
        <v>3022123436</v>
      </c>
      <c r="E36" s="198">
        <f>SUM(E34:E35)</f>
        <v>216790419</v>
      </c>
      <c r="F36" s="199">
        <f>D36-E36</f>
        <v>2805333017</v>
      </c>
    </row>
    <row r="37" spans="1:6" s="174" customFormat="1" thickBot="1">
      <c r="A37" s="593" t="s">
        <v>241</v>
      </c>
      <c r="B37" s="594"/>
      <c r="C37" s="221"/>
      <c r="D37" s="198">
        <f>SUM(D33+D36)</f>
        <v>7793157249</v>
      </c>
      <c r="E37" s="198">
        <f>SUM(E33+E36)</f>
        <v>7793157249.3199997</v>
      </c>
      <c r="F37" s="198">
        <f>SUM(F33+F36)</f>
        <v>-0.31999969482421875</v>
      </c>
    </row>
  </sheetData>
  <mergeCells count="13">
    <mergeCell ref="A32:B32"/>
    <mergeCell ref="A33:C33"/>
    <mergeCell ref="A36:B36"/>
    <mergeCell ref="A37:B37"/>
    <mergeCell ref="B4:F4"/>
    <mergeCell ref="B5:F5"/>
    <mergeCell ref="A7:F7"/>
    <mergeCell ref="A8:A9"/>
    <mergeCell ref="B8:B9"/>
    <mergeCell ref="D8:E8"/>
    <mergeCell ref="F8:F9"/>
    <mergeCell ref="A11:A15"/>
    <mergeCell ref="A24:B24"/>
  </mergeCells>
  <pageMargins left="0.7" right="0.7" top="0.75" bottom="0.75" header="0.3" footer="0.3"/>
  <pageSetup paperSize="9" scale="5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42"/>
  <sheetViews>
    <sheetView tabSelected="1" view="pageBreakPreview" topLeftCell="F1" zoomScale="93" zoomScaleSheetLayoutView="93" workbookViewId="0">
      <selection sqref="A1:I1"/>
    </sheetView>
  </sheetViews>
  <sheetFormatPr defaultRowHeight="15"/>
  <cols>
    <col min="1" max="1" width="9.140625" style="227"/>
    <col min="2" max="2" width="32" style="225" customWidth="1"/>
    <col min="3" max="3" width="18.140625" style="229" customWidth="1"/>
    <col min="4" max="14" width="15.140625" style="229" customWidth="1"/>
    <col min="15" max="15" width="17.85546875" style="229" customWidth="1"/>
    <col min="16" max="17" width="15.28515625" style="225" customWidth="1"/>
    <col min="18" max="16384" width="9.140625" style="225"/>
  </cols>
  <sheetData>
    <row r="1" spans="1:17" s="155" customFormat="1" ht="15.75">
      <c r="A1" s="608" t="s">
        <v>489</v>
      </c>
      <c r="B1" s="608"/>
      <c r="C1" s="608"/>
      <c r="D1" s="608"/>
      <c r="E1" s="608"/>
      <c r="F1" s="608"/>
      <c r="G1" s="608"/>
      <c r="H1" s="608"/>
      <c r="I1" s="608"/>
      <c r="J1" s="226"/>
      <c r="K1" s="226"/>
      <c r="L1" s="226"/>
      <c r="M1" s="226"/>
      <c r="N1" s="226"/>
      <c r="O1" s="226"/>
    </row>
    <row r="2" spans="1:17">
      <c r="B2" s="228"/>
    </row>
    <row r="3" spans="1:17">
      <c r="B3" s="228"/>
    </row>
    <row r="4" spans="1:17" ht="19.5">
      <c r="B4" s="574" t="s">
        <v>262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</row>
    <row r="5" spans="1:17" ht="15.75">
      <c r="B5" s="223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</row>
    <row r="6" spans="1:17" ht="15.75">
      <c r="B6" s="223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</row>
    <row r="7" spans="1:17" ht="15.75" customHeight="1" thickBot="1">
      <c r="B7" s="609" t="s">
        <v>201</v>
      </c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</row>
    <row r="8" spans="1:17" s="233" customFormat="1" ht="29.25" customHeight="1" thickBot="1">
      <c r="A8" s="169" t="s">
        <v>243</v>
      </c>
      <c r="B8" s="231" t="s">
        <v>12</v>
      </c>
      <c r="C8" s="232" t="s">
        <v>244</v>
      </c>
      <c r="D8" s="232" t="s">
        <v>245</v>
      </c>
      <c r="E8" s="232" t="s">
        <v>246</v>
      </c>
      <c r="F8" s="232" t="s">
        <v>247</v>
      </c>
      <c r="G8" s="232" t="s">
        <v>248</v>
      </c>
      <c r="H8" s="232" t="s">
        <v>249</v>
      </c>
      <c r="I8" s="232" t="s">
        <v>250</v>
      </c>
      <c r="J8" s="232" t="s">
        <v>251</v>
      </c>
      <c r="K8" s="232" t="s">
        <v>252</v>
      </c>
      <c r="L8" s="232" t="s">
        <v>253</v>
      </c>
      <c r="M8" s="232" t="s">
        <v>254</v>
      </c>
      <c r="N8" s="232" t="s">
        <v>255</v>
      </c>
      <c r="O8" s="232" t="s">
        <v>206</v>
      </c>
    </row>
    <row r="9" spans="1:17" s="237" customFormat="1" ht="18.75" customHeight="1">
      <c r="A9" s="234"/>
      <c r="B9" s="235" t="s">
        <v>256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</row>
    <row r="10" spans="1:17" s="237" customFormat="1" ht="32.25" customHeight="1">
      <c r="A10" s="238" t="s">
        <v>211</v>
      </c>
      <c r="B10" s="239" t="s">
        <v>212</v>
      </c>
      <c r="C10" s="240">
        <v>233281812</v>
      </c>
      <c r="D10" s="240">
        <v>224395008</v>
      </c>
      <c r="E10" s="240">
        <v>224395008</v>
      </c>
      <c r="F10" s="240">
        <v>224395008</v>
      </c>
      <c r="G10" s="240">
        <v>224397389</v>
      </c>
      <c r="H10" s="240">
        <v>182404000</v>
      </c>
      <c r="I10" s="240">
        <v>182404000</v>
      </c>
      <c r="J10" s="240">
        <v>182404000</v>
      </c>
      <c r="K10" s="240">
        <v>182404000</v>
      </c>
      <c r="L10" s="240">
        <v>182404000</v>
      </c>
      <c r="M10" s="240">
        <v>182404000</v>
      </c>
      <c r="N10" s="240">
        <v>182409548</v>
      </c>
      <c r="O10" s="240">
        <f>C10+D10+E10+F10+G10+H10+I10+J10+K10+L10+M10+N10</f>
        <v>2407697773</v>
      </c>
      <c r="Q10" s="491"/>
    </row>
    <row r="11" spans="1:17" s="237" customFormat="1" ht="30" customHeight="1">
      <c r="A11" s="238" t="s">
        <v>229</v>
      </c>
      <c r="B11" s="239" t="s">
        <v>230</v>
      </c>
      <c r="C11" s="240"/>
      <c r="D11" s="240">
        <v>215340000</v>
      </c>
      <c r="E11" s="240">
        <v>20000000</v>
      </c>
      <c r="F11" s="240"/>
      <c r="G11" s="240">
        <v>244000000</v>
      </c>
      <c r="H11" s="240">
        <v>25400000</v>
      </c>
      <c r="I11" s="240">
        <f>29999539+536000</f>
        <v>30535539</v>
      </c>
      <c r="J11" s="240"/>
      <c r="K11" s="240"/>
      <c r="L11" s="240"/>
      <c r="M11" s="240"/>
      <c r="N11" s="240">
        <v>554050000</v>
      </c>
      <c r="O11" s="240">
        <f t="shared" ref="O11:O16" si="0">C11+D11+E11+F11+G11+H11+I11+J11+K11+L11+M11+N11</f>
        <v>1089325539</v>
      </c>
      <c r="P11" s="491"/>
      <c r="Q11" s="491"/>
    </row>
    <row r="12" spans="1:17" s="237" customFormat="1" ht="18.75" customHeight="1">
      <c r="A12" s="238" t="s">
        <v>216</v>
      </c>
      <c r="B12" s="239" t="s">
        <v>27</v>
      </c>
      <c r="C12" s="240">
        <v>5000000</v>
      </c>
      <c r="D12" s="240">
        <v>35000000</v>
      </c>
      <c r="E12" s="240">
        <v>200000000</v>
      </c>
      <c r="F12" s="240">
        <v>20000000</v>
      </c>
      <c r="G12" s="240">
        <v>30000000</v>
      </c>
      <c r="H12" s="240">
        <v>15000000</v>
      </c>
      <c r="I12" s="240">
        <v>15000000</v>
      </c>
      <c r="J12" s="240">
        <v>35000000</v>
      </c>
      <c r="K12" s="240">
        <v>200000000</v>
      </c>
      <c r="L12" s="240">
        <v>20000000</v>
      </c>
      <c r="M12" s="240">
        <v>30000000</v>
      </c>
      <c r="N12" s="240">
        <v>85730000</v>
      </c>
      <c r="O12" s="240">
        <f t="shared" si="0"/>
        <v>690730000</v>
      </c>
      <c r="Q12" s="491"/>
    </row>
    <row r="13" spans="1:17" s="237" customFormat="1" ht="18.75" customHeight="1">
      <c r="A13" s="238" t="s">
        <v>218</v>
      </c>
      <c r="B13" s="239" t="s">
        <v>28</v>
      </c>
      <c r="C13" s="240">
        <v>41722413</v>
      </c>
      <c r="D13" s="240">
        <v>41722413</v>
      </c>
      <c r="E13" s="240">
        <v>41722413</v>
      </c>
      <c r="F13" s="240">
        <v>41722413</v>
      </c>
      <c r="G13" s="240">
        <v>41722413</v>
      </c>
      <c r="H13" s="240">
        <v>41722413</v>
      </c>
      <c r="I13" s="240">
        <v>41722413</v>
      </c>
      <c r="J13" s="240">
        <v>31722413</v>
      </c>
      <c r="K13" s="240">
        <v>31722413</v>
      </c>
      <c r="L13" s="240">
        <v>31722413</v>
      </c>
      <c r="M13" s="240">
        <v>33353993</v>
      </c>
      <c r="N13" s="240">
        <v>31721802</v>
      </c>
      <c r="O13" s="240">
        <f t="shared" si="0"/>
        <v>452299925</v>
      </c>
      <c r="Q13" s="491"/>
    </row>
    <row r="14" spans="1:17" s="237" customFormat="1" ht="18.75" customHeight="1">
      <c r="A14" s="238" t="s">
        <v>231</v>
      </c>
      <c r="B14" s="239" t="s">
        <v>29</v>
      </c>
      <c r="C14" s="240">
        <v>156570</v>
      </c>
      <c r="D14" s="240">
        <v>10156570</v>
      </c>
      <c r="E14" s="240">
        <v>156570</v>
      </c>
      <c r="F14" s="240">
        <v>35156570</v>
      </c>
      <c r="G14" s="240">
        <v>156570</v>
      </c>
      <c r="H14" s="240">
        <v>156570</v>
      </c>
      <c r="I14" s="240">
        <v>30156570</v>
      </c>
      <c r="J14" s="240">
        <v>156570</v>
      </c>
      <c r="K14" s="240">
        <v>156570</v>
      </c>
      <c r="L14" s="240">
        <v>34258006</v>
      </c>
      <c r="M14" s="240">
        <v>156570</v>
      </c>
      <c r="N14" s="240">
        <f>20156870-1878840</f>
        <v>18278030</v>
      </c>
      <c r="O14" s="240">
        <f t="shared" si="0"/>
        <v>129101736</v>
      </c>
      <c r="Q14" s="491"/>
    </row>
    <row r="15" spans="1:17" s="237" customFormat="1" ht="18.75" customHeight="1">
      <c r="A15" s="238" t="s">
        <v>220</v>
      </c>
      <c r="B15" s="239" t="s">
        <v>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>
        <f t="shared" si="0"/>
        <v>0</v>
      </c>
      <c r="Q15" s="491"/>
    </row>
    <row r="16" spans="1:17" s="237" customFormat="1" ht="30.75" customHeight="1">
      <c r="A16" s="238" t="s">
        <v>232</v>
      </c>
      <c r="B16" s="239" t="s">
        <v>3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>
        <v>1878840</v>
      </c>
      <c r="O16" s="240">
        <f t="shared" si="0"/>
        <v>1878840</v>
      </c>
      <c r="Q16" s="491"/>
    </row>
    <row r="17" spans="1:17" s="237" customFormat="1" ht="18.75" customHeight="1" thickBot="1">
      <c r="A17" s="241" t="s">
        <v>1</v>
      </c>
      <c r="B17" s="242" t="s">
        <v>4</v>
      </c>
      <c r="C17" s="243">
        <v>2863772198</v>
      </c>
      <c r="D17" s="243"/>
      <c r="E17" s="243"/>
      <c r="F17" s="243"/>
      <c r="G17" s="243"/>
      <c r="H17" s="243"/>
      <c r="I17" s="243"/>
      <c r="J17" s="243">
        <v>100000000</v>
      </c>
      <c r="K17" s="243">
        <v>58351238</v>
      </c>
      <c r="L17" s="243"/>
      <c r="M17" s="243"/>
      <c r="N17" s="243"/>
      <c r="O17" s="243">
        <f>C17+D17+E17+F17+G17+H17+I17+J17+K17+L17+M17+N17</f>
        <v>3022123436</v>
      </c>
      <c r="Q17" s="491"/>
    </row>
    <row r="18" spans="1:17" s="247" customFormat="1" ht="18.75" customHeight="1" thickBot="1">
      <c r="A18" s="244"/>
      <c r="B18" s="245" t="s">
        <v>257</v>
      </c>
      <c r="C18" s="246">
        <f t="shared" ref="C18:O18" si="1">SUM(C10:C17)</f>
        <v>3143932993</v>
      </c>
      <c r="D18" s="246">
        <f t="shared" si="1"/>
        <v>526613991</v>
      </c>
      <c r="E18" s="246">
        <f t="shared" si="1"/>
        <v>486273991</v>
      </c>
      <c r="F18" s="246">
        <f t="shared" si="1"/>
        <v>321273991</v>
      </c>
      <c r="G18" s="246">
        <f t="shared" si="1"/>
        <v>540276372</v>
      </c>
      <c r="H18" s="246">
        <f t="shared" si="1"/>
        <v>264682983</v>
      </c>
      <c r="I18" s="246">
        <f t="shared" si="1"/>
        <v>299818522</v>
      </c>
      <c r="J18" s="246">
        <f t="shared" si="1"/>
        <v>349282983</v>
      </c>
      <c r="K18" s="246">
        <f t="shared" si="1"/>
        <v>472634221</v>
      </c>
      <c r="L18" s="246">
        <f t="shared" si="1"/>
        <v>268384419</v>
      </c>
      <c r="M18" s="246">
        <f t="shared" si="1"/>
        <v>245914563</v>
      </c>
      <c r="N18" s="246">
        <f t="shared" si="1"/>
        <v>874068220</v>
      </c>
      <c r="O18" s="246">
        <f t="shared" si="1"/>
        <v>7793157249</v>
      </c>
      <c r="Q18" s="491"/>
    </row>
    <row r="19" spans="1:17" s="237" customFormat="1" ht="18.75" customHeight="1" thickBot="1">
      <c r="A19" s="248"/>
      <c r="B19" s="242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Q19" s="491"/>
    </row>
    <row r="20" spans="1:17" s="237" customFormat="1" ht="18.75" customHeight="1">
      <c r="A20" s="249"/>
      <c r="B20" s="250" t="s">
        <v>258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Q20" s="491"/>
    </row>
    <row r="21" spans="1:17" s="237" customFormat="1" ht="18.75" customHeight="1">
      <c r="A21" s="238" t="s">
        <v>221</v>
      </c>
      <c r="B21" s="239" t="s">
        <v>5</v>
      </c>
      <c r="C21" s="240">
        <v>113980095</v>
      </c>
      <c r="D21" s="240">
        <v>113980095</v>
      </c>
      <c r="E21" s="240">
        <v>113980095</v>
      </c>
      <c r="F21" s="240">
        <v>133632848</v>
      </c>
      <c r="G21" s="240">
        <v>118600975</v>
      </c>
      <c r="H21" s="240">
        <v>100746000</v>
      </c>
      <c r="I21" s="240">
        <v>100746000</v>
      </c>
      <c r="J21" s="240">
        <v>100746000</v>
      </c>
      <c r="K21" s="240">
        <v>100746000</v>
      </c>
      <c r="L21" s="240">
        <v>100746000</v>
      </c>
      <c r="M21" s="240">
        <v>100746000</v>
      </c>
      <c r="N21" s="240">
        <f>100747629+12500000</f>
        <v>113247629</v>
      </c>
      <c r="O21" s="240">
        <f t="shared" ref="O21:O28" si="2">C21+D21+E21+F21+G21+H21+I21+J21+K21+L21+M21+N21</f>
        <v>1311897737</v>
      </c>
      <c r="P21" s="492"/>
      <c r="Q21" s="491"/>
    </row>
    <row r="22" spans="1:17" s="237" customFormat="1" ht="33.75" customHeight="1">
      <c r="A22" s="238" t="s">
        <v>222</v>
      </c>
      <c r="B22" s="239" t="s">
        <v>6</v>
      </c>
      <c r="C22" s="240">
        <v>17653362</v>
      </c>
      <c r="D22" s="240">
        <v>17653362</v>
      </c>
      <c r="E22" s="240">
        <v>17653362</v>
      </c>
      <c r="F22" s="240">
        <v>21458405</v>
      </c>
      <c r="G22" s="240">
        <v>18723331</v>
      </c>
      <c r="H22" s="240">
        <v>21327000</v>
      </c>
      <c r="I22" s="240">
        <v>21327000</v>
      </c>
      <c r="J22" s="240">
        <v>21327000</v>
      </c>
      <c r="K22" s="240">
        <v>21327000</v>
      </c>
      <c r="L22" s="240">
        <v>21327000</v>
      </c>
      <c r="M22" s="240">
        <v>21327000</v>
      </c>
      <c r="N22" s="240">
        <f>21330807+5278100</f>
        <v>26608907</v>
      </c>
      <c r="O22" s="240">
        <f t="shared" si="2"/>
        <v>247712729</v>
      </c>
      <c r="P22" s="492"/>
      <c r="Q22" s="491"/>
    </row>
    <row r="23" spans="1:17" s="237" customFormat="1" ht="18.75" customHeight="1">
      <c r="A23" s="238" t="s">
        <v>223</v>
      </c>
      <c r="B23" s="239" t="s">
        <v>7</v>
      </c>
      <c r="C23" s="240">
        <v>82040750</v>
      </c>
      <c r="D23" s="240">
        <v>82040750</v>
      </c>
      <c r="E23" s="240">
        <v>82040750</v>
      </c>
      <c r="F23" s="240">
        <v>82040750</v>
      </c>
      <c r="G23" s="240">
        <v>82040750</v>
      </c>
      <c r="H23" s="240">
        <v>82040750</v>
      </c>
      <c r="I23" s="240">
        <v>82040750</v>
      </c>
      <c r="J23" s="240">
        <v>82040750</v>
      </c>
      <c r="K23" s="240">
        <v>82040750</v>
      </c>
      <c r="L23" s="240">
        <v>101979000</v>
      </c>
      <c r="M23" s="240">
        <v>101979000</v>
      </c>
      <c r="N23" s="240">
        <f>101980843-17778100</f>
        <v>84202743</v>
      </c>
      <c r="O23" s="240">
        <f t="shared" si="2"/>
        <v>1026527493</v>
      </c>
      <c r="P23" s="492"/>
      <c r="Q23" s="491"/>
    </row>
    <row r="24" spans="1:17" s="237" customFormat="1" ht="18.75" customHeight="1">
      <c r="A24" s="238" t="s">
        <v>224</v>
      </c>
      <c r="B24" s="239" t="s">
        <v>259</v>
      </c>
      <c r="C24" s="240">
        <v>5000000</v>
      </c>
      <c r="D24" s="240">
        <v>5000000</v>
      </c>
      <c r="E24" s="240">
        <v>4200000</v>
      </c>
      <c r="F24" s="240">
        <v>4200000</v>
      </c>
      <c r="G24" s="240">
        <v>4200000</v>
      </c>
      <c r="H24" s="240">
        <v>4200000</v>
      </c>
      <c r="I24" s="240">
        <v>4200000</v>
      </c>
      <c r="J24" s="240">
        <v>12047500</v>
      </c>
      <c r="K24" s="240">
        <v>4200000</v>
      </c>
      <c r="L24" s="240">
        <v>4890000</v>
      </c>
      <c r="M24" s="240">
        <v>5500000</v>
      </c>
      <c r="N24" s="240">
        <f>6000000+11964000</f>
        <v>17964000</v>
      </c>
      <c r="O24" s="240">
        <f t="shared" si="2"/>
        <v>75601500</v>
      </c>
      <c r="P24" s="492"/>
      <c r="Q24" s="491"/>
    </row>
    <row r="25" spans="1:17" s="237" customFormat="1" ht="18.75" customHeight="1">
      <c r="A25" s="238" t="s">
        <v>226</v>
      </c>
      <c r="B25" s="239" t="s">
        <v>8</v>
      </c>
      <c r="C25" s="240">
        <v>148248660</v>
      </c>
      <c r="D25" s="240">
        <v>148248660</v>
      </c>
      <c r="E25" s="240">
        <v>148248660</v>
      </c>
      <c r="F25" s="240">
        <v>148248660</v>
      </c>
      <c r="G25" s="240">
        <v>148248660</v>
      </c>
      <c r="H25" s="240">
        <v>148248660</v>
      </c>
      <c r="I25" s="240">
        <v>148248660</v>
      </c>
      <c r="J25" s="240">
        <v>148248660</v>
      </c>
      <c r="K25" s="240">
        <v>148248660</v>
      </c>
      <c r="L25" s="240">
        <v>148248660</v>
      </c>
      <c r="M25" s="240">
        <v>148248660</v>
      </c>
      <c r="N25" s="240">
        <f>137199481+587412582</f>
        <v>724612063</v>
      </c>
      <c r="O25" s="240">
        <f t="shared" si="2"/>
        <v>2355347323</v>
      </c>
      <c r="P25" s="492"/>
      <c r="Q25" s="491"/>
    </row>
    <row r="26" spans="1:17" s="237" customFormat="1" ht="18.75" customHeight="1">
      <c r="A26" s="238" t="s">
        <v>233</v>
      </c>
      <c r="B26" s="239" t="s">
        <v>10</v>
      </c>
      <c r="C26" s="240"/>
      <c r="D26" s="240">
        <v>117768582</v>
      </c>
      <c r="E26" s="240">
        <v>117768582</v>
      </c>
      <c r="F26" s="240">
        <v>117768582</v>
      </c>
      <c r="G26" s="240">
        <v>117768582</v>
      </c>
      <c r="H26" s="240">
        <v>117768582</v>
      </c>
      <c r="I26" s="240">
        <v>127768582</v>
      </c>
      <c r="J26" s="240">
        <v>137768582</v>
      </c>
      <c r="K26" s="240">
        <v>137768582</v>
      </c>
      <c r="L26" s="240">
        <v>137768582</v>
      </c>
      <c r="M26" s="240">
        <v>137768582</v>
      </c>
      <c r="N26" s="240">
        <f>63470975+9767692</f>
        <v>73238667</v>
      </c>
      <c r="O26" s="240">
        <f t="shared" si="2"/>
        <v>1340924487</v>
      </c>
      <c r="P26" s="492"/>
      <c r="Q26" s="491"/>
    </row>
    <row r="27" spans="1:17" s="237" customFormat="1" ht="18.75" customHeight="1">
      <c r="A27" s="238" t="s">
        <v>234</v>
      </c>
      <c r="B27" s="239" t="s">
        <v>9</v>
      </c>
      <c r="C27" s="240"/>
      <c r="D27" s="240">
        <v>112608777</v>
      </c>
      <c r="E27" s="240">
        <v>112608777</v>
      </c>
      <c r="F27" s="240">
        <v>112608777</v>
      </c>
      <c r="G27" s="240">
        <v>112608777</v>
      </c>
      <c r="H27" s="240">
        <v>112608777</v>
      </c>
      <c r="I27" s="240">
        <v>112608777</v>
      </c>
      <c r="J27" s="240">
        <v>112608777</v>
      </c>
      <c r="K27" s="240">
        <v>112608777</v>
      </c>
      <c r="L27" s="240">
        <v>112608777</v>
      </c>
      <c r="M27" s="240">
        <v>112608777</v>
      </c>
      <c r="N27" s="240">
        <f>72210846-2300000</f>
        <v>69910846</v>
      </c>
      <c r="O27" s="240">
        <f>C27+D27+E27+F27+G27+H27+I27+J27+K27+L27+M27+N27</f>
        <v>1195998616</v>
      </c>
      <c r="P27" s="492"/>
      <c r="Q27" s="491"/>
    </row>
    <row r="28" spans="1:17" s="237" customFormat="1" ht="18.75" customHeight="1">
      <c r="A28" s="238" t="s">
        <v>235</v>
      </c>
      <c r="B28" s="239" t="s">
        <v>11</v>
      </c>
      <c r="C28" s="240"/>
      <c r="D28" s="240"/>
      <c r="E28" s="240"/>
      <c r="F28" s="240"/>
      <c r="G28" s="240">
        <v>22356945</v>
      </c>
      <c r="H28" s="240"/>
      <c r="I28" s="240"/>
      <c r="J28" s="240"/>
      <c r="K28" s="240"/>
      <c r="L28" s="240"/>
      <c r="M28" s="240"/>
      <c r="N28" s="240"/>
      <c r="O28" s="240">
        <f t="shared" si="2"/>
        <v>22356945</v>
      </c>
      <c r="P28" s="492"/>
      <c r="Q28" s="491"/>
    </row>
    <row r="29" spans="1:17" s="237" customFormat="1" ht="18.75" customHeight="1" thickBot="1">
      <c r="A29" s="241" t="s">
        <v>239</v>
      </c>
      <c r="B29" s="242" t="s">
        <v>38</v>
      </c>
      <c r="C29" s="243">
        <v>58439181</v>
      </c>
      <c r="D29" s="243"/>
      <c r="E29" s="243"/>
      <c r="F29" s="243"/>
      <c r="G29" s="243"/>
      <c r="H29" s="243"/>
      <c r="I29" s="243"/>
      <c r="J29" s="243">
        <v>100000000</v>
      </c>
      <c r="K29" s="243">
        <v>58351238</v>
      </c>
      <c r="L29" s="243"/>
      <c r="M29" s="243"/>
      <c r="N29" s="243"/>
      <c r="O29" s="243">
        <f>C29+D29+E29+F29+G29+H29+I29+J29+K29+L29+M29+N29</f>
        <v>216790419</v>
      </c>
      <c r="P29" s="492"/>
      <c r="Q29" s="491"/>
    </row>
    <row r="30" spans="1:17" s="247" customFormat="1" ht="18.75" customHeight="1" thickBot="1">
      <c r="A30" s="244"/>
      <c r="B30" s="252" t="s">
        <v>260</v>
      </c>
      <c r="C30" s="253">
        <f t="shared" ref="C30:O30" si="3">SUM(C21:C29)</f>
        <v>425362048</v>
      </c>
      <c r="D30" s="253">
        <f t="shared" si="3"/>
        <v>597300226</v>
      </c>
      <c r="E30" s="253">
        <f t="shared" si="3"/>
        <v>596500226</v>
      </c>
      <c r="F30" s="253">
        <f t="shared" si="3"/>
        <v>619958022</v>
      </c>
      <c r="G30" s="253">
        <f t="shared" si="3"/>
        <v>624548020</v>
      </c>
      <c r="H30" s="253">
        <f>SUM(H21:H29)</f>
        <v>586939769</v>
      </c>
      <c r="I30" s="253">
        <f t="shared" si="3"/>
        <v>596939769</v>
      </c>
      <c r="J30" s="253">
        <f t="shared" si="3"/>
        <v>714787269</v>
      </c>
      <c r="K30" s="253">
        <f t="shared" si="3"/>
        <v>665291007</v>
      </c>
      <c r="L30" s="253">
        <f t="shared" si="3"/>
        <v>627568019</v>
      </c>
      <c r="M30" s="253">
        <f t="shared" si="3"/>
        <v>628178019</v>
      </c>
      <c r="N30" s="253">
        <f t="shared" si="3"/>
        <v>1109784855</v>
      </c>
      <c r="O30" s="253">
        <f t="shared" si="3"/>
        <v>7793157249</v>
      </c>
      <c r="P30" s="493"/>
      <c r="Q30" s="491"/>
    </row>
    <row r="31" spans="1:17" s="247" customFormat="1" ht="18.75" customHeight="1" thickBot="1">
      <c r="A31" s="244"/>
      <c r="B31" s="252" t="s">
        <v>261</v>
      </c>
      <c r="C31" s="254">
        <f>C18-C30</f>
        <v>2718570945</v>
      </c>
      <c r="D31" s="254">
        <f t="shared" ref="D31:M31" si="4">D18-D30</f>
        <v>-70686235</v>
      </c>
      <c r="E31" s="254">
        <f>E18-E30</f>
        <v>-110226235</v>
      </c>
      <c r="F31" s="254">
        <f t="shared" si="4"/>
        <v>-298684031</v>
      </c>
      <c r="G31" s="254">
        <f t="shared" si="4"/>
        <v>-84271648</v>
      </c>
      <c r="H31" s="254">
        <f t="shared" si="4"/>
        <v>-322256786</v>
      </c>
      <c r="I31" s="254">
        <f t="shared" si="4"/>
        <v>-297121247</v>
      </c>
      <c r="J31" s="254">
        <f t="shared" si="4"/>
        <v>-365504286</v>
      </c>
      <c r="K31" s="254">
        <f t="shared" si="4"/>
        <v>-192656786</v>
      </c>
      <c r="L31" s="254">
        <f t="shared" si="4"/>
        <v>-359183600</v>
      </c>
      <c r="M31" s="254">
        <f t="shared" si="4"/>
        <v>-382263456</v>
      </c>
      <c r="N31" s="254">
        <f>N18-N30</f>
        <v>-235716635</v>
      </c>
      <c r="O31" s="254">
        <f>O18-O30</f>
        <v>0</v>
      </c>
      <c r="Q31" s="491"/>
    </row>
    <row r="32" spans="1:17" s="237" customFormat="1">
      <c r="A32" s="255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</row>
    <row r="33" spans="1:15" s="237" customFormat="1">
      <c r="A33" s="255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</row>
    <row r="34" spans="1:15" s="237" customFormat="1">
      <c r="A34" s="255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</row>
    <row r="35" spans="1:15" s="237" customFormat="1">
      <c r="A35" s="255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</row>
    <row r="36" spans="1:15" s="237" customFormat="1">
      <c r="A36" s="255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</row>
    <row r="37" spans="1:15" s="237" customFormat="1">
      <c r="A37" s="255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</row>
    <row r="38" spans="1:15" s="237" customFormat="1">
      <c r="A38" s="255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</row>
    <row r="39" spans="1:15" s="237" customFormat="1">
      <c r="A39" s="255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</row>
    <row r="40" spans="1:15" s="237" customFormat="1">
      <c r="A40" s="255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</row>
    <row r="41" spans="1:15" s="237" customFormat="1">
      <c r="A41" s="255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</row>
    <row r="42" spans="1:15" s="237" customFormat="1">
      <c r="A42" s="255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</row>
    <row r="43" spans="1:15" s="237" customFormat="1">
      <c r="A43" s="255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</row>
    <row r="44" spans="1:15" s="237" customFormat="1">
      <c r="A44" s="255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</row>
    <row r="45" spans="1:15" s="237" customFormat="1">
      <c r="A45" s="255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</row>
    <row r="46" spans="1:15" s="237" customFormat="1">
      <c r="A46" s="255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</row>
    <row r="47" spans="1:15" s="237" customFormat="1">
      <c r="A47" s="255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</row>
    <row r="48" spans="1:15" s="237" customFormat="1">
      <c r="A48" s="255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</row>
    <row r="49" spans="1:15" s="237" customFormat="1">
      <c r="A49" s="255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</row>
    <row r="50" spans="1:15" s="237" customFormat="1">
      <c r="A50" s="255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</row>
    <row r="51" spans="1:15" s="237" customFormat="1">
      <c r="A51" s="255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</row>
    <row r="52" spans="1:15" s="237" customFormat="1">
      <c r="A52" s="255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</row>
    <row r="53" spans="1:15" s="237" customFormat="1">
      <c r="A53" s="255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</row>
    <row r="54" spans="1:15" s="237" customFormat="1">
      <c r="A54" s="255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</row>
    <row r="55" spans="1:15" s="237" customFormat="1">
      <c r="A55" s="255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</row>
    <row r="56" spans="1:15" s="237" customFormat="1">
      <c r="A56" s="255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</row>
    <row r="57" spans="1:15" s="237" customFormat="1">
      <c r="A57" s="255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</row>
    <row r="58" spans="1:15" s="237" customFormat="1">
      <c r="A58" s="255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</row>
    <row r="59" spans="1:15" s="237" customFormat="1">
      <c r="A59" s="255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</row>
    <row r="60" spans="1:15" s="237" customFormat="1">
      <c r="A60" s="255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</row>
    <row r="61" spans="1:15" s="237" customFormat="1">
      <c r="A61" s="255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</row>
    <row r="62" spans="1:15" s="237" customFormat="1">
      <c r="A62" s="255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</row>
    <row r="63" spans="1:15" s="237" customFormat="1">
      <c r="A63" s="255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</row>
    <row r="64" spans="1:15" s="237" customFormat="1">
      <c r="A64" s="255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</row>
    <row r="65" spans="1:15" s="237" customFormat="1">
      <c r="A65" s="255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</row>
    <row r="66" spans="1:15" s="237" customFormat="1">
      <c r="A66" s="255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</row>
    <row r="67" spans="1:15" s="237" customFormat="1">
      <c r="A67" s="255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</row>
    <row r="68" spans="1:15" s="237" customFormat="1">
      <c r="A68" s="255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</row>
    <row r="69" spans="1:15" s="237" customFormat="1">
      <c r="A69" s="255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</row>
    <row r="70" spans="1:15" s="237" customFormat="1">
      <c r="A70" s="255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</row>
    <row r="71" spans="1:15" s="237" customFormat="1">
      <c r="A71" s="255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</row>
    <row r="72" spans="1:15" s="237" customFormat="1">
      <c r="A72" s="255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</row>
    <row r="73" spans="1:15" s="237" customFormat="1">
      <c r="A73" s="255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</row>
    <row r="74" spans="1:15" s="237" customFormat="1">
      <c r="A74" s="255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</row>
    <row r="75" spans="1:15" s="237" customFormat="1">
      <c r="A75" s="255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</row>
    <row r="76" spans="1:15" s="237" customFormat="1">
      <c r="A76" s="255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</row>
    <row r="77" spans="1:15" s="237" customFormat="1">
      <c r="A77" s="255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</row>
    <row r="78" spans="1:15" s="237" customFormat="1">
      <c r="A78" s="255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</row>
    <row r="79" spans="1:15" s="237" customFormat="1">
      <c r="A79" s="255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</row>
    <row r="80" spans="1:15" s="237" customFormat="1">
      <c r="A80" s="255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</row>
    <row r="81" spans="1:15" s="237" customFormat="1">
      <c r="A81" s="255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</row>
    <row r="82" spans="1:15" s="237" customFormat="1">
      <c r="A82" s="255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</row>
    <row r="83" spans="1:15" s="237" customFormat="1">
      <c r="A83" s="255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</row>
    <row r="84" spans="1:15" s="237" customFormat="1">
      <c r="A84" s="255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</row>
    <row r="85" spans="1:15" s="237" customFormat="1">
      <c r="A85" s="255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</row>
    <row r="86" spans="1:15" s="237" customFormat="1">
      <c r="A86" s="255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</row>
    <row r="87" spans="1:15" s="237" customFormat="1">
      <c r="A87" s="255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</row>
    <row r="88" spans="1:15" s="237" customFormat="1">
      <c r="A88" s="255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</row>
    <row r="89" spans="1:15" s="237" customFormat="1">
      <c r="A89" s="255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</row>
    <row r="90" spans="1:15" s="237" customFormat="1">
      <c r="A90" s="255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</row>
    <row r="91" spans="1:15" s="237" customFormat="1">
      <c r="A91" s="255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</row>
    <row r="92" spans="1:15" s="237" customFormat="1">
      <c r="A92" s="255"/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</row>
    <row r="93" spans="1:15" s="237" customFormat="1">
      <c r="A93" s="255"/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</row>
    <row r="94" spans="1:15" s="237" customFormat="1">
      <c r="A94" s="255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</row>
    <row r="95" spans="1:15" s="237" customFormat="1">
      <c r="A95" s="255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</row>
    <row r="96" spans="1:15" s="237" customFormat="1">
      <c r="A96" s="255"/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</row>
    <row r="97" spans="1:15" s="237" customFormat="1">
      <c r="A97" s="255"/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</row>
    <row r="98" spans="1:15" s="237" customFormat="1">
      <c r="A98" s="255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</row>
    <row r="99" spans="1:15" s="237" customFormat="1">
      <c r="A99" s="255"/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</row>
    <row r="100" spans="1:15" s="237" customFormat="1">
      <c r="A100" s="255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</row>
    <row r="101" spans="1:15" s="237" customFormat="1">
      <c r="A101" s="255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</row>
    <row r="102" spans="1:15" s="237" customFormat="1">
      <c r="A102" s="255"/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</row>
    <row r="103" spans="1:15" s="237" customFormat="1">
      <c r="A103" s="255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</row>
    <row r="104" spans="1:15" s="237" customFormat="1">
      <c r="A104" s="255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</row>
    <row r="105" spans="1:15" s="237" customFormat="1">
      <c r="A105" s="255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</row>
    <row r="106" spans="1:15" s="237" customFormat="1">
      <c r="A106" s="255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</row>
    <row r="107" spans="1:15" s="237" customFormat="1">
      <c r="A107" s="255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</row>
    <row r="108" spans="1:15" s="237" customFormat="1">
      <c r="A108" s="255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</row>
    <row r="109" spans="1:15" s="237" customFormat="1">
      <c r="A109" s="255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</row>
    <row r="110" spans="1:15" s="237" customFormat="1">
      <c r="A110" s="255"/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</row>
    <row r="111" spans="1:15" s="237" customFormat="1">
      <c r="A111" s="255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</row>
    <row r="112" spans="1:15" s="237" customFormat="1">
      <c r="A112" s="255"/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</row>
    <row r="113" spans="1:15" s="237" customFormat="1">
      <c r="A113" s="255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</row>
    <row r="114" spans="1:15" s="237" customFormat="1">
      <c r="A114" s="255"/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</row>
    <row r="115" spans="1:15" s="237" customFormat="1">
      <c r="A115" s="255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</row>
    <row r="116" spans="1:15" s="237" customFormat="1">
      <c r="A116" s="255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</row>
    <row r="117" spans="1:15" s="237" customFormat="1">
      <c r="A117" s="255"/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</row>
    <row r="118" spans="1:15" s="237" customFormat="1">
      <c r="A118" s="255"/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</row>
    <row r="119" spans="1:15" s="237" customFormat="1">
      <c r="A119" s="255"/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</row>
    <row r="120" spans="1:15" s="237" customFormat="1">
      <c r="A120" s="255"/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</row>
    <row r="121" spans="1:15" s="237" customFormat="1">
      <c r="A121" s="255"/>
      <c r="C121" s="256"/>
      <c r="D121" s="256"/>
      <c r="E121" s="256"/>
      <c r="F121" s="256"/>
      <c r="G121" s="256"/>
      <c r="H121" s="256"/>
      <c r="I121" s="256"/>
      <c r="J121" s="256"/>
      <c r="K121" s="256"/>
      <c r="L121" s="256"/>
      <c r="M121" s="256"/>
      <c r="N121" s="256"/>
      <c r="O121" s="256"/>
    </row>
    <row r="122" spans="1:15" s="237" customFormat="1">
      <c r="A122" s="255"/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</row>
    <row r="123" spans="1:15" s="237" customFormat="1">
      <c r="A123" s="255"/>
      <c r="C123" s="256"/>
      <c r="D123" s="256"/>
      <c r="E123" s="256"/>
      <c r="F123" s="256"/>
      <c r="G123" s="256"/>
      <c r="H123" s="256"/>
      <c r="I123" s="256"/>
      <c r="J123" s="256"/>
      <c r="K123" s="256"/>
      <c r="L123" s="256"/>
      <c r="M123" s="256"/>
      <c r="N123" s="256"/>
      <c r="O123" s="256"/>
    </row>
    <row r="124" spans="1:15" s="237" customFormat="1">
      <c r="A124" s="255"/>
      <c r="C124" s="256"/>
      <c r="D124" s="256"/>
      <c r="E124" s="256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/>
    </row>
    <row r="125" spans="1:15" s="237" customFormat="1">
      <c r="A125" s="255"/>
      <c r="C125" s="256"/>
      <c r="D125" s="256"/>
      <c r="E125" s="256"/>
      <c r="F125" s="256"/>
      <c r="G125" s="256"/>
      <c r="H125" s="256"/>
      <c r="I125" s="256"/>
      <c r="J125" s="256"/>
      <c r="K125" s="256"/>
      <c r="L125" s="256"/>
      <c r="M125" s="256"/>
      <c r="N125" s="256"/>
      <c r="O125" s="256"/>
    </row>
    <row r="126" spans="1:15" s="237" customFormat="1">
      <c r="A126" s="255"/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</row>
    <row r="127" spans="1:15" s="237" customFormat="1">
      <c r="A127" s="255"/>
      <c r="C127" s="256"/>
      <c r="D127" s="256"/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</row>
    <row r="128" spans="1:15" s="237" customFormat="1">
      <c r="A128" s="255"/>
      <c r="C128" s="256"/>
      <c r="D128" s="256"/>
      <c r="E128" s="256"/>
      <c r="F128" s="256"/>
      <c r="G128" s="256"/>
      <c r="H128" s="256"/>
      <c r="I128" s="256"/>
      <c r="J128" s="256"/>
      <c r="K128" s="256"/>
      <c r="L128" s="256"/>
      <c r="M128" s="256"/>
      <c r="N128" s="256"/>
      <c r="O128" s="256"/>
    </row>
    <row r="129" spans="1:15" s="237" customFormat="1">
      <c r="A129" s="255"/>
      <c r="C129" s="256"/>
      <c r="D129" s="256"/>
      <c r="E129" s="256"/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</row>
    <row r="130" spans="1:15" s="237" customFormat="1">
      <c r="A130" s="255"/>
      <c r="C130" s="256"/>
      <c r="D130" s="256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</row>
    <row r="131" spans="1:15" s="237" customFormat="1">
      <c r="A131" s="255"/>
      <c r="C131" s="256"/>
      <c r="D131" s="256"/>
      <c r="E131" s="256"/>
      <c r="F131" s="256"/>
      <c r="G131" s="256"/>
      <c r="H131" s="256"/>
      <c r="I131" s="256"/>
      <c r="J131" s="256"/>
      <c r="K131" s="256"/>
      <c r="L131" s="256"/>
      <c r="M131" s="256"/>
      <c r="N131" s="256"/>
      <c r="O131" s="256"/>
    </row>
    <row r="132" spans="1:15" s="237" customFormat="1">
      <c r="A132" s="255"/>
      <c r="C132" s="256"/>
      <c r="D132" s="256"/>
      <c r="E132" s="256"/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</row>
    <row r="133" spans="1:15" s="237" customFormat="1">
      <c r="A133" s="255"/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  <c r="N133" s="256"/>
      <c r="O133" s="256"/>
    </row>
    <row r="134" spans="1:15" s="237" customFormat="1">
      <c r="A134" s="255"/>
      <c r="C134" s="256"/>
      <c r="D134" s="256"/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</row>
    <row r="135" spans="1:15" s="237" customFormat="1">
      <c r="A135" s="255"/>
      <c r="C135" s="256"/>
      <c r="D135" s="256"/>
      <c r="E135" s="256"/>
      <c r="F135" s="256"/>
      <c r="G135" s="256"/>
      <c r="H135" s="256"/>
      <c r="I135" s="256"/>
      <c r="J135" s="256"/>
      <c r="K135" s="256"/>
      <c r="L135" s="256"/>
      <c r="M135" s="256"/>
      <c r="N135" s="256"/>
      <c r="O135" s="256"/>
    </row>
    <row r="136" spans="1:15" s="237" customFormat="1">
      <c r="A136" s="255"/>
      <c r="C136" s="256"/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</row>
    <row r="137" spans="1:15" s="237" customFormat="1">
      <c r="A137" s="255"/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</row>
    <row r="138" spans="1:15" s="237" customFormat="1">
      <c r="A138" s="255"/>
      <c r="C138" s="256"/>
      <c r="D138" s="256"/>
      <c r="E138" s="256"/>
      <c r="F138" s="256"/>
      <c r="G138" s="256"/>
      <c r="H138" s="256"/>
      <c r="I138" s="256"/>
      <c r="J138" s="256"/>
      <c r="K138" s="256"/>
      <c r="L138" s="256"/>
      <c r="M138" s="256"/>
      <c r="N138" s="256"/>
      <c r="O138" s="256"/>
    </row>
    <row r="139" spans="1:15" s="237" customFormat="1">
      <c r="A139" s="255"/>
      <c r="C139" s="256"/>
      <c r="D139" s="256"/>
      <c r="E139" s="256"/>
      <c r="F139" s="256"/>
      <c r="G139" s="256"/>
      <c r="H139" s="256"/>
      <c r="I139" s="256"/>
      <c r="J139" s="256"/>
      <c r="K139" s="256"/>
      <c r="L139" s="256"/>
      <c r="M139" s="256"/>
      <c r="N139" s="256"/>
      <c r="O139" s="256"/>
    </row>
    <row r="140" spans="1:15" s="237" customFormat="1">
      <c r="A140" s="255"/>
      <c r="C140" s="256"/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6"/>
    </row>
    <row r="141" spans="1:15" s="237" customFormat="1">
      <c r="A141" s="255"/>
      <c r="C141" s="256"/>
      <c r="D141" s="256"/>
      <c r="E141" s="256"/>
      <c r="F141" s="256"/>
      <c r="G141" s="256"/>
      <c r="H141" s="256"/>
      <c r="I141" s="256"/>
      <c r="J141" s="256"/>
      <c r="K141" s="256"/>
      <c r="L141" s="256"/>
      <c r="M141" s="256"/>
      <c r="N141" s="256"/>
      <c r="O141" s="256"/>
    </row>
    <row r="142" spans="1:15" s="237" customFormat="1">
      <c r="A142" s="255"/>
      <c r="C142" s="256"/>
      <c r="D142" s="256"/>
      <c r="E142" s="256"/>
      <c r="F142" s="256"/>
      <c r="G142" s="256"/>
      <c r="H142" s="256"/>
      <c r="I142" s="256"/>
      <c r="J142" s="256"/>
      <c r="K142" s="256"/>
      <c r="L142" s="256"/>
      <c r="M142" s="256"/>
      <c r="N142" s="256"/>
      <c r="O142" s="256"/>
    </row>
  </sheetData>
  <mergeCells count="3">
    <mergeCell ref="A1:I1"/>
    <mergeCell ref="B4:O4"/>
    <mergeCell ref="B7:O7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view="pageBreakPreview" zoomScale="98" zoomScaleSheetLayoutView="98" workbookViewId="0">
      <selection sqref="A1:D1"/>
    </sheetView>
  </sheetViews>
  <sheetFormatPr defaultRowHeight="15.75"/>
  <cols>
    <col min="1" max="1" width="74.5703125" style="63" customWidth="1"/>
    <col min="2" max="2" width="16.28515625" style="63" customWidth="1"/>
    <col min="3" max="3" width="19" style="374" customWidth="1"/>
    <col min="4" max="4" width="19.28515625" style="374" customWidth="1"/>
    <col min="5" max="5" width="19.28515625" style="63" hidden="1" customWidth="1"/>
    <col min="6" max="6" width="19.28515625" style="374" customWidth="1"/>
    <col min="7" max="7" width="19.28515625" style="63" customWidth="1"/>
    <col min="8" max="9" width="9.140625" style="63"/>
    <col min="10" max="10" width="14.42578125" style="421" bestFit="1" customWidth="1"/>
    <col min="11" max="16384" width="9.140625" style="63"/>
  </cols>
  <sheetData>
    <row r="1" spans="1:10" ht="20.100000000000001" customHeight="1">
      <c r="A1" s="504" t="s">
        <v>480</v>
      </c>
      <c r="B1" s="505"/>
      <c r="C1" s="505"/>
      <c r="D1" s="505"/>
      <c r="E1" s="331"/>
      <c r="F1" s="63"/>
    </row>
    <row r="2" spans="1:10" ht="20.100000000000001" customHeight="1">
      <c r="A2" s="332"/>
      <c r="B2" s="330"/>
      <c r="C2" s="333"/>
      <c r="D2" s="333"/>
      <c r="E2" s="333"/>
      <c r="F2" s="333"/>
    </row>
    <row r="3" spans="1:10" ht="39" customHeight="1">
      <c r="A3" s="528" t="s">
        <v>387</v>
      </c>
      <c r="B3" s="528"/>
      <c r="C3" s="528"/>
      <c r="D3" s="528"/>
      <c r="E3" s="528"/>
      <c r="F3" s="528"/>
    </row>
    <row r="4" spans="1:10" ht="20.100000000000001" customHeight="1">
      <c r="A4" s="332" t="s">
        <v>289</v>
      </c>
      <c r="B4" s="330"/>
      <c r="C4" s="333"/>
      <c r="D4" s="333"/>
      <c r="E4" s="333"/>
      <c r="F4" s="333"/>
    </row>
    <row r="5" spans="1:10" ht="20.100000000000001" customHeight="1" thickBot="1">
      <c r="A5" s="334"/>
      <c r="B5" s="335"/>
      <c r="C5" s="335"/>
      <c r="D5" s="99"/>
      <c r="E5" s="99"/>
      <c r="F5" s="99" t="s">
        <v>0</v>
      </c>
    </row>
    <row r="6" spans="1:10" ht="31.5" customHeight="1" thickBot="1">
      <c r="A6" s="506" t="s">
        <v>290</v>
      </c>
      <c r="B6" s="507"/>
      <c r="C6" s="336"/>
      <c r="D6" s="337" t="s">
        <v>291</v>
      </c>
      <c r="E6" s="337" t="s">
        <v>292</v>
      </c>
      <c r="F6" s="337" t="s">
        <v>292</v>
      </c>
    </row>
    <row r="7" spans="1:10" ht="20.100000000000001" customHeight="1">
      <c r="A7" s="338" t="s">
        <v>293</v>
      </c>
      <c r="B7" s="339"/>
      <c r="C7" s="340"/>
      <c r="D7" s="340"/>
      <c r="E7" s="340"/>
      <c r="F7" s="340"/>
      <c r="J7" s="63"/>
    </row>
    <row r="8" spans="1:10" ht="20.100000000000001" customHeight="1">
      <c r="A8" s="341" t="s">
        <v>294</v>
      </c>
      <c r="B8" s="342" t="s">
        <v>0</v>
      </c>
      <c r="C8" s="343" t="s">
        <v>0</v>
      </c>
      <c r="D8" s="344"/>
      <c r="E8" s="344"/>
      <c r="F8" s="344"/>
      <c r="J8" s="63"/>
    </row>
    <row r="9" spans="1:10" ht="20.100000000000001" customHeight="1">
      <c r="A9" s="341" t="s">
        <v>295</v>
      </c>
      <c r="B9" s="342"/>
      <c r="C9" s="343"/>
      <c r="D9" s="344"/>
      <c r="E9" s="344"/>
      <c r="F9" s="344"/>
      <c r="J9" s="63"/>
    </row>
    <row r="10" spans="1:10" ht="20.100000000000001" customHeight="1">
      <c r="A10" s="496" t="s">
        <v>296</v>
      </c>
      <c r="B10" s="497"/>
      <c r="C10" s="345">
        <v>194650000</v>
      </c>
      <c r="D10" s="345">
        <v>194650000</v>
      </c>
      <c r="E10" s="345"/>
      <c r="F10" s="345">
        <v>194650000</v>
      </c>
      <c r="J10" s="63"/>
    </row>
    <row r="11" spans="1:10" ht="20.100000000000001" customHeight="1">
      <c r="A11" s="496" t="s">
        <v>297</v>
      </c>
      <c r="B11" s="497"/>
      <c r="C11" s="345">
        <v>29491750</v>
      </c>
      <c r="D11" s="345">
        <v>0</v>
      </c>
      <c r="E11" s="345"/>
      <c r="F11" s="345">
        <v>0</v>
      </c>
      <c r="J11" s="63"/>
    </row>
    <row r="12" spans="1:10" ht="20.100000000000001" customHeight="1">
      <c r="A12" s="496" t="s">
        <v>298</v>
      </c>
      <c r="B12" s="497"/>
      <c r="C12" s="345">
        <v>0</v>
      </c>
      <c r="D12" s="345"/>
      <c r="E12" s="345"/>
      <c r="F12" s="345"/>
      <c r="J12" s="63"/>
    </row>
    <row r="13" spans="1:10" ht="20.100000000000001" customHeight="1">
      <c r="A13" s="346" t="s">
        <v>299</v>
      </c>
      <c r="B13" s="347"/>
      <c r="C13" s="345">
        <v>54720000</v>
      </c>
      <c r="D13" s="345">
        <v>47789692</v>
      </c>
      <c r="E13" s="345"/>
      <c r="F13" s="345">
        <v>47789692</v>
      </c>
      <c r="J13" s="63"/>
    </row>
    <row r="14" spans="1:10" ht="20.100000000000001" customHeight="1">
      <c r="A14" s="496" t="s">
        <v>298</v>
      </c>
      <c r="B14" s="497"/>
      <c r="C14" s="345">
        <v>47789692</v>
      </c>
      <c r="D14" s="345"/>
      <c r="E14" s="345"/>
      <c r="F14" s="345"/>
      <c r="J14" s="63"/>
    </row>
    <row r="15" spans="1:10" ht="20.100000000000001" customHeight="1">
      <c r="A15" s="346" t="s">
        <v>300</v>
      </c>
      <c r="B15" s="347"/>
      <c r="C15" s="345">
        <v>0</v>
      </c>
      <c r="D15" s="345">
        <v>0</v>
      </c>
      <c r="E15" s="345"/>
      <c r="F15" s="345">
        <v>0</v>
      </c>
      <c r="J15" s="63"/>
    </row>
    <row r="16" spans="1:10" ht="20.100000000000001" customHeight="1">
      <c r="A16" s="346" t="s">
        <v>301</v>
      </c>
      <c r="B16" s="347"/>
      <c r="C16" s="345">
        <v>32733200</v>
      </c>
      <c r="D16" s="345">
        <v>32733200</v>
      </c>
      <c r="E16" s="345"/>
      <c r="F16" s="345">
        <v>32733200</v>
      </c>
      <c r="J16" s="63"/>
    </row>
    <row r="17" spans="1:10" ht="20.100000000000001" customHeight="1">
      <c r="A17" s="496" t="s">
        <v>298</v>
      </c>
      <c r="B17" s="497"/>
      <c r="C17" s="345">
        <v>32733200</v>
      </c>
      <c r="D17" s="345"/>
      <c r="E17" s="345"/>
      <c r="F17" s="345"/>
      <c r="J17" s="63"/>
    </row>
    <row r="18" spans="1:10" ht="20.100000000000001" customHeight="1">
      <c r="A18" s="346" t="s">
        <v>302</v>
      </c>
      <c r="B18" s="347"/>
      <c r="C18" s="345">
        <v>55115100</v>
      </c>
      <c r="D18" s="345">
        <v>0</v>
      </c>
      <c r="E18" s="345"/>
      <c r="F18" s="345">
        <v>0</v>
      </c>
      <c r="J18" s="63"/>
    </row>
    <row r="19" spans="1:10" ht="20.100000000000001" customHeight="1">
      <c r="A19" s="496" t="s">
        <v>298</v>
      </c>
      <c r="B19" s="497"/>
      <c r="C19" s="345">
        <v>0</v>
      </c>
      <c r="D19" s="345"/>
      <c r="E19" s="345"/>
      <c r="F19" s="345"/>
      <c r="J19" s="63"/>
    </row>
    <row r="20" spans="1:10" ht="20.100000000000001" customHeight="1">
      <c r="A20" s="346" t="s">
        <v>303</v>
      </c>
      <c r="B20" s="347"/>
      <c r="C20" s="345">
        <v>1412700</v>
      </c>
      <c r="D20" s="345">
        <v>0</v>
      </c>
      <c r="E20" s="345"/>
      <c r="F20" s="345">
        <v>0</v>
      </c>
      <c r="J20" s="63"/>
    </row>
    <row r="21" spans="1:10" ht="20.100000000000001" customHeight="1">
      <c r="A21" s="496" t="s">
        <v>298</v>
      </c>
      <c r="B21" s="497"/>
      <c r="C21" s="345">
        <v>0</v>
      </c>
      <c r="D21" s="345"/>
      <c r="E21" s="345"/>
      <c r="F21" s="345"/>
      <c r="J21" s="63"/>
    </row>
    <row r="22" spans="1:10" ht="20.100000000000001" customHeight="1">
      <c r="A22" s="346" t="s">
        <v>304</v>
      </c>
      <c r="B22" s="347"/>
      <c r="C22" s="345">
        <v>4054610</v>
      </c>
      <c r="D22" s="345">
        <v>4054610</v>
      </c>
      <c r="E22" s="345"/>
      <c r="F22" s="345">
        <v>4054610</v>
      </c>
      <c r="J22" s="63"/>
    </row>
    <row r="23" spans="1:10" ht="20.100000000000001" customHeight="1">
      <c r="A23" s="496" t="s">
        <v>298</v>
      </c>
      <c r="B23" s="497"/>
      <c r="C23" s="345">
        <v>4054610</v>
      </c>
      <c r="D23" s="345"/>
      <c r="E23" s="345"/>
      <c r="F23" s="345"/>
      <c r="J23" s="63"/>
    </row>
    <row r="24" spans="1:10" ht="20.100000000000001" customHeight="1">
      <c r="A24" s="346" t="s">
        <v>305</v>
      </c>
      <c r="B24" s="348">
        <f>SUM(C11-C12+C13-C14+C15+C16-C17+C18-C19+C20-C21+C22-C23)</f>
        <v>92949858</v>
      </c>
      <c r="C24" s="345"/>
      <c r="D24" s="345"/>
      <c r="E24" s="345"/>
      <c r="F24" s="345"/>
      <c r="J24" s="63"/>
    </row>
    <row r="25" spans="1:10" ht="20.100000000000001" customHeight="1" thickBot="1">
      <c r="A25" s="349" t="s">
        <v>306</v>
      </c>
      <c r="B25" s="350"/>
      <c r="C25" s="351">
        <v>984784</v>
      </c>
      <c r="D25" s="351"/>
      <c r="E25" s="351"/>
      <c r="F25" s="351">
        <f>SUM(C25)</f>
        <v>984784</v>
      </c>
      <c r="J25" s="63"/>
    </row>
    <row r="26" spans="1:10" ht="19.5" customHeight="1" thickBot="1">
      <c r="A26" s="502" t="s">
        <v>307</v>
      </c>
      <c r="B26" s="503"/>
      <c r="C26" s="352">
        <f>C10+C12+C14+C15+C16+C19+C21+C23+C25</f>
        <v>280212286</v>
      </c>
      <c r="D26" s="352">
        <f>SUM(D10:D25)</f>
        <v>279227502</v>
      </c>
      <c r="E26" s="352">
        <f>SUM(E10:E25)</f>
        <v>0</v>
      </c>
      <c r="F26" s="352">
        <f>SUM(F10:F25)</f>
        <v>280212286</v>
      </c>
      <c r="J26" s="63"/>
    </row>
    <row r="27" spans="1:10" ht="20.100000000000001" customHeight="1" thickBot="1">
      <c r="A27" s="346" t="s">
        <v>308</v>
      </c>
      <c r="B27" s="347"/>
      <c r="C27" s="345">
        <v>2048700</v>
      </c>
      <c r="D27" s="345">
        <v>2048700</v>
      </c>
      <c r="E27" s="345"/>
      <c r="F27" s="345">
        <v>2048700</v>
      </c>
      <c r="J27" s="63"/>
    </row>
    <row r="28" spans="1:10" ht="19.5" customHeight="1" thickBot="1">
      <c r="A28" s="502" t="s">
        <v>309</v>
      </c>
      <c r="B28" s="503"/>
      <c r="C28" s="352">
        <f>SUM(C26:C27)</f>
        <v>282260986</v>
      </c>
      <c r="D28" s="352">
        <f>SUM(D26:D27)</f>
        <v>281276202</v>
      </c>
      <c r="E28" s="352">
        <f>SUM(E12:E27)</f>
        <v>0</v>
      </c>
      <c r="F28" s="352">
        <f>SUM(F26:F27)</f>
        <v>282260986</v>
      </c>
      <c r="J28" s="63"/>
    </row>
    <row r="29" spans="1:10" ht="19.5" customHeight="1">
      <c r="A29" s="510" t="s">
        <v>310</v>
      </c>
      <c r="B29" s="511"/>
      <c r="C29" s="344"/>
      <c r="D29" s="344"/>
      <c r="E29" s="344"/>
      <c r="F29" s="344"/>
      <c r="J29" s="63"/>
    </row>
    <row r="30" spans="1:10" s="224" customFormat="1" ht="20.100000000000001" customHeight="1">
      <c r="A30" s="346" t="s">
        <v>311</v>
      </c>
      <c r="B30" s="347"/>
      <c r="C30" s="345">
        <f>195614400+61740000+2946000+95892300+30870000+1473000+736500+5155500</f>
        <v>394427700</v>
      </c>
      <c r="D30" s="345">
        <v>388535700</v>
      </c>
      <c r="E30" s="345"/>
      <c r="F30" s="345">
        <f>SUM(C30)</f>
        <v>394427700</v>
      </c>
    </row>
    <row r="31" spans="1:10" s="224" customFormat="1" ht="20.100000000000001" customHeight="1">
      <c r="A31" s="346" t="s">
        <v>312</v>
      </c>
      <c r="B31" s="347"/>
      <c r="C31" s="345"/>
      <c r="D31" s="345"/>
      <c r="E31" s="345"/>
      <c r="F31" s="345"/>
    </row>
    <row r="32" spans="1:10" s="224" customFormat="1" ht="20.100000000000001" customHeight="1">
      <c r="A32" s="346" t="s">
        <v>313</v>
      </c>
      <c r="B32" s="347"/>
      <c r="C32" s="345">
        <f>39869600+19689700+81700+1171033</f>
        <v>60812033</v>
      </c>
      <c r="D32" s="345">
        <v>59559300</v>
      </c>
      <c r="E32" s="345"/>
      <c r="F32" s="345">
        <f>SUM(C32)</f>
        <v>60812033</v>
      </c>
    </row>
    <row r="33" spans="1:6" s="224" customFormat="1" ht="20.100000000000001" customHeight="1">
      <c r="A33" s="346" t="s">
        <v>314</v>
      </c>
      <c r="B33" s="347"/>
      <c r="C33" s="345">
        <f>10025000+2926000+2561868-1203000</f>
        <v>14309868</v>
      </c>
      <c r="D33" s="345">
        <v>12951000</v>
      </c>
      <c r="E33" s="345"/>
      <c r="F33" s="345">
        <f>SUM(C33)</f>
        <v>14309868</v>
      </c>
    </row>
    <row r="34" spans="1:6" s="224" customFormat="1" ht="20.100000000000001" customHeight="1" thickBot="1">
      <c r="A34" s="349" t="s">
        <v>315</v>
      </c>
      <c r="B34" s="353"/>
      <c r="C34" s="351"/>
      <c r="D34" s="351"/>
      <c r="E34" s="345"/>
      <c r="F34" s="351"/>
    </row>
    <row r="35" spans="1:6" s="224" customFormat="1" ht="20.100000000000001" customHeight="1" thickBot="1">
      <c r="A35" s="502" t="s">
        <v>310</v>
      </c>
      <c r="B35" s="503"/>
      <c r="C35" s="352">
        <f>SUM(C30:C34)</f>
        <v>469549601</v>
      </c>
      <c r="D35" s="352">
        <f>SUM(D30:D34)</f>
        <v>461046000</v>
      </c>
      <c r="E35" s="352">
        <f>SUM(E30:E34)</f>
        <v>0</v>
      </c>
      <c r="F35" s="352">
        <f>SUM(F30:F34)</f>
        <v>469549601</v>
      </c>
    </row>
    <row r="36" spans="1:6" s="224" customFormat="1" ht="20.100000000000001" customHeight="1">
      <c r="A36" s="510" t="s">
        <v>316</v>
      </c>
      <c r="B36" s="511"/>
      <c r="C36" s="344"/>
      <c r="D36" s="344"/>
      <c r="E36" s="344"/>
      <c r="F36" s="344"/>
    </row>
    <row r="37" spans="1:6" s="224" customFormat="1" ht="20.100000000000001" customHeight="1">
      <c r="A37" s="354" t="s">
        <v>317</v>
      </c>
      <c r="B37" s="355"/>
      <c r="C37" s="356"/>
      <c r="D37" s="356"/>
      <c r="E37" s="356"/>
      <c r="F37" s="356"/>
    </row>
    <row r="38" spans="1:6" s="224" customFormat="1" ht="20.100000000000001" customHeight="1">
      <c r="A38" s="512" t="s">
        <v>318</v>
      </c>
      <c r="B38" s="513"/>
      <c r="C38" s="345">
        <v>80695000</v>
      </c>
      <c r="D38" s="345">
        <v>80695000</v>
      </c>
      <c r="E38" s="345"/>
      <c r="F38" s="345">
        <v>80695000</v>
      </c>
    </row>
    <row r="39" spans="1:6" s="224" customFormat="1" ht="20.100000000000001" customHeight="1">
      <c r="A39" s="346" t="s">
        <v>319</v>
      </c>
      <c r="B39" s="347"/>
      <c r="C39" s="345">
        <f>SUM(B40:B50)</f>
        <v>147371393</v>
      </c>
      <c r="D39" s="345">
        <v>138110644</v>
      </c>
      <c r="E39" s="345"/>
      <c r="F39" s="345">
        <f>SUM(C39)</f>
        <v>147371393</v>
      </c>
    </row>
    <row r="40" spans="1:6" s="224" customFormat="1" ht="20.100000000000001" customHeight="1">
      <c r="A40" s="346" t="s">
        <v>320</v>
      </c>
      <c r="B40" s="357">
        <v>16660000</v>
      </c>
      <c r="C40" s="345"/>
      <c r="D40" s="345"/>
      <c r="E40" s="345"/>
      <c r="F40" s="345"/>
    </row>
    <row r="41" spans="1:6" s="224" customFormat="1" ht="20.100000000000001" customHeight="1">
      <c r="A41" s="346" t="s">
        <v>321</v>
      </c>
      <c r="B41" s="357">
        <v>24750000</v>
      </c>
      <c r="C41" s="345"/>
      <c r="D41" s="345"/>
      <c r="E41" s="345"/>
      <c r="F41" s="345"/>
    </row>
    <row r="42" spans="1:6" s="224" customFormat="1" ht="20.100000000000001" customHeight="1">
      <c r="A42" s="346" t="s">
        <v>322</v>
      </c>
      <c r="B42" s="357">
        <f>29778144-487168+1522400</f>
        <v>30813376</v>
      </c>
      <c r="C42" s="345"/>
      <c r="D42" s="345"/>
      <c r="E42" s="345"/>
      <c r="F42" s="345"/>
    </row>
    <row r="43" spans="1:6" s="224" customFormat="1" ht="20.100000000000001" customHeight="1">
      <c r="A43" s="346" t="s">
        <v>323</v>
      </c>
      <c r="B43" s="357">
        <f>175000-100000-25000</f>
        <v>50000</v>
      </c>
      <c r="C43" s="345"/>
      <c r="D43" s="345"/>
      <c r="E43" s="345"/>
      <c r="F43" s="345"/>
    </row>
    <row r="44" spans="1:6" s="224" customFormat="1" ht="20.100000000000001" customHeight="1">
      <c r="A44" s="346" t="s">
        <v>324</v>
      </c>
      <c r="B44" s="357">
        <f>42042000+2145000</f>
        <v>44187000</v>
      </c>
      <c r="C44" s="345"/>
      <c r="D44" s="345"/>
      <c r="E44" s="345"/>
      <c r="F44" s="345"/>
    </row>
    <row r="45" spans="1:6" s="224" customFormat="1" ht="20.100000000000001" customHeight="1">
      <c r="A45" s="346" t="s">
        <v>325</v>
      </c>
      <c r="B45" s="357">
        <v>3100000</v>
      </c>
      <c r="C45" s="345"/>
      <c r="D45" s="345"/>
      <c r="E45" s="345"/>
      <c r="F45" s="345"/>
    </row>
    <row r="46" spans="1:6" s="224" customFormat="1" ht="20.100000000000001" customHeight="1">
      <c r="A46" s="346" t="s">
        <v>326</v>
      </c>
      <c r="B46" s="357">
        <f>8665500-654000</f>
        <v>8011500</v>
      </c>
      <c r="C46" s="345"/>
      <c r="D46" s="345"/>
      <c r="E46" s="345"/>
      <c r="F46" s="345"/>
    </row>
    <row r="47" spans="1:6" s="224" customFormat="1" ht="20.100000000000001" customHeight="1">
      <c r="A47" s="346" t="s">
        <v>327</v>
      </c>
      <c r="B47" s="357">
        <f>5500000-550000</f>
        <v>4950000</v>
      </c>
      <c r="C47" s="345"/>
      <c r="D47" s="345"/>
      <c r="E47" s="345"/>
      <c r="F47" s="345"/>
    </row>
    <row r="48" spans="1:6" s="224" customFormat="1" ht="20.100000000000001" customHeight="1">
      <c r="A48" s="346" t="s">
        <v>328</v>
      </c>
      <c r="B48" s="357">
        <v>4464000</v>
      </c>
      <c r="C48" s="345"/>
      <c r="D48" s="345"/>
      <c r="E48" s="345"/>
      <c r="F48" s="345"/>
    </row>
    <row r="49" spans="1:6" s="224" customFormat="1" ht="20.100000000000001" customHeight="1">
      <c r="A49" s="346" t="s">
        <v>329</v>
      </c>
      <c r="B49" s="357">
        <f>2976000+744000</f>
        <v>3720000</v>
      </c>
      <c r="C49" s="345"/>
      <c r="D49" s="345"/>
      <c r="E49" s="345"/>
      <c r="F49" s="345"/>
    </row>
    <row r="50" spans="1:6" s="224" customFormat="1" ht="20.100000000000001" customHeight="1">
      <c r="A50" s="346" t="s">
        <v>445</v>
      </c>
      <c r="B50" s="357">
        <v>6665517</v>
      </c>
      <c r="C50" s="345"/>
      <c r="D50" s="345"/>
      <c r="E50" s="345"/>
      <c r="F50" s="345"/>
    </row>
    <row r="51" spans="1:6" s="224" customFormat="1" ht="20.100000000000001" customHeight="1">
      <c r="A51" s="346" t="s">
        <v>330</v>
      </c>
      <c r="B51" s="347"/>
      <c r="C51" s="345">
        <f>SUM(B53:B54)</f>
        <v>344853000</v>
      </c>
      <c r="D51" s="345">
        <v>330531000</v>
      </c>
      <c r="E51" s="345"/>
      <c r="F51" s="345">
        <f>SUM(C51)</f>
        <v>344853000</v>
      </c>
    </row>
    <row r="52" spans="1:6" s="224" customFormat="1" ht="20.100000000000001" customHeight="1">
      <c r="A52" s="512" t="s">
        <v>331</v>
      </c>
      <c r="B52" s="513"/>
      <c r="C52" s="345"/>
      <c r="D52" s="345"/>
      <c r="E52" s="345"/>
      <c r="F52" s="345"/>
    </row>
    <row r="53" spans="1:6" s="224" customFormat="1" ht="20.100000000000001" customHeight="1">
      <c r="A53" s="346" t="s">
        <v>332</v>
      </c>
      <c r="B53" s="358">
        <f>222144000+2848000</f>
        <v>224992000</v>
      </c>
      <c r="C53" s="345"/>
      <c r="D53" s="345"/>
      <c r="E53" s="345"/>
      <c r="F53" s="345"/>
    </row>
    <row r="54" spans="1:6" s="224" customFormat="1" ht="20.100000000000001" customHeight="1">
      <c r="A54" s="346" t="s">
        <v>333</v>
      </c>
      <c r="B54" s="358">
        <f>108387000+11474000</f>
        <v>119861000</v>
      </c>
      <c r="C54" s="345"/>
      <c r="D54" s="345"/>
      <c r="E54" s="345"/>
      <c r="F54" s="345"/>
    </row>
    <row r="55" spans="1:6" s="224" customFormat="1" ht="20.100000000000001" customHeight="1">
      <c r="A55" s="346" t="s">
        <v>334</v>
      </c>
      <c r="B55" s="358"/>
      <c r="C55" s="345">
        <f>SUM(B56:B57)</f>
        <v>188998876</v>
      </c>
      <c r="D55" s="345">
        <v>205280329</v>
      </c>
      <c r="E55" s="345"/>
      <c r="F55" s="345">
        <f>SUM(C55)</f>
        <v>188998876</v>
      </c>
    </row>
    <row r="56" spans="1:6" s="224" customFormat="1" ht="20.100000000000001" customHeight="1">
      <c r="A56" s="346" t="s">
        <v>335</v>
      </c>
      <c r="B56" s="358">
        <f>59736000-5966000-551000</f>
        <v>53219000</v>
      </c>
      <c r="C56" s="345"/>
      <c r="D56" s="345"/>
      <c r="E56" s="345"/>
      <c r="F56" s="345"/>
    </row>
    <row r="57" spans="1:6" s="224" customFormat="1" ht="20.100000000000001" customHeight="1">
      <c r="A57" s="346" t="s">
        <v>336</v>
      </c>
      <c r="B57" s="358">
        <f>145544329-9764453</f>
        <v>135779876</v>
      </c>
      <c r="C57" s="345"/>
      <c r="D57" s="345"/>
      <c r="E57" s="345"/>
      <c r="F57" s="345"/>
    </row>
    <row r="58" spans="1:6" s="224" customFormat="1" ht="20.100000000000001" customHeight="1">
      <c r="A58" s="346" t="s">
        <v>337</v>
      </c>
      <c r="B58" s="358">
        <f>14002028+1229798-1428170</f>
        <v>13803656</v>
      </c>
      <c r="C58" s="345">
        <f>SUM(B58)</f>
        <v>13803656</v>
      </c>
      <c r="D58" s="345">
        <v>14002028</v>
      </c>
      <c r="E58" s="345"/>
      <c r="F58" s="345">
        <f>SUM(C58)</f>
        <v>13803656</v>
      </c>
    </row>
    <row r="59" spans="1:6" s="224" customFormat="1" ht="20.100000000000001" customHeight="1">
      <c r="A59" s="346" t="s">
        <v>338</v>
      </c>
      <c r="B59" s="358"/>
      <c r="C59" s="345">
        <f>SUM(B60:B64)</f>
        <v>95818200</v>
      </c>
      <c r="D59" s="345">
        <v>86214600</v>
      </c>
      <c r="E59" s="345"/>
      <c r="F59" s="345">
        <f>SUM(C59)</f>
        <v>95818200</v>
      </c>
    </row>
    <row r="60" spans="1:6" s="224" customFormat="1" ht="20.100000000000001" customHeight="1">
      <c r="A60" s="346" t="s">
        <v>339</v>
      </c>
      <c r="B60" s="358">
        <v>15466500</v>
      </c>
      <c r="C60" s="345"/>
      <c r="D60" s="345"/>
      <c r="E60" s="345"/>
      <c r="F60" s="345"/>
    </row>
    <row r="61" spans="1:6" s="224" customFormat="1" ht="20.100000000000001" customHeight="1">
      <c r="A61" s="346" t="s">
        <v>340</v>
      </c>
      <c r="B61" s="358"/>
      <c r="C61" s="345"/>
      <c r="D61" s="345"/>
      <c r="E61" s="345"/>
      <c r="F61" s="345"/>
    </row>
    <row r="62" spans="1:6" s="224" customFormat="1" ht="20.100000000000001" customHeight="1">
      <c r="A62" s="346" t="s">
        <v>341</v>
      </c>
      <c r="B62" s="358">
        <f>49983100+1197200-598600</f>
        <v>50581700</v>
      </c>
      <c r="C62" s="345"/>
      <c r="D62" s="345"/>
      <c r="E62" s="345"/>
      <c r="F62" s="345"/>
    </row>
    <row r="63" spans="1:6" s="224" customFormat="1" ht="20.100000000000001" customHeight="1">
      <c r="A63" s="346" t="s">
        <v>342</v>
      </c>
      <c r="B63" s="359"/>
      <c r="C63" s="351"/>
      <c r="D63" s="345"/>
      <c r="E63" s="351"/>
      <c r="F63" s="345"/>
    </row>
    <row r="64" spans="1:6" s="224" customFormat="1" ht="20.100000000000001" customHeight="1">
      <c r="A64" s="346" t="s">
        <v>343</v>
      </c>
      <c r="B64" s="360">
        <f>20765000+9005000</f>
        <v>29770000</v>
      </c>
      <c r="C64" s="361"/>
      <c r="D64" s="362"/>
      <c r="E64" s="351"/>
      <c r="F64" s="362"/>
    </row>
    <row r="65" spans="1:10" s="224" customFormat="1" ht="20.100000000000001" customHeight="1" thickBot="1">
      <c r="A65" s="346" t="s">
        <v>385</v>
      </c>
      <c r="B65" s="415"/>
      <c r="C65" s="416">
        <f>34035422+20691626+27865228</f>
        <v>82592276</v>
      </c>
      <c r="D65" s="370"/>
      <c r="E65" s="367"/>
      <c r="F65" s="370">
        <f>SUM(C65)</f>
        <v>82592276</v>
      </c>
    </row>
    <row r="66" spans="1:10" s="224" customFormat="1" ht="21" customHeight="1">
      <c r="A66" s="514" t="s">
        <v>316</v>
      </c>
      <c r="B66" s="515"/>
      <c r="C66" s="363">
        <f>SUM(C38:C65)</f>
        <v>954132401</v>
      </c>
      <c r="D66" s="363">
        <f>SUM(D38:D65)</f>
        <v>854833601</v>
      </c>
      <c r="E66" s="363">
        <f>SUM(E38:E65)</f>
        <v>0</v>
      </c>
      <c r="F66" s="363">
        <f>SUM(F38:F65)</f>
        <v>954132401</v>
      </c>
    </row>
    <row r="67" spans="1:10" s="224" customFormat="1" ht="20.100000000000001" customHeight="1" thickBot="1">
      <c r="A67" s="364" t="s">
        <v>317</v>
      </c>
      <c r="B67" s="365"/>
      <c r="C67" s="366"/>
      <c r="D67" s="366"/>
      <c r="E67" s="366"/>
      <c r="F67" s="366"/>
    </row>
    <row r="68" spans="1:10" ht="31.5" customHeight="1" thickBot="1">
      <c r="A68" s="506" t="s">
        <v>290</v>
      </c>
      <c r="B68" s="507"/>
      <c r="C68" s="336"/>
      <c r="D68" s="337" t="s">
        <v>291</v>
      </c>
      <c r="E68" s="337" t="s">
        <v>292</v>
      </c>
      <c r="F68" s="337" t="s">
        <v>291</v>
      </c>
      <c r="J68" s="63"/>
    </row>
    <row r="69" spans="1:10" s="224" customFormat="1" ht="20.100000000000001" customHeight="1">
      <c r="A69" s="498" t="s">
        <v>344</v>
      </c>
      <c r="B69" s="499"/>
      <c r="C69" s="367"/>
      <c r="D69" s="367"/>
      <c r="E69" s="367"/>
      <c r="F69" s="367"/>
    </row>
    <row r="70" spans="1:10" ht="20.100000000000001" customHeight="1">
      <c r="A70" s="368" t="s">
        <v>345</v>
      </c>
      <c r="B70" s="369">
        <v>24699730</v>
      </c>
      <c r="C70" s="370"/>
      <c r="D70" s="370">
        <v>24699730</v>
      </c>
      <c r="E70" s="370"/>
      <c r="F70" s="370">
        <v>24699730</v>
      </c>
      <c r="J70" s="63"/>
    </row>
    <row r="71" spans="1:10" ht="19.5" customHeight="1">
      <c r="A71" s="346" t="s">
        <v>346</v>
      </c>
      <c r="B71" s="358"/>
      <c r="C71" s="345"/>
      <c r="D71" s="345"/>
      <c r="E71" s="345"/>
      <c r="F71" s="345"/>
      <c r="J71" s="63"/>
    </row>
    <row r="72" spans="1:10" ht="20.100000000000001" customHeight="1">
      <c r="A72" s="346" t="s">
        <v>347</v>
      </c>
      <c r="B72" s="371">
        <v>18262000</v>
      </c>
      <c r="C72" s="345"/>
      <c r="D72" s="345">
        <v>18262000</v>
      </c>
      <c r="E72" s="345"/>
      <c r="F72" s="345">
        <v>18262000</v>
      </c>
      <c r="J72" s="63"/>
    </row>
    <row r="73" spans="1:10" ht="20.100000000000001" customHeight="1">
      <c r="A73" s="349" t="s">
        <v>348</v>
      </c>
      <c r="B73" s="360"/>
      <c r="C73" s="351"/>
      <c r="D73" s="351"/>
      <c r="E73" s="351"/>
      <c r="F73" s="351"/>
      <c r="J73" s="63"/>
    </row>
    <row r="74" spans="1:10" ht="20.100000000000001" customHeight="1" thickBot="1">
      <c r="A74" s="349" t="s">
        <v>349</v>
      </c>
      <c r="B74" s="360">
        <f>4040154+4599226</f>
        <v>8639380</v>
      </c>
      <c r="C74" s="351"/>
      <c r="D74" s="351"/>
      <c r="E74" s="351"/>
      <c r="F74" s="351">
        <f>SUM(B74)</f>
        <v>8639380</v>
      </c>
      <c r="J74" s="63"/>
    </row>
    <row r="75" spans="1:10" ht="20.100000000000001" customHeight="1" thickBot="1">
      <c r="A75" s="500" t="s">
        <v>344</v>
      </c>
      <c r="B75" s="501"/>
      <c r="C75" s="352">
        <f>SUM(B70:B74)</f>
        <v>51601110</v>
      </c>
      <c r="D75" s="352">
        <f>SUM(D70:D74)</f>
        <v>42961730</v>
      </c>
      <c r="E75" s="352">
        <f>SUM(E70:E74)</f>
        <v>0</v>
      </c>
      <c r="F75" s="352">
        <f>SUM(F70:F74)</f>
        <v>51601110</v>
      </c>
      <c r="J75" s="63"/>
    </row>
    <row r="76" spans="1:10" ht="20.100000000000001" customHeight="1">
      <c r="A76" s="349" t="s">
        <v>350</v>
      </c>
      <c r="B76" s="360">
        <f>3184338+865788+1639429</f>
        <v>5689555</v>
      </c>
      <c r="C76" s="351"/>
      <c r="D76" s="351"/>
      <c r="E76" s="351"/>
      <c r="F76" s="351">
        <f>SUM(B76)</f>
        <v>5689555</v>
      </c>
      <c r="J76" s="63"/>
    </row>
    <row r="77" spans="1:10" ht="20.100000000000001" customHeight="1">
      <c r="A77" s="346" t="s">
        <v>446</v>
      </c>
      <c r="B77" s="371">
        <v>10000000</v>
      </c>
      <c r="C77" s="345"/>
      <c r="D77" s="345"/>
      <c r="E77" s="345"/>
      <c r="F77" s="345">
        <v>10000000</v>
      </c>
      <c r="J77" s="63"/>
    </row>
    <row r="78" spans="1:10" ht="20.100000000000001" customHeight="1">
      <c r="A78" s="346" t="s">
        <v>474</v>
      </c>
      <c r="B78" s="360">
        <v>11964000</v>
      </c>
      <c r="C78" s="351"/>
      <c r="D78" s="351"/>
      <c r="E78" s="345"/>
      <c r="F78" s="351">
        <f>SUM(B78)</f>
        <v>11964000</v>
      </c>
      <c r="J78" s="63"/>
    </row>
    <row r="79" spans="1:10" ht="20.100000000000001" customHeight="1" thickBot="1">
      <c r="A79" s="346" t="s">
        <v>475</v>
      </c>
      <c r="B79" s="360">
        <v>478000</v>
      </c>
      <c r="C79" s="351"/>
      <c r="D79" s="351"/>
      <c r="E79" s="345"/>
      <c r="F79" s="351">
        <f>SUM(B79)</f>
        <v>478000</v>
      </c>
      <c r="J79" s="63"/>
    </row>
    <row r="80" spans="1:10" ht="20.100000000000001" hidden="1" customHeight="1">
      <c r="A80" s="349"/>
      <c r="B80" s="360"/>
      <c r="C80" s="351"/>
      <c r="D80" s="351"/>
      <c r="E80" s="345"/>
      <c r="F80" s="351"/>
      <c r="J80" s="63"/>
    </row>
    <row r="81" spans="1:10" ht="20.100000000000001" hidden="1" customHeight="1">
      <c r="A81" s="349"/>
      <c r="B81" s="360"/>
      <c r="C81" s="351"/>
      <c r="D81" s="351"/>
      <c r="E81" s="345"/>
      <c r="F81" s="351"/>
      <c r="J81" s="63"/>
    </row>
    <row r="82" spans="1:10" ht="20.100000000000001" hidden="1" customHeight="1" thickBot="1">
      <c r="A82" s="349"/>
      <c r="B82" s="360"/>
      <c r="C82" s="351"/>
      <c r="D82" s="351"/>
      <c r="E82" s="345"/>
      <c r="F82" s="351"/>
      <c r="J82" s="63"/>
    </row>
    <row r="83" spans="1:10" ht="20.100000000000001" customHeight="1" thickBot="1">
      <c r="A83" s="500" t="s">
        <v>351</v>
      </c>
      <c r="B83" s="501"/>
      <c r="C83" s="352">
        <f>SUM(B76:B82)</f>
        <v>28131555</v>
      </c>
      <c r="D83" s="352">
        <v>0</v>
      </c>
      <c r="E83" s="352">
        <f>SUM(E76:E82)</f>
        <v>0</v>
      </c>
      <c r="F83" s="352">
        <f>SUM(F76:F82)</f>
        <v>28131555</v>
      </c>
      <c r="J83" s="63"/>
    </row>
    <row r="84" spans="1:10" ht="20.100000000000001" customHeight="1" thickBot="1">
      <c r="A84" s="349" t="s">
        <v>386</v>
      </c>
      <c r="B84" s="360">
        <v>81600</v>
      </c>
      <c r="C84" s="351"/>
      <c r="D84" s="351"/>
      <c r="E84" s="351"/>
      <c r="F84" s="351">
        <f>SUM(B84)</f>
        <v>81600</v>
      </c>
      <c r="J84" s="63"/>
    </row>
    <row r="85" spans="1:10" ht="20.100000000000001" customHeight="1" thickBot="1">
      <c r="A85" s="500" t="s">
        <v>352</v>
      </c>
      <c r="B85" s="501"/>
      <c r="C85" s="352">
        <v>0</v>
      </c>
      <c r="D85" s="352">
        <f>SUM(D80:D83)</f>
        <v>0</v>
      </c>
      <c r="E85" s="352"/>
      <c r="F85" s="352">
        <f>SUM(F84)</f>
        <v>81600</v>
      </c>
      <c r="J85" s="63"/>
    </row>
    <row r="86" spans="1:10" ht="20.100000000000001" customHeight="1">
      <c r="A86" s="518" t="s">
        <v>353</v>
      </c>
      <c r="B86" s="519"/>
      <c r="C86" s="372"/>
      <c r="D86" s="373">
        <f>D26+D35+D66+D75+D83+D85</f>
        <v>1638068833</v>
      </c>
      <c r="E86" s="373">
        <f>E26+E35+E66+E75+E83+E85</f>
        <v>0</v>
      </c>
      <c r="F86" s="373">
        <f>F28+F35+F66+F75+F83+F85</f>
        <v>1785757253</v>
      </c>
      <c r="G86" s="374"/>
      <c r="J86" s="63"/>
    </row>
    <row r="87" spans="1:10" ht="20.100000000000001" customHeight="1">
      <c r="A87" s="520" t="s">
        <v>354</v>
      </c>
      <c r="B87" s="521"/>
      <c r="C87" s="375"/>
      <c r="D87" s="376">
        <v>8560000</v>
      </c>
      <c r="E87" s="376"/>
      <c r="F87" s="376">
        <f>8560000+51714618+9967500</f>
        <v>70242118</v>
      </c>
    </row>
    <row r="88" spans="1:10" ht="20.100000000000001" customHeight="1" thickBot="1">
      <c r="A88" s="520" t="s">
        <v>355</v>
      </c>
      <c r="B88" s="521"/>
      <c r="C88" s="377"/>
      <c r="D88" s="378">
        <v>0</v>
      </c>
      <c r="E88" s="378"/>
      <c r="F88" s="378">
        <v>307517</v>
      </c>
    </row>
    <row r="89" spans="1:10" ht="20.100000000000001" customHeight="1" thickBot="1">
      <c r="A89" s="379" t="s">
        <v>356</v>
      </c>
      <c r="B89" s="380"/>
      <c r="C89" s="381"/>
      <c r="D89" s="382">
        <f>SUM(D26+D35+D66+D75+D83+D85+D87+D88)</f>
        <v>1646628833</v>
      </c>
      <c r="E89" s="382">
        <f>SUM(E26+E35+E66+E75+E83+E85+E87+E88)</f>
        <v>0</v>
      </c>
      <c r="F89" s="382">
        <f>SUM(F28+F35+F66+F75+F83+F85+F87+F88)</f>
        <v>1856306888</v>
      </c>
    </row>
    <row r="90" spans="1:10" ht="20.100000000000001" customHeight="1" thickBot="1">
      <c r="A90" s="522" t="s">
        <v>357</v>
      </c>
      <c r="B90" s="523"/>
      <c r="C90" s="383"/>
      <c r="D90" s="352">
        <f>215340000</f>
        <v>215340000</v>
      </c>
      <c r="E90" s="352"/>
      <c r="F90" s="352">
        <f>215340000+289400000+30535539+554050000</f>
        <v>1089325539</v>
      </c>
    </row>
    <row r="91" spans="1:10" ht="20.100000000000001" customHeight="1">
      <c r="A91" s="524" t="s">
        <v>358</v>
      </c>
      <c r="B91" s="525"/>
      <c r="C91" s="384"/>
      <c r="D91" s="367"/>
      <c r="E91" s="367"/>
      <c r="F91" s="367"/>
    </row>
    <row r="92" spans="1:10" ht="20.100000000000001" customHeight="1">
      <c r="A92" s="508" t="s">
        <v>359</v>
      </c>
      <c r="B92" s="509"/>
      <c r="C92" s="385"/>
      <c r="D92" s="345"/>
      <c r="E92" s="345"/>
      <c r="F92" s="345"/>
    </row>
    <row r="93" spans="1:10" ht="20.100000000000001" customHeight="1">
      <c r="A93" s="496" t="s">
        <v>360</v>
      </c>
      <c r="B93" s="497"/>
      <c r="C93" s="345"/>
      <c r="D93" s="345">
        <v>590400000</v>
      </c>
      <c r="E93" s="345"/>
      <c r="F93" s="345">
        <v>630400000</v>
      </c>
    </row>
    <row r="94" spans="1:10" ht="20.100000000000001" customHeight="1">
      <c r="A94" s="496" t="s">
        <v>361</v>
      </c>
      <c r="B94" s="497"/>
      <c r="C94" s="345">
        <f>B95+B96</f>
        <v>625400000</v>
      </c>
      <c r="D94" s="345"/>
      <c r="E94" s="345"/>
      <c r="F94" s="345"/>
    </row>
    <row r="95" spans="1:10" ht="20.100000000000001" customHeight="1">
      <c r="A95" s="346" t="s">
        <v>362</v>
      </c>
      <c r="B95" s="386">
        <v>625000000</v>
      </c>
      <c r="C95" s="345"/>
      <c r="D95" s="345"/>
      <c r="E95" s="345"/>
      <c r="F95" s="345"/>
    </row>
    <row r="96" spans="1:10" ht="20.100000000000001" customHeight="1">
      <c r="A96" s="346" t="s">
        <v>363</v>
      </c>
      <c r="B96" s="386">
        <v>400000</v>
      </c>
      <c r="C96" s="345"/>
      <c r="D96" s="345"/>
      <c r="E96" s="345"/>
      <c r="F96" s="345"/>
    </row>
    <row r="97" spans="1:10" ht="20.100000000000001" customHeight="1">
      <c r="A97" s="496" t="s">
        <v>364</v>
      </c>
      <c r="B97" s="497"/>
      <c r="C97" s="345">
        <v>5000000</v>
      </c>
      <c r="D97" s="345"/>
      <c r="E97" s="345"/>
      <c r="F97" s="345"/>
    </row>
    <row r="98" spans="1:10" ht="20.100000000000001" customHeight="1">
      <c r="A98" s="346" t="s">
        <v>365</v>
      </c>
      <c r="B98" s="387"/>
      <c r="C98" s="345"/>
      <c r="D98" s="345">
        <f>SUM(C99+C100)</f>
        <v>42030000</v>
      </c>
      <c r="E98" s="345"/>
      <c r="F98" s="345">
        <v>42030000</v>
      </c>
    </row>
    <row r="99" spans="1:10" ht="20.100000000000001" customHeight="1">
      <c r="A99" s="516" t="s">
        <v>366</v>
      </c>
      <c r="B99" s="517"/>
      <c r="C99" s="345">
        <v>42000000</v>
      </c>
      <c r="D99" s="362"/>
      <c r="E99" s="362"/>
      <c r="F99" s="362"/>
    </row>
    <row r="100" spans="1:10" ht="20.100000000000001" customHeight="1">
      <c r="A100" s="516" t="s">
        <v>367</v>
      </c>
      <c r="B100" s="517"/>
      <c r="C100" s="345">
        <v>30000</v>
      </c>
      <c r="D100" s="362"/>
      <c r="E100" s="362"/>
      <c r="F100" s="362"/>
    </row>
    <row r="101" spans="1:10" ht="20.100000000000001" customHeight="1">
      <c r="A101" s="496" t="s">
        <v>368</v>
      </c>
      <c r="B101" s="497"/>
      <c r="C101" s="345"/>
      <c r="D101" s="345">
        <f>SUM(C102+C103)</f>
        <v>1300000</v>
      </c>
      <c r="E101" s="345"/>
      <c r="F101" s="345">
        <v>1300000</v>
      </c>
    </row>
    <row r="102" spans="1:10" ht="20.100000000000001" customHeight="1">
      <c r="A102" s="346" t="s">
        <v>369</v>
      </c>
      <c r="B102" s="347"/>
      <c r="C102" s="345">
        <v>1000000</v>
      </c>
      <c r="D102" s="345"/>
      <c r="E102" s="345"/>
      <c r="F102" s="345"/>
    </row>
    <row r="103" spans="1:10" ht="20.100000000000001" customHeight="1">
      <c r="A103" s="346" t="s">
        <v>370</v>
      </c>
      <c r="B103" s="347"/>
      <c r="C103" s="345">
        <v>300000</v>
      </c>
      <c r="D103" s="345"/>
      <c r="E103" s="345"/>
      <c r="F103" s="345"/>
    </row>
    <row r="104" spans="1:10" ht="20.100000000000001" customHeight="1">
      <c r="A104" s="349" t="s">
        <v>371</v>
      </c>
      <c r="B104" s="388"/>
      <c r="C104" s="367">
        <v>3000000</v>
      </c>
      <c r="D104" s="367">
        <f>SUM(C104)</f>
        <v>3000000</v>
      </c>
      <c r="E104" s="367"/>
      <c r="F104" s="367">
        <v>3000000</v>
      </c>
    </row>
    <row r="105" spans="1:10" ht="20.100000000000001" customHeight="1" thickBot="1">
      <c r="A105" s="389" t="s">
        <v>372</v>
      </c>
      <c r="B105" s="390"/>
      <c r="C105" s="391">
        <f>10000000+4000000</f>
        <v>14000000</v>
      </c>
      <c r="D105" s="391">
        <v>14000000</v>
      </c>
      <c r="E105" s="393"/>
      <c r="F105" s="391">
        <v>14000000</v>
      </c>
    </row>
    <row r="106" spans="1:10" ht="20.100000000000001" customHeight="1" thickBot="1">
      <c r="A106" s="529" t="s">
        <v>373</v>
      </c>
      <c r="B106" s="530"/>
      <c r="C106" s="352"/>
      <c r="D106" s="352">
        <f>SUM(D92:D105)</f>
        <v>650730000</v>
      </c>
      <c r="E106" s="352">
        <f>SUM(E92:E105)</f>
        <v>0</v>
      </c>
      <c r="F106" s="352">
        <f>SUM(F92:F105)</f>
        <v>690730000</v>
      </c>
    </row>
    <row r="107" spans="1:10" ht="20.100000000000001" customHeight="1" thickBot="1">
      <c r="A107" s="394" t="s">
        <v>374</v>
      </c>
      <c r="B107" s="395"/>
      <c r="C107" s="352"/>
      <c r="D107" s="352">
        <v>332033407</v>
      </c>
      <c r="E107" s="352"/>
      <c r="F107" s="352">
        <f>332033407-1878840</f>
        <v>330154567</v>
      </c>
    </row>
    <row r="108" spans="1:10" ht="20.100000000000001" customHeight="1">
      <c r="A108" s="531" t="s">
        <v>375</v>
      </c>
      <c r="B108" s="532"/>
      <c r="C108" s="396"/>
      <c r="D108" s="397"/>
      <c r="E108" s="397"/>
      <c r="F108" s="397"/>
    </row>
    <row r="109" spans="1:10" ht="20.100000000000001" customHeight="1">
      <c r="A109" s="533" t="s">
        <v>376</v>
      </c>
      <c r="B109" s="534"/>
      <c r="C109" s="398"/>
      <c r="D109" s="399">
        <v>129101736</v>
      </c>
      <c r="E109" s="399"/>
      <c r="F109" s="399">
        <v>129101736</v>
      </c>
    </row>
    <row r="110" spans="1:10" ht="20.100000000000001" customHeight="1" thickBot="1">
      <c r="A110" s="417" t="s">
        <v>388</v>
      </c>
      <c r="B110" s="418"/>
      <c r="C110" s="419"/>
      <c r="D110" s="420"/>
      <c r="E110" s="420"/>
      <c r="F110" s="420">
        <f>1878840-1878840</f>
        <v>0</v>
      </c>
    </row>
    <row r="111" spans="1:10" ht="20.100000000000001" customHeight="1" thickBot="1">
      <c r="A111" s="526" t="s">
        <v>377</v>
      </c>
      <c r="B111" s="527"/>
      <c r="C111" s="400"/>
      <c r="D111" s="382">
        <f>SUM(D109:D109)</f>
        <v>129101736</v>
      </c>
      <c r="E111" s="382">
        <f>SUM(E109:E109)</f>
        <v>0</v>
      </c>
      <c r="F111" s="382">
        <f>SUM(F109:F110)</f>
        <v>129101736</v>
      </c>
    </row>
    <row r="112" spans="1:10" s="402" customFormat="1" ht="20.100000000000001" customHeight="1">
      <c r="A112" s="535" t="s">
        <v>378</v>
      </c>
      <c r="B112" s="536"/>
      <c r="C112" s="401"/>
      <c r="D112" s="363"/>
      <c r="E112" s="363"/>
      <c r="F112" s="363"/>
      <c r="J112" s="422"/>
    </row>
    <row r="113" spans="1:10" s="402" customFormat="1" ht="20.100000000000001" customHeight="1" thickBot="1">
      <c r="A113" s="537" t="s">
        <v>379</v>
      </c>
      <c r="B113" s="538"/>
      <c r="C113" s="403"/>
      <c r="D113" s="404"/>
      <c r="E113" s="404"/>
      <c r="F113" s="404">
        <f>1878840</f>
        <v>1878840</v>
      </c>
      <c r="J113" s="422"/>
    </row>
    <row r="114" spans="1:10" ht="20.100000000000001" customHeight="1" thickBot="1">
      <c r="A114" s="526" t="s">
        <v>380</v>
      </c>
      <c r="B114" s="527"/>
      <c r="C114" s="400"/>
      <c r="D114" s="382">
        <f>SUM(D89+D90+D106+D107+D111+D112+D113)</f>
        <v>2973833976</v>
      </c>
      <c r="E114" s="382">
        <f>SUM(E89+E90+E106+E107+E111+E112+E113)</f>
        <v>0</v>
      </c>
      <c r="F114" s="382">
        <f>SUM(F89+F90+F106+F107+F111+F112+F113)</f>
        <v>4097497570</v>
      </c>
    </row>
    <row r="115" spans="1:10" ht="20.100000000000001" customHeight="1">
      <c r="A115" s="405" t="s">
        <v>381</v>
      </c>
      <c r="B115" s="406"/>
      <c r="C115" s="407"/>
      <c r="D115" s="407"/>
      <c r="E115" s="407"/>
      <c r="F115" s="407"/>
    </row>
    <row r="116" spans="1:10" ht="20.100000000000001" customHeight="1">
      <c r="A116" s="408" t="s">
        <v>382</v>
      </c>
      <c r="B116" s="409"/>
      <c r="C116" s="367"/>
      <c r="D116" s="393">
        <v>2558448382</v>
      </c>
      <c r="E116" s="393"/>
      <c r="F116" s="393">
        <f>2558448382+136429489</f>
        <v>2694877871</v>
      </c>
    </row>
    <row r="117" spans="1:10" ht="19.5" customHeight="1" thickBot="1">
      <c r="A117" s="408" t="s">
        <v>447</v>
      </c>
      <c r="B117" s="409"/>
      <c r="C117" s="419"/>
      <c r="D117" s="478"/>
      <c r="E117" s="393"/>
      <c r="F117" s="393">
        <f>100000000+58351238</f>
        <v>158351238</v>
      </c>
      <c r="J117" s="63"/>
    </row>
    <row r="118" spans="1:10" ht="20.100000000000001" customHeight="1" thickBot="1">
      <c r="A118" s="476" t="s">
        <v>383</v>
      </c>
      <c r="B118" s="477"/>
      <c r="C118" s="400"/>
      <c r="D118" s="382">
        <f>SUM(D116:E117)</f>
        <v>2558448382</v>
      </c>
      <c r="E118" s="382">
        <f>SUM(E116:F117)</f>
        <v>2853229109</v>
      </c>
      <c r="F118" s="382">
        <f>SUM(F116:F117)</f>
        <v>2853229109</v>
      </c>
      <c r="G118" s="374"/>
      <c r="J118" s="63"/>
    </row>
    <row r="119" spans="1:10" ht="20.100000000000001" customHeight="1" thickBot="1">
      <c r="A119" s="526" t="s">
        <v>384</v>
      </c>
      <c r="B119" s="527"/>
      <c r="C119" s="400"/>
      <c r="D119" s="382">
        <f>D114+D118</f>
        <v>5532282358</v>
      </c>
      <c r="E119" s="382">
        <f>E114+E118</f>
        <v>2853229109</v>
      </c>
      <c r="F119" s="382">
        <f>F114+F118</f>
        <v>6950726679</v>
      </c>
      <c r="G119" s="374"/>
    </row>
  </sheetData>
  <mergeCells count="44">
    <mergeCell ref="A114:B114"/>
    <mergeCell ref="A119:B119"/>
    <mergeCell ref="A106:B106"/>
    <mergeCell ref="A108:B108"/>
    <mergeCell ref="A109:B109"/>
    <mergeCell ref="A111:B111"/>
    <mergeCell ref="A112:B112"/>
    <mergeCell ref="A113:B113"/>
    <mergeCell ref="A69:B69"/>
    <mergeCell ref="A75:B75"/>
    <mergeCell ref="A101:B101"/>
    <mergeCell ref="A85:B85"/>
    <mergeCell ref="A87:B87"/>
    <mergeCell ref="A88:B88"/>
    <mergeCell ref="A90:B90"/>
    <mergeCell ref="A91:B91"/>
    <mergeCell ref="A92:B92"/>
    <mergeCell ref="A93:B93"/>
    <mergeCell ref="A94:B94"/>
    <mergeCell ref="A97:B97"/>
    <mergeCell ref="A99:B99"/>
    <mergeCell ref="A100:B100"/>
    <mergeCell ref="A83:B83"/>
    <mergeCell ref="A86:B86"/>
    <mergeCell ref="A35:B35"/>
    <mergeCell ref="A36:B36"/>
    <mergeCell ref="A38:B38"/>
    <mergeCell ref="A68:B68"/>
    <mergeCell ref="A52:B52"/>
    <mergeCell ref="A66:B66"/>
    <mergeCell ref="A29:B29"/>
    <mergeCell ref="A26:B26"/>
    <mergeCell ref="A1:D1"/>
    <mergeCell ref="A6:B6"/>
    <mergeCell ref="A10:B10"/>
    <mergeCell ref="A11:B11"/>
    <mergeCell ref="A12:B12"/>
    <mergeCell ref="A3:F3"/>
    <mergeCell ref="A14:B14"/>
    <mergeCell ref="A17:B17"/>
    <mergeCell ref="A19:B19"/>
    <mergeCell ref="A21:B21"/>
    <mergeCell ref="A23:B23"/>
    <mergeCell ref="A28:B28"/>
  </mergeCells>
  <pageMargins left="0.7" right="0.7" top="0.75" bottom="0.75" header="0.3" footer="0.3"/>
  <pageSetup paperSize="9" scale="56" orientation="portrait" horizontalDpi="300" verticalDpi="300" r:id="rId1"/>
  <rowBreaks count="1" manualBreakCount="1">
    <brk id="6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Y78"/>
  <sheetViews>
    <sheetView view="pageBreakPreview" zoomScale="60" zoomScaleNormal="68" workbookViewId="0">
      <selection activeCell="A3" sqref="A3"/>
    </sheetView>
  </sheetViews>
  <sheetFormatPr defaultRowHeight="20.25"/>
  <cols>
    <col min="1" max="1" width="69.85546875" style="423" customWidth="1"/>
    <col min="2" max="3" width="22.7109375" style="424" customWidth="1"/>
    <col min="4" max="15" width="22.7109375" style="423" customWidth="1"/>
    <col min="16" max="16" width="69.85546875" style="423" hidden="1" customWidth="1"/>
    <col min="17" max="24" width="22.7109375" style="423" customWidth="1"/>
    <col min="25" max="25" width="10.42578125" style="423" bestFit="1" customWidth="1"/>
    <col min="26" max="16384" width="9.140625" style="423"/>
  </cols>
  <sheetData>
    <row r="2" spans="1:25">
      <c r="O2" s="425"/>
      <c r="X2" s="425"/>
    </row>
    <row r="3" spans="1:25" s="428" customFormat="1" ht="26.25">
      <c r="A3" s="426" t="s">
        <v>481</v>
      </c>
      <c r="B3" s="427"/>
      <c r="C3" s="427"/>
      <c r="P3" s="426"/>
    </row>
    <row r="4" spans="1:25" s="428" customFormat="1" ht="26.25">
      <c r="A4" s="429"/>
      <c r="B4" s="427"/>
      <c r="C4" s="427"/>
      <c r="P4" s="429"/>
    </row>
    <row r="5" spans="1:25" s="428" customFormat="1" ht="26.25">
      <c r="A5" s="553" t="s">
        <v>425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430"/>
      <c r="Q5" s="553"/>
      <c r="R5" s="553"/>
      <c r="S5" s="553"/>
      <c r="T5" s="553"/>
      <c r="U5" s="553"/>
      <c r="V5" s="553"/>
      <c r="W5" s="553"/>
      <c r="X5" s="553"/>
    </row>
    <row r="6" spans="1:25" s="428" customFormat="1" ht="26.25">
      <c r="A6" s="554" t="s">
        <v>389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431"/>
      <c r="Q6" s="554"/>
      <c r="R6" s="554"/>
      <c r="S6" s="554"/>
      <c r="T6" s="554"/>
      <c r="U6" s="554"/>
      <c r="V6" s="554"/>
      <c r="W6" s="554"/>
      <c r="X6" s="554"/>
    </row>
    <row r="7" spans="1:25">
      <c r="A7" s="432"/>
      <c r="B7" s="432"/>
      <c r="C7" s="432"/>
      <c r="P7" s="432"/>
    </row>
    <row r="8" spans="1:25" ht="21" thickBot="1">
      <c r="A8" s="433"/>
      <c r="P8" s="433"/>
      <c r="U8" s="555" t="s">
        <v>0</v>
      </c>
      <c r="V8" s="555"/>
      <c r="W8" s="555"/>
      <c r="X8" s="434"/>
    </row>
    <row r="9" spans="1:25" s="435" customFormat="1" ht="21" thickBot="1">
      <c r="A9" s="549" t="s">
        <v>12</v>
      </c>
      <c r="B9" s="547" t="s">
        <v>18</v>
      </c>
      <c r="C9" s="548"/>
      <c r="D9" s="547" t="s">
        <v>19</v>
      </c>
      <c r="E9" s="548"/>
      <c r="F9" s="547" t="s">
        <v>20</v>
      </c>
      <c r="G9" s="548"/>
      <c r="H9" s="547" t="s">
        <v>21</v>
      </c>
      <c r="I9" s="548"/>
      <c r="J9" s="547" t="s">
        <v>22</v>
      </c>
      <c r="K9" s="548"/>
      <c r="L9" s="547" t="s">
        <v>23</v>
      </c>
      <c r="M9" s="548"/>
      <c r="N9" s="547" t="s">
        <v>24</v>
      </c>
      <c r="O9" s="548"/>
      <c r="P9" s="549" t="s">
        <v>12</v>
      </c>
      <c r="Q9" s="543" t="s">
        <v>1</v>
      </c>
      <c r="R9" s="543"/>
      <c r="S9" s="546" t="s">
        <v>390</v>
      </c>
      <c r="T9" s="546"/>
      <c r="U9" s="546"/>
      <c r="V9" s="546"/>
      <c r="W9" s="546"/>
      <c r="X9" s="546"/>
    </row>
    <row r="10" spans="1:25" s="435" customFormat="1" ht="63.75" customHeight="1" thickBot="1">
      <c r="A10" s="550"/>
      <c r="B10" s="539" t="s">
        <v>212</v>
      </c>
      <c r="C10" s="540"/>
      <c r="D10" s="539" t="s">
        <v>230</v>
      </c>
      <c r="E10" s="540"/>
      <c r="F10" s="539" t="s">
        <v>27</v>
      </c>
      <c r="G10" s="540"/>
      <c r="H10" s="539" t="s">
        <v>28</v>
      </c>
      <c r="I10" s="540"/>
      <c r="J10" s="539" t="s">
        <v>29</v>
      </c>
      <c r="K10" s="540"/>
      <c r="L10" s="539" t="s">
        <v>2</v>
      </c>
      <c r="M10" s="540"/>
      <c r="N10" s="539" t="s">
        <v>3</v>
      </c>
      <c r="O10" s="540"/>
      <c r="P10" s="550"/>
      <c r="Q10" s="539" t="s">
        <v>4</v>
      </c>
      <c r="R10" s="540"/>
      <c r="S10" s="552" t="s">
        <v>13</v>
      </c>
      <c r="T10" s="552"/>
      <c r="U10" s="552"/>
      <c r="V10" s="552"/>
      <c r="W10" s="552"/>
      <c r="X10" s="552"/>
    </row>
    <row r="11" spans="1:25" s="435" customFormat="1" ht="63.75" customHeight="1" thickBot="1">
      <c r="A11" s="550"/>
      <c r="B11" s="541"/>
      <c r="C11" s="542"/>
      <c r="D11" s="541"/>
      <c r="E11" s="542"/>
      <c r="F11" s="541"/>
      <c r="G11" s="542"/>
      <c r="H11" s="541"/>
      <c r="I11" s="542"/>
      <c r="J11" s="541"/>
      <c r="K11" s="542"/>
      <c r="L11" s="541"/>
      <c r="M11" s="542"/>
      <c r="N11" s="541"/>
      <c r="O11" s="542"/>
      <c r="P11" s="550"/>
      <c r="Q11" s="541"/>
      <c r="R11" s="542"/>
      <c r="S11" s="544" t="s">
        <v>39</v>
      </c>
      <c r="T11" s="545"/>
      <c r="U11" s="544" t="s">
        <v>40</v>
      </c>
      <c r="V11" s="545"/>
      <c r="W11" s="544" t="s">
        <v>13</v>
      </c>
      <c r="X11" s="545"/>
    </row>
    <row r="12" spans="1:25" s="435" customFormat="1" ht="76.5" customHeight="1" thickBot="1">
      <c r="A12" s="551"/>
      <c r="B12" s="436" t="s">
        <v>148</v>
      </c>
      <c r="C12" s="436" t="s">
        <v>149</v>
      </c>
      <c r="D12" s="436" t="s">
        <v>148</v>
      </c>
      <c r="E12" s="436" t="s">
        <v>149</v>
      </c>
      <c r="F12" s="436" t="s">
        <v>148</v>
      </c>
      <c r="G12" s="436" t="s">
        <v>149</v>
      </c>
      <c r="H12" s="436" t="s">
        <v>148</v>
      </c>
      <c r="I12" s="436" t="s">
        <v>148</v>
      </c>
      <c r="J12" s="436" t="s">
        <v>148</v>
      </c>
      <c r="K12" s="436" t="s">
        <v>149</v>
      </c>
      <c r="L12" s="436" t="s">
        <v>148</v>
      </c>
      <c r="M12" s="436" t="s">
        <v>149</v>
      </c>
      <c r="N12" s="436" t="s">
        <v>148</v>
      </c>
      <c r="O12" s="436" t="s">
        <v>149</v>
      </c>
      <c r="P12" s="551"/>
      <c r="Q12" s="436" t="s">
        <v>148</v>
      </c>
      <c r="R12" s="436" t="s">
        <v>149</v>
      </c>
      <c r="S12" s="436" t="s">
        <v>148</v>
      </c>
      <c r="T12" s="436" t="s">
        <v>149</v>
      </c>
      <c r="U12" s="436" t="s">
        <v>148</v>
      </c>
      <c r="V12" s="436" t="s">
        <v>149</v>
      </c>
      <c r="W12" s="436" t="s">
        <v>148</v>
      </c>
      <c r="X12" s="436" t="s">
        <v>149</v>
      </c>
    </row>
    <row r="13" spans="1:25" ht="30" customHeight="1">
      <c r="A13" s="437" t="s">
        <v>94</v>
      </c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7" t="s">
        <v>94</v>
      </c>
      <c r="Q13" s="438"/>
      <c r="R13" s="438"/>
      <c r="S13" s="438"/>
      <c r="T13" s="438"/>
      <c r="U13" s="438"/>
      <c r="V13" s="438"/>
      <c r="W13" s="438"/>
      <c r="X13" s="438"/>
    </row>
    <row r="14" spans="1:25" ht="37.5" customHeight="1">
      <c r="A14" s="460" t="s">
        <v>391</v>
      </c>
      <c r="B14" s="440">
        <v>1638068833</v>
      </c>
      <c r="C14" s="440">
        <f>SUM('2. sz. melléklet'!F86)</f>
        <v>1785757253</v>
      </c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60" t="s">
        <v>391</v>
      </c>
      <c r="Q14" s="441"/>
      <c r="R14" s="441"/>
      <c r="S14" s="440">
        <f>SUM(B14+F14+H14+L14+Q14)</f>
        <v>1638068833</v>
      </c>
      <c r="T14" s="440">
        <f>SUM(C14+G14+I14+M14+R14)</f>
        <v>1785757253</v>
      </c>
      <c r="U14" s="440">
        <f>SUM(D14+J14+N14)</f>
        <v>0</v>
      </c>
      <c r="V14" s="440">
        <f>SUM(E14+K14+O14)</f>
        <v>0</v>
      </c>
      <c r="W14" s="441">
        <f>SUM(B14+D14+F14+H14+J14+L14+N14+Q14)</f>
        <v>1638068833</v>
      </c>
      <c r="X14" s="441">
        <f>SUM(C14+E14+G14+I14+K14+M14+O14+R14)</f>
        <v>1785757253</v>
      </c>
      <c r="Y14" s="442"/>
    </row>
    <row r="15" spans="1:25" ht="30" customHeight="1">
      <c r="A15" s="439" t="s">
        <v>392</v>
      </c>
      <c r="B15" s="440">
        <v>7560000</v>
      </c>
      <c r="C15" s="440">
        <f>SUM(B15)</f>
        <v>7560000</v>
      </c>
      <c r="D15" s="441"/>
      <c r="E15" s="441"/>
      <c r="F15" s="440"/>
      <c r="G15" s="440"/>
      <c r="H15" s="440"/>
      <c r="I15" s="440"/>
      <c r="J15" s="440"/>
      <c r="K15" s="441"/>
      <c r="L15" s="441"/>
      <c r="M15" s="441"/>
      <c r="N15" s="441"/>
      <c r="O15" s="441"/>
      <c r="P15" s="439" t="s">
        <v>392</v>
      </c>
      <c r="Q15" s="441"/>
      <c r="R15" s="441"/>
      <c r="S15" s="440">
        <f t="shared" ref="S15:S30" si="0">SUM(B15+F15+H15+L15+Q15)</f>
        <v>7560000</v>
      </c>
      <c r="T15" s="440">
        <f t="shared" ref="T15:T30" si="1">SUM(C15+G15+I15+M15+R15)</f>
        <v>7560000</v>
      </c>
      <c r="U15" s="440">
        <f t="shared" ref="U15:U30" si="2">SUM(D15+J15+N15)</f>
        <v>0</v>
      </c>
      <c r="V15" s="440">
        <f t="shared" ref="V15:V30" si="3">SUM(E15+K15+O15)</f>
        <v>0</v>
      </c>
      <c r="W15" s="441">
        <f t="shared" ref="W15:W30" si="4">SUM(B15+D15+F15+H15+J15+L15+N15+Q15)</f>
        <v>7560000</v>
      </c>
      <c r="X15" s="441">
        <f t="shared" ref="X15:X30" si="5">SUM(C15+E15+G15+I15+K15+M15+O15+R15)</f>
        <v>7560000</v>
      </c>
      <c r="Y15" s="442"/>
    </row>
    <row r="16" spans="1:25" ht="30" customHeight="1">
      <c r="A16" s="439" t="s">
        <v>393</v>
      </c>
      <c r="B16" s="443">
        <v>1000000</v>
      </c>
      <c r="C16" s="440">
        <f>SUM(B16)</f>
        <v>1000000</v>
      </c>
      <c r="D16" s="441"/>
      <c r="E16" s="441"/>
      <c r="F16" s="440"/>
      <c r="G16" s="440"/>
      <c r="H16" s="440"/>
      <c r="I16" s="440"/>
      <c r="J16" s="440"/>
      <c r="K16" s="441"/>
      <c r="L16" s="441"/>
      <c r="M16" s="441"/>
      <c r="N16" s="441"/>
      <c r="O16" s="441"/>
      <c r="P16" s="439" t="s">
        <v>393</v>
      </c>
      <c r="Q16" s="441"/>
      <c r="R16" s="441"/>
      <c r="S16" s="440">
        <f t="shared" si="0"/>
        <v>1000000</v>
      </c>
      <c r="T16" s="440">
        <f t="shared" si="1"/>
        <v>1000000</v>
      </c>
      <c r="U16" s="440">
        <f t="shared" si="2"/>
        <v>0</v>
      </c>
      <c r="V16" s="440">
        <f t="shared" si="3"/>
        <v>0</v>
      </c>
      <c r="W16" s="441">
        <f t="shared" si="4"/>
        <v>1000000</v>
      </c>
      <c r="X16" s="441">
        <f t="shared" si="5"/>
        <v>1000000</v>
      </c>
      <c r="Y16" s="442"/>
    </row>
    <row r="17" spans="1:25" ht="30" customHeight="1">
      <c r="A17" s="439" t="s">
        <v>448</v>
      </c>
      <c r="B17" s="443"/>
      <c r="C17" s="440">
        <v>7847500</v>
      </c>
      <c r="D17" s="441"/>
      <c r="E17" s="441"/>
      <c r="F17" s="440"/>
      <c r="G17" s="440"/>
      <c r="H17" s="440"/>
      <c r="I17" s="440"/>
      <c r="J17" s="440"/>
      <c r="K17" s="441"/>
      <c r="L17" s="441"/>
      <c r="M17" s="441"/>
      <c r="N17" s="441"/>
      <c r="O17" s="441"/>
      <c r="P17" s="439"/>
      <c r="Q17" s="441"/>
      <c r="R17" s="441"/>
      <c r="S17" s="440">
        <f>SUM(B17+F17+H17+L17+Q17)</f>
        <v>0</v>
      </c>
      <c r="T17" s="440">
        <f>SUM(C17+G17+I17+M17+R17)</f>
        <v>7847500</v>
      </c>
      <c r="U17" s="440">
        <f>SUM(D17+J17+N17)</f>
        <v>0</v>
      </c>
      <c r="V17" s="440">
        <f>SUM(E17+K17+O17)</f>
        <v>0</v>
      </c>
      <c r="W17" s="441">
        <f>SUM(B17+D17+F17+H17+J17+L17+N17+Q17)</f>
        <v>0</v>
      </c>
      <c r="X17" s="441">
        <f>SUM(C17+E17+G17+I17+K17+M17+O17+R17)</f>
        <v>7847500</v>
      </c>
      <c r="Y17" s="442"/>
    </row>
    <row r="18" spans="1:25" ht="33" customHeight="1">
      <c r="A18" s="439" t="s">
        <v>394</v>
      </c>
      <c r="B18" s="443"/>
      <c r="C18" s="443"/>
      <c r="D18" s="441"/>
      <c r="E18" s="441"/>
      <c r="F18" s="440">
        <v>10000000</v>
      </c>
      <c r="G18" s="440">
        <v>10000000</v>
      </c>
      <c r="H18" s="440"/>
      <c r="I18" s="440"/>
      <c r="J18" s="440"/>
      <c r="K18" s="441"/>
      <c r="L18" s="441"/>
      <c r="M18" s="441"/>
      <c r="N18" s="441"/>
      <c r="O18" s="441"/>
      <c r="P18" s="439" t="s">
        <v>394</v>
      </c>
      <c r="Q18" s="441"/>
      <c r="R18" s="441"/>
      <c r="S18" s="440">
        <f t="shared" si="0"/>
        <v>10000000</v>
      </c>
      <c r="T18" s="440">
        <f t="shared" si="1"/>
        <v>10000000</v>
      </c>
      <c r="U18" s="440">
        <f t="shared" si="2"/>
        <v>0</v>
      </c>
      <c r="V18" s="440">
        <f t="shared" si="3"/>
        <v>0</v>
      </c>
      <c r="W18" s="441">
        <f t="shared" si="4"/>
        <v>10000000</v>
      </c>
      <c r="X18" s="441">
        <f t="shared" si="5"/>
        <v>10000000</v>
      </c>
      <c r="Y18" s="442"/>
    </row>
    <row r="19" spans="1:25" ht="30" customHeight="1">
      <c r="A19" s="439" t="s">
        <v>395</v>
      </c>
      <c r="B19" s="443"/>
      <c r="C19" s="443"/>
      <c r="D19" s="441"/>
      <c r="E19" s="440"/>
      <c r="F19" s="440"/>
      <c r="G19" s="440"/>
      <c r="H19" s="440">
        <v>900000</v>
      </c>
      <c r="I19" s="440">
        <v>900000</v>
      </c>
      <c r="J19" s="440"/>
      <c r="K19" s="441"/>
      <c r="L19" s="441"/>
      <c r="M19" s="441"/>
      <c r="N19" s="441"/>
      <c r="O19" s="441"/>
      <c r="P19" s="439" t="s">
        <v>395</v>
      </c>
      <c r="Q19" s="441"/>
      <c r="R19" s="441"/>
      <c r="S19" s="440">
        <f t="shared" si="0"/>
        <v>900000</v>
      </c>
      <c r="T19" s="440">
        <f t="shared" si="1"/>
        <v>900000</v>
      </c>
      <c r="U19" s="440">
        <f t="shared" si="2"/>
        <v>0</v>
      </c>
      <c r="V19" s="440">
        <f t="shared" si="3"/>
        <v>0</v>
      </c>
      <c r="W19" s="441">
        <f t="shared" si="4"/>
        <v>900000</v>
      </c>
      <c r="X19" s="441">
        <f t="shared" si="5"/>
        <v>900000</v>
      </c>
      <c r="Y19" s="442"/>
    </row>
    <row r="20" spans="1:25" ht="48" customHeight="1">
      <c r="A20" s="439" t="s">
        <v>396</v>
      </c>
      <c r="B20" s="443"/>
      <c r="C20" s="443"/>
      <c r="D20" s="441"/>
      <c r="E20" s="440"/>
      <c r="F20" s="440">
        <v>585400000</v>
      </c>
      <c r="G20" s="440">
        <v>625400000</v>
      </c>
      <c r="H20" s="440"/>
      <c r="I20" s="440"/>
      <c r="J20" s="440"/>
      <c r="K20" s="441"/>
      <c r="L20" s="441"/>
      <c r="M20" s="441"/>
      <c r="N20" s="441"/>
      <c r="O20" s="441"/>
      <c r="P20" s="439" t="s">
        <v>396</v>
      </c>
      <c r="Q20" s="441"/>
      <c r="R20" s="441"/>
      <c r="S20" s="440">
        <f t="shared" si="0"/>
        <v>585400000</v>
      </c>
      <c r="T20" s="440">
        <f t="shared" si="1"/>
        <v>625400000</v>
      </c>
      <c r="U20" s="440">
        <f t="shared" si="2"/>
        <v>0</v>
      </c>
      <c r="V20" s="440">
        <f t="shared" si="3"/>
        <v>0</v>
      </c>
      <c r="W20" s="441">
        <f t="shared" si="4"/>
        <v>585400000</v>
      </c>
      <c r="X20" s="441">
        <f t="shared" si="5"/>
        <v>625400000</v>
      </c>
      <c r="Y20" s="442"/>
    </row>
    <row r="21" spans="1:25" ht="30" customHeight="1">
      <c r="A21" s="439" t="s">
        <v>397</v>
      </c>
      <c r="B21" s="443"/>
      <c r="C21" s="443"/>
      <c r="D21" s="441"/>
      <c r="E21" s="440"/>
      <c r="F21" s="440">
        <v>5000000</v>
      </c>
      <c r="G21" s="440">
        <v>5000000</v>
      </c>
      <c r="H21" s="440"/>
      <c r="I21" s="440"/>
      <c r="J21" s="441"/>
      <c r="K21" s="441"/>
      <c r="L21" s="441"/>
      <c r="M21" s="441"/>
      <c r="N21" s="441"/>
      <c r="O21" s="441"/>
      <c r="P21" s="439" t="s">
        <v>397</v>
      </c>
      <c r="Q21" s="441"/>
      <c r="R21" s="441"/>
      <c r="S21" s="440">
        <f t="shared" si="0"/>
        <v>5000000</v>
      </c>
      <c r="T21" s="440">
        <f t="shared" si="1"/>
        <v>5000000</v>
      </c>
      <c r="U21" s="440">
        <f t="shared" si="2"/>
        <v>0</v>
      </c>
      <c r="V21" s="440">
        <f t="shared" si="3"/>
        <v>0</v>
      </c>
      <c r="W21" s="441">
        <f t="shared" si="4"/>
        <v>5000000</v>
      </c>
      <c r="X21" s="441">
        <f t="shared" si="5"/>
        <v>5000000</v>
      </c>
      <c r="Y21" s="442"/>
    </row>
    <row r="22" spans="1:25" ht="46.5" customHeight="1">
      <c r="A22" s="439" t="s">
        <v>398</v>
      </c>
      <c r="B22" s="443"/>
      <c r="C22" s="443"/>
      <c r="D22" s="441"/>
      <c r="E22" s="440"/>
      <c r="F22" s="440">
        <v>42000000</v>
      </c>
      <c r="G22" s="440">
        <v>42000000</v>
      </c>
      <c r="H22" s="440"/>
      <c r="I22" s="440"/>
      <c r="J22" s="441"/>
      <c r="K22" s="441"/>
      <c r="L22" s="441"/>
      <c r="M22" s="441"/>
      <c r="N22" s="441"/>
      <c r="O22" s="441"/>
      <c r="P22" s="439" t="s">
        <v>398</v>
      </c>
      <c r="Q22" s="441"/>
      <c r="R22" s="441"/>
      <c r="S22" s="440">
        <f t="shared" si="0"/>
        <v>42000000</v>
      </c>
      <c r="T22" s="440">
        <f t="shared" si="1"/>
        <v>42000000</v>
      </c>
      <c r="U22" s="440">
        <f t="shared" si="2"/>
        <v>0</v>
      </c>
      <c r="V22" s="440">
        <f t="shared" si="3"/>
        <v>0</v>
      </c>
      <c r="W22" s="441">
        <f t="shared" si="4"/>
        <v>42000000</v>
      </c>
      <c r="X22" s="441">
        <f t="shared" si="5"/>
        <v>42000000</v>
      </c>
      <c r="Y22" s="442"/>
    </row>
    <row r="23" spans="1:25" ht="30" customHeight="1">
      <c r="A23" s="439" t="s">
        <v>399</v>
      </c>
      <c r="B23" s="443"/>
      <c r="C23" s="443"/>
      <c r="D23" s="444"/>
      <c r="E23" s="444"/>
      <c r="F23" s="443">
        <v>30000</v>
      </c>
      <c r="G23" s="443">
        <v>30000</v>
      </c>
      <c r="H23" s="440"/>
      <c r="I23" s="440"/>
      <c r="J23" s="443"/>
      <c r="K23" s="443"/>
      <c r="L23" s="443"/>
      <c r="M23" s="443"/>
      <c r="N23" s="443"/>
      <c r="O23" s="443"/>
      <c r="P23" s="439" t="s">
        <v>399</v>
      </c>
      <c r="Q23" s="443"/>
      <c r="R23" s="443"/>
      <c r="S23" s="440">
        <f t="shared" si="0"/>
        <v>30000</v>
      </c>
      <c r="T23" s="440">
        <f t="shared" si="1"/>
        <v>30000</v>
      </c>
      <c r="U23" s="440">
        <f t="shared" si="2"/>
        <v>0</v>
      </c>
      <c r="V23" s="440">
        <f t="shared" si="3"/>
        <v>0</v>
      </c>
      <c r="W23" s="441">
        <f t="shared" si="4"/>
        <v>30000</v>
      </c>
      <c r="X23" s="441">
        <f t="shared" si="5"/>
        <v>30000</v>
      </c>
      <c r="Y23" s="442"/>
    </row>
    <row r="24" spans="1:25" ht="30" customHeight="1">
      <c r="A24" s="439" t="s">
        <v>400</v>
      </c>
      <c r="B24" s="443"/>
      <c r="C24" s="443"/>
      <c r="D24" s="444"/>
      <c r="E24" s="444"/>
      <c r="F24" s="443">
        <v>1300000</v>
      </c>
      <c r="G24" s="443">
        <v>1300000</v>
      </c>
      <c r="H24" s="440"/>
      <c r="I24" s="440"/>
      <c r="J24" s="443"/>
      <c r="K24" s="443"/>
      <c r="L24" s="443"/>
      <c r="M24" s="443"/>
      <c r="N24" s="443"/>
      <c r="O24" s="443"/>
      <c r="P24" s="439" t="s">
        <v>400</v>
      </c>
      <c r="Q24" s="443"/>
      <c r="R24" s="443"/>
      <c r="S24" s="440">
        <f t="shared" si="0"/>
        <v>1300000</v>
      </c>
      <c r="T24" s="440">
        <f t="shared" si="1"/>
        <v>1300000</v>
      </c>
      <c r="U24" s="440">
        <f t="shared" si="2"/>
        <v>0</v>
      </c>
      <c r="V24" s="440">
        <f t="shared" si="3"/>
        <v>0</v>
      </c>
      <c r="W24" s="441">
        <f t="shared" si="4"/>
        <v>1300000</v>
      </c>
      <c r="X24" s="441">
        <f t="shared" si="5"/>
        <v>1300000</v>
      </c>
      <c r="Y24" s="442"/>
    </row>
    <row r="25" spans="1:25" ht="30" customHeight="1">
      <c r="A25" s="445" t="s">
        <v>411</v>
      </c>
      <c r="B25" s="443"/>
      <c r="C25" s="443"/>
      <c r="D25" s="444"/>
      <c r="E25" s="444"/>
      <c r="F25" s="443">
        <v>3000000</v>
      </c>
      <c r="G25" s="443">
        <v>3000000</v>
      </c>
      <c r="H25" s="440"/>
      <c r="I25" s="440"/>
      <c r="J25" s="443"/>
      <c r="K25" s="443"/>
      <c r="L25" s="443"/>
      <c r="M25" s="443"/>
      <c r="N25" s="443"/>
      <c r="O25" s="443"/>
      <c r="P25" s="445" t="s">
        <v>411</v>
      </c>
      <c r="Q25" s="443"/>
      <c r="R25" s="443"/>
      <c r="S25" s="440">
        <f t="shared" si="0"/>
        <v>3000000</v>
      </c>
      <c r="T25" s="440">
        <f t="shared" si="1"/>
        <v>3000000</v>
      </c>
      <c r="U25" s="440">
        <f t="shared" si="2"/>
        <v>0</v>
      </c>
      <c r="V25" s="440">
        <f t="shared" si="3"/>
        <v>0</v>
      </c>
      <c r="W25" s="441">
        <f t="shared" si="4"/>
        <v>3000000</v>
      </c>
      <c r="X25" s="441">
        <f t="shared" si="5"/>
        <v>3000000</v>
      </c>
      <c r="Y25" s="442"/>
    </row>
    <row r="26" spans="1:25" ht="51.75" customHeight="1">
      <c r="A26" s="445" t="s">
        <v>412</v>
      </c>
      <c r="B26" s="443"/>
      <c r="C26" s="443"/>
      <c r="D26" s="444"/>
      <c r="E26" s="444"/>
      <c r="F26" s="443">
        <v>4000000</v>
      </c>
      <c r="G26" s="443">
        <v>4000000</v>
      </c>
      <c r="H26" s="440"/>
      <c r="I26" s="440"/>
      <c r="J26" s="443"/>
      <c r="K26" s="443"/>
      <c r="L26" s="443"/>
      <c r="M26" s="443"/>
      <c r="N26" s="443"/>
      <c r="O26" s="443"/>
      <c r="P26" s="445" t="s">
        <v>412</v>
      </c>
      <c r="Q26" s="443"/>
      <c r="R26" s="443"/>
      <c r="S26" s="440">
        <f t="shared" si="0"/>
        <v>4000000</v>
      </c>
      <c r="T26" s="440">
        <f t="shared" si="1"/>
        <v>4000000</v>
      </c>
      <c r="U26" s="440">
        <f t="shared" si="2"/>
        <v>0</v>
      </c>
      <c r="V26" s="440">
        <f t="shared" si="3"/>
        <v>0</v>
      </c>
      <c r="W26" s="441">
        <f t="shared" si="4"/>
        <v>4000000</v>
      </c>
      <c r="X26" s="441">
        <f t="shared" si="5"/>
        <v>4000000</v>
      </c>
      <c r="Y26" s="442"/>
    </row>
    <row r="27" spans="1:25" ht="31.5" customHeight="1">
      <c r="A27" s="439" t="s">
        <v>413</v>
      </c>
      <c r="B27" s="443"/>
      <c r="C27" s="443"/>
      <c r="D27" s="444"/>
      <c r="E27" s="443"/>
      <c r="F27" s="443"/>
      <c r="G27" s="443"/>
      <c r="H27" s="440">
        <v>2800000</v>
      </c>
      <c r="I27" s="440">
        <v>2800000</v>
      </c>
      <c r="J27" s="443"/>
      <c r="K27" s="443"/>
      <c r="L27" s="443"/>
      <c r="M27" s="443"/>
      <c r="N27" s="443"/>
      <c r="O27" s="443"/>
      <c r="P27" s="439" t="s">
        <v>413</v>
      </c>
      <c r="Q27" s="443"/>
      <c r="R27" s="443"/>
      <c r="S27" s="440">
        <f t="shared" si="0"/>
        <v>2800000</v>
      </c>
      <c r="T27" s="440">
        <f t="shared" si="1"/>
        <v>2800000</v>
      </c>
      <c r="U27" s="440">
        <f t="shared" si="2"/>
        <v>0</v>
      </c>
      <c r="V27" s="440">
        <f t="shared" si="3"/>
        <v>0</v>
      </c>
      <c r="W27" s="441">
        <f t="shared" si="4"/>
        <v>2800000</v>
      </c>
      <c r="X27" s="441">
        <f t="shared" si="5"/>
        <v>2800000</v>
      </c>
      <c r="Y27" s="442"/>
    </row>
    <row r="28" spans="1:25" ht="31.5" customHeight="1">
      <c r="A28" s="445" t="s">
        <v>408</v>
      </c>
      <c r="B28" s="446"/>
      <c r="C28" s="446"/>
      <c r="D28" s="447"/>
      <c r="E28" s="446"/>
      <c r="F28" s="446"/>
      <c r="G28" s="446"/>
      <c r="H28" s="448"/>
      <c r="I28" s="448"/>
      <c r="J28" s="446"/>
      <c r="K28" s="446"/>
      <c r="L28" s="446"/>
      <c r="M28" s="446"/>
      <c r="N28" s="446"/>
      <c r="O28" s="446"/>
      <c r="P28" s="445" t="s">
        <v>408</v>
      </c>
      <c r="Q28" s="446"/>
      <c r="R28" s="446"/>
      <c r="S28" s="440">
        <f t="shared" si="0"/>
        <v>0</v>
      </c>
      <c r="T28" s="440">
        <f t="shared" si="1"/>
        <v>0</v>
      </c>
      <c r="U28" s="440">
        <f t="shared" si="2"/>
        <v>0</v>
      </c>
      <c r="V28" s="440">
        <f t="shared" si="3"/>
        <v>0</v>
      </c>
      <c r="W28" s="441">
        <f t="shared" si="4"/>
        <v>0</v>
      </c>
      <c r="X28" s="441">
        <f t="shared" si="5"/>
        <v>0</v>
      </c>
      <c r="Y28" s="442"/>
    </row>
    <row r="29" spans="1:25" ht="31.5" customHeight="1" thickBot="1">
      <c r="A29" s="439" t="s">
        <v>419</v>
      </c>
      <c r="B29" s="443"/>
      <c r="C29" s="443">
        <v>307517</v>
      </c>
      <c r="D29" s="444"/>
      <c r="E29" s="443"/>
      <c r="F29" s="443"/>
      <c r="G29" s="443"/>
      <c r="H29" s="440"/>
      <c r="I29" s="440"/>
      <c r="J29" s="443"/>
      <c r="K29" s="443"/>
      <c r="L29" s="443"/>
      <c r="M29" s="443"/>
      <c r="N29" s="443"/>
      <c r="O29" s="443"/>
      <c r="P29" s="439" t="s">
        <v>419</v>
      </c>
      <c r="Q29" s="443"/>
      <c r="R29" s="443"/>
      <c r="S29" s="440">
        <f>SUM(B29+F29+H29+L29+Q29)</f>
        <v>0</v>
      </c>
      <c r="T29" s="440">
        <f>SUM(C29+G29+I29+M29+R29)</f>
        <v>307517</v>
      </c>
      <c r="U29" s="440">
        <f>SUM(D29+J29+N29)</f>
        <v>0</v>
      </c>
      <c r="V29" s="440">
        <f>SUM(E29+K29+O29)</f>
        <v>0</v>
      </c>
      <c r="W29" s="441">
        <f>SUM(B29+D29+F29+H29+J29+L29+N29+Q29)</f>
        <v>0</v>
      </c>
      <c r="X29" s="441">
        <f>SUM(C29+E29+G29+I29+K29+M29+O29+R29)</f>
        <v>307517</v>
      </c>
      <c r="Y29" s="442"/>
    </row>
    <row r="30" spans="1:25" ht="35.25" hidden="1" customHeight="1">
      <c r="A30" s="445"/>
      <c r="B30" s="446"/>
      <c r="C30" s="446"/>
      <c r="D30" s="447"/>
      <c r="E30" s="446"/>
      <c r="F30" s="446"/>
      <c r="G30" s="446"/>
      <c r="H30" s="448"/>
      <c r="I30" s="448"/>
      <c r="J30" s="446"/>
      <c r="K30" s="446"/>
      <c r="L30" s="446"/>
      <c r="M30" s="446"/>
      <c r="N30" s="446"/>
      <c r="O30" s="446"/>
      <c r="P30" s="445"/>
      <c r="Q30" s="446"/>
      <c r="R30" s="446"/>
      <c r="S30" s="440">
        <f t="shared" si="0"/>
        <v>0</v>
      </c>
      <c r="T30" s="440">
        <f t="shared" si="1"/>
        <v>0</v>
      </c>
      <c r="U30" s="440">
        <f t="shared" si="2"/>
        <v>0</v>
      </c>
      <c r="V30" s="440">
        <f t="shared" si="3"/>
        <v>0</v>
      </c>
      <c r="W30" s="441">
        <f t="shared" si="4"/>
        <v>0</v>
      </c>
      <c r="X30" s="441">
        <f t="shared" si="5"/>
        <v>0</v>
      </c>
      <c r="Y30" s="442"/>
    </row>
    <row r="31" spans="1:25" ht="30" hidden="1" customHeight="1" thickBot="1">
      <c r="A31" s="445"/>
      <c r="B31" s="448"/>
      <c r="C31" s="448"/>
      <c r="D31" s="447"/>
      <c r="E31" s="446"/>
      <c r="F31" s="447"/>
      <c r="G31" s="447"/>
      <c r="H31" s="446"/>
      <c r="I31" s="446"/>
      <c r="J31" s="446"/>
      <c r="K31" s="446"/>
      <c r="L31" s="446"/>
      <c r="M31" s="446"/>
      <c r="N31" s="446"/>
      <c r="O31" s="446"/>
      <c r="P31" s="445"/>
      <c r="Q31" s="446"/>
      <c r="R31" s="446"/>
      <c r="S31" s="440">
        <f>SUM(B31+F31+H31+L31+Q31)</f>
        <v>0</v>
      </c>
      <c r="T31" s="440">
        <f>SUM(C31+G31+I31+M31+R31)</f>
        <v>0</v>
      </c>
      <c r="U31" s="440">
        <f>SUM(D31+J31+N31)</f>
        <v>0</v>
      </c>
      <c r="V31" s="440">
        <f>SUM(E31+K31+O31)</f>
        <v>0</v>
      </c>
      <c r="W31" s="441">
        <f>SUM(B31+D31+F31+H31+J31+L31+N31+Q31)</f>
        <v>0</v>
      </c>
      <c r="X31" s="441">
        <f>SUM(C31+E31+G31+I31+K31+M31+O31+R31)</f>
        <v>0</v>
      </c>
      <c r="Y31" s="442"/>
    </row>
    <row r="32" spans="1:25" s="452" customFormat="1" ht="39" customHeight="1" thickBot="1">
      <c r="A32" s="449" t="s">
        <v>401</v>
      </c>
      <c r="B32" s="450">
        <f t="shared" ref="B32:O32" si="6">SUM(B14:B31)</f>
        <v>1646628833</v>
      </c>
      <c r="C32" s="450">
        <f t="shared" si="6"/>
        <v>1802472270</v>
      </c>
      <c r="D32" s="450">
        <f t="shared" si="6"/>
        <v>0</v>
      </c>
      <c r="E32" s="450">
        <f t="shared" si="6"/>
        <v>0</v>
      </c>
      <c r="F32" s="450">
        <f t="shared" si="6"/>
        <v>650730000</v>
      </c>
      <c r="G32" s="450">
        <f t="shared" si="6"/>
        <v>690730000</v>
      </c>
      <c r="H32" s="450">
        <f t="shared" si="6"/>
        <v>3700000</v>
      </c>
      <c r="I32" s="450">
        <f t="shared" si="6"/>
        <v>3700000</v>
      </c>
      <c r="J32" s="450">
        <f t="shared" si="6"/>
        <v>0</v>
      </c>
      <c r="K32" s="450">
        <f t="shared" si="6"/>
        <v>0</v>
      </c>
      <c r="L32" s="450">
        <f t="shared" si="6"/>
        <v>0</v>
      </c>
      <c r="M32" s="450">
        <f t="shared" si="6"/>
        <v>0</v>
      </c>
      <c r="N32" s="450">
        <f t="shared" si="6"/>
        <v>0</v>
      </c>
      <c r="O32" s="450">
        <f t="shared" si="6"/>
        <v>0</v>
      </c>
      <c r="P32" s="449" t="s">
        <v>401</v>
      </c>
      <c r="Q32" s="450">
        <f t="shared" ref="Q32:W32" si="7">SUM(Q14:Q31)</f>
        <v>0</v>
      </c>
      <c r="R32" s="450">
        <f t="shared" si="7"/>
        <v>0</v>
      </c>
      <c r="S32" s="450">
        <f t="shared" si="7"/>
        <v>2301058833</v>
      </c>
      <c r="T32" s="450">
        <f t="shared" si="7"/>
        <v>2496902270</v>
      </c>
      <c r="U32" s="450">
        <f t="shared" si="7"/>
        <v>0</v>
      </c>
      <c r="V32" s="450">
        <f t="shared" si="7"/>
        <v>0</v>
      </c>
      <c r="W32" s="450">
        <f t="shared" si="7"/>
        <v>2301058833</v>
      </c>
      <c r="X32" s="450">
        <f>SUM(X14:X31)</f>
        <v>2496902270</v>
      </c>
      <c r="Y32" s="451"/>
    </row>
    <row r="33" spans="1:25" ht="30" customHeight="1">
      <c r="A33" s="453" t="s">
        <v>402</v>
      </c>
      <c r="B33" s="454"/>
      <c r="C33" s="454"/>
      <c r="D33" s="455"/>
      <c r="E33" s="455"/>
      <c r="F33" s="455"/>
      <c r="G33" s="455"/>
      <c r="H33" s="456"/>
      <c r="I33" s="456"/>
      <c r="J33" s="456"/>
      <c r="K33" s="456"/>
      <c r="L33" s="456"/>
      <c r="M33" s="456"/>
      <c r="N33" s="456"/>
      <c r="O33" s="456"/>
      <c r="P33" s="453" t="s">
        <v>402</v>
      </c>
      <c r="Q33" s="456"/>
      <c r="R33" s="456"/>
      <c r="S33" s="440">
        <f t="shared" ref="S33:S49" si="8">SUM(B33+F33+H33+L33+Q33)</f>
        <v>0</v>
      </c>
      <c r="T33" s="440">
        <f t="shared" ref="T33:T49" si="9">SUM(C33+G33+I33+M33+R33)</f>
        <v>0</v>
      </c>
      <c r="U33" s="440">
        <f>SUM(D33+J33+N33)</f>
        <v>0</v>
      </c>
      <c r="V33" s="440">
        <f>SUM(E33+K33+O33)</f>
        <v>0</v>
      </c>
      <c r="W33" s="441">
        <f t="shared" ref="W33:W49" si="10">SUM(B33+D33+F33+H33+J33+L33+N33+Q33)</f>
        <v>0</v>
      </c>
      <c r="X33" s="441">
        <f t="shared" ref="X33:X49" si="11">SUM(C33+E33+G33+I33+K33+M33+O33+R33)</f>
        <v>0</v>
      </c>
      <c r="Y33" s="442"/>
    </row>
    <row r="34" spans="1:25" ht="30" customHeight="1">
      <c r="A34" s="439" t="s">
        <v>403</v>
      </c>
      <c r="B34" s="443"/>
      <c r="C34" s="443"/>
      <c r="D34" s="444"/>
      <c r="E34" s="444"/>
      <c r="F34" s="443"/>
      <c r="G34" s="443"/>
      <c r="H34" s="440">
        <v>85000000</v>
      </c>
      <c r="I34" s="440">
        <v>85000000</v>
      </c>
      <c r="J34" s="443"/>
      <c r="K34" s="443"/>
      <c r="L34" s="443"/>
      <c r="M34" s="443"/>
      <c r="N34" s="443"/>
      <c r="O34" s="443"/>
      <c r="P34" s="439" t="s">
        <v>403</v>
      </c>
      <c r="Q34" s="443"/>
      <c r="R34" s="443"/>
      <c r="S34" s="440">
        <f t="shared" si="8"/>
        <v>85000000</v>
      </c>
      <c r="T34" s="440">
        <f t="shared" si="9"/>
        <v>85000000</v>
      </c>
      <c r="U34" s="440">
        <f t="shared" ref="U34:U62" si="12">SUM(D34+J34+N34)</f>
        <v>0</v>
      </c>
      <c r="V34" s="440">
        <f t="shared" ref="V34:V62" si="13">SUM(E34+K34+O34)</f>
        <v>0</v>
      </c>
      <c r="W34" s="441">
        <f t="shared" si="10"/>
        <v>85000000</v>
      </c>
      <c r="X34" s="441">
        <f t="shared" si="11"/>
        <v>85000000</v>
      </c>
      <c r="Y34" s="442"/>
    </row>
    <row r="35" spans="1:25" ht="30" customHeight="1">
      <c r="A35" s="439" t="s">
        <v>404</v>
      </c>
      <c r="B35" s="443"/>
      <c r="C35" s="443"/>
      <c r="D35" s="444"/>
      <c r="E35" s="444"/>
      <c r="F35" s="443"/>
      <c r="G35" s="443"/>
      <c r="H35" s="440">
        <v>3000000</v>
      </c>
      <c r="I35" s="440">
        <v>3000000</v>
      </c>
      <c r="J35" s="443"/>
      <c r="K35" s="443"/>
      <c r="L35" s="443"/>
      <c r="M35" s="443"/>
      <c r="N35" s="443"/>
      <c r="O35" s="443"/>
      <c r="P35" s="439" t="s">
        <v>404</v>
      </c>
      <c r="Q35" s="443"/>
      <c r="R35" s="443"/>
      <c r="S35" s="440">
        <f t="shared" si="8"/>
        <v>3000000</v>
      </c>
      <c r="T35" s="440">
        <f t="shared" si="9"/>
        <v>3000000</v>
      </c>
      <c r="U35" s="440">
        <f t="shared" si="12"/>
        <v>0</v>
      </c>
      <c r="V35" s="440">
        <f t="shared" si="13"/>
        <v>0</v>
      </c>
      <c r="W35" s="441">
        <f t="shared" si="10"/>
        <v>3000000</v>
      </c>
      <c r="X35" s="441">
        <f t="shared" si="11"/>
        <v>3000000</v>
      </c>
      <c r="Y35" s="442"/>
    </row>
    <row r="36" spans="1:25" ht="30" customHeight="1">
      <c r="A36" s="439" t="s">
        <v>405</v>
      </c>
      <c r="B36" s="443"/>
      <c r="C36" s="443"/>
      <c r="D36" s="444"/>
      <c r="E36" s="444"/>
      <c r="F36" s="443"/>
      <c r="G36" s="443"/>
      <c r="H36" s="440">
        <v>140970000</v>
      </c>
      <c r="I36" s="440">
        <v>140970000</v>
      </c>
      <c r="J36" s="443"/>
      <c r="K36" s="443"/>
      <c r="L36" s="443"/>
      <c r="M36" s="443"/>
      <c r="N36" s="443"/>
      <c r="O36" s="443"/>
      <c r="P36" s="439" t="s">
        <v>405</v>
      </c>
      <c r="Q36" s="443"/>
      <c r="R36" s="443"/>
      <c r="S36" s="440">
        <f t="shared" si="8"/>
        <v>140970000</v>
      </c>
      <c r="T36" s="440">
        <f t="shared" si="9"/>
        <v>140970000</v>
      </c>
      <c r="U36" s="440">
        <f t="shared" si="12"/>
        <v>0</v>
      </c>
      <c r="V36" s="440">
        <f t="shared" si="13"/>
        <v>0</v>
      </c>
      <c r="W36" s="441">
        <f t="shared" si="10"/>
        <v>140970000</v>
      </c>
      <c r="X36" s="441">
        <f t="shared" si="11"/>
        <v>140970000</v>
      </c>
      <c r="Y36" s="442"/>
    </row>
    <row r="37" spans="1:25" ht="30" customHeight="1">
      <c r="A37" s="439" t="s">
        <v>414</v>
      </c>
      <c r="B37" s="443"/>
      <c r="C37" s="443"/>
      <c r="D37" s="444"/>
      <c r="E37" s="444"/>
      <c r="F37" s="443"/>
      <c r="G37" s="443"/>
      <c r="H37" s="440">
        <v>84359567</v>
      </c>
      <c r="I37" s="440">
        <v>84359567</v>
      </c>
      <c r="J37" s="443"/>
      <c r="K37" s="443"/>
      <c r="L37" s="443"/>
      <c r="M37" s="443"/>
      <c r="N37" s="443"/>
      <c r="O37" s="443"/>
      <c r="P37" s="439" t="s">
        <v>414</v>
      </c>
      <c r="Q37" s="443"/>
      <c r="R37" s="443"/>
      <c r="S37" s="440">
        <f t="shared" si="8"/>
        <v>84359567</v>
      </c>
      <c r="T37" s="440">
        <f t="shared" si="9"/>
        <v>84359567</v>
      </c>
      <c r="U37" s="440">
        <f t="shared" si="12"/>
        <v>0</v>
      </c>
      <c r="V37" s="440">
        <f t="shared" si="13"/>
        <v>0</v>
      </c>
      <c r="W37" s="441">
        <f t="shared" si="10"/>
        <v>84359567</v>
      </c>
      <c r="X37" s="441">
        <f t="shared" si="11"/>
        <v>84359567</v>
      </c>
      <c r="Y37" s="442"/>
    </row>
    <row r="38" spans="1:25" ht="30" customHeight="1">
      <c r="A38" s="439" t="s">
        <v>406</v>
      </c>
      <c r="B38" s="443"/>
      <c r="C38" s="443"/>
      <c r="D38" s="444"/>
      <c r="E38" s="444"/>
      <c r="F38" s="443"/>
      <c r="G38" s="443"/>
      <c r="H38" s="440">
        <v>3600000</v>
      </c>
      <c r="I38" s="440">
        <v>3600000</v>
      </c>
      <c r="J38" s="443"/>
      <c r="K38" s="443"/>
      <c r="L38" s="443"/>
      <c r="M38" s="443"/>
      <c r="N38" s="443"/>
      <c r="O38" s="443"/>
      <c r="P38" s="439" t="s">
        <v>406</v>
      </c>
      <c r="Q38" s="443"/>
      <c r="R38" s="443"/>
      <c r="S38" s="440">
        <f t="shared" si="8"/>
        <v>3600000</v>
      </c>
      <c r="T38" s="440">
        <f t="shared" si="9"/>
        <v>3600000</v>
      </c>
      <c r="U38" s="440">
        <f t="shared" si="12"/>
        <v>0</v>
      </c>
      <c r="V38" s="440">
        <f t="shared" si="13"/>
        <v>0</v>
      </c>
      <c r="W38" s="441">
        <f t="shared" si="10"/>
        <v>3600000</v>
      </c>
      <c r="X38" s="441">
        <f t="shared" si="11"/>
        <v>3600000</v>
      </c>
      <c r="Y38" s="442"/>
    </row>
    <row r="39" spans="1:25" ht="29.25" customHeight="1">
      <c r="A39" s="439" t="s">
        <v>407</v>
      </c>
      <c r="B39" s="440"/>
      <c r="C39" s="440"/>
      <c r="D39" s="440"/>
      <c r="E39" s="440"/>
      <c r="F39" s="444"/>
      <c r="G39" s="444"/>
      <c r="H39" s="443">
        <v>9525000</v>
      </c>
      <c r="I39" s="443">
        <v>9525000</v>
      </c>
      <c r="J39" s="443"/>
      <c r="K39" s="443"/>
      <c r="L39" s="443"/>
      <c r="M39" s="443"/>
      <c r="N39" s="443"/>
      <c r="O39" s="443"/>
      <c r="P39" s="439" t="s">
        <v>407</v>
      </c>
      <c r="Q39" s="443"/>
      <c r="R39" s="443"/>
      <c r="S39" s="440">
        <f t="shared" si="8"/>
        <v>9525000</v>
      </c>
      <c r="T39" s="440">
        <f t="shared" si="9"/>
        <v>9525000</v>
      </c>
      <c r="U39" s="440">
        <f t="shared" si="12"/>
        <v>0</v>
      </c>
      <c r="V39" s="440">
        <f t="shared" si="13"/>
        <v>0</v>
      </c>
      <c r="W39" s="441">
        <f t="shared" si="10"/>
        <v>9525000</v>
      </c>
      <c r="X39" s="441">
        <f t="shared" si="11"/>
        <v>9525000</v>
      </c>
      <c r="Y39" s="442"/>
    </row>
    <row r="40" spans="1:25" ht="29.25" customHeight="1">
      <c r="A40" s="439" t="s">
        <v>415</v>
      </c>
      <c r="B40" s="440"/>
      <c r="C40" s="440"/>
      <c r="D40" s="440"/>
      <c r="E40" s="440"/>
      <c r="F40" s="444"/>
      <c r="G40" s="444"/>
      <c r="H40" s="443">
        <v>1878840</v>
      </c>
      <c r="I40" s="443">
        <v>0</v>
      </c>
      <c r="J40" s="443"/>
      <c r="K40" s="443">
        <f>1878840-1878840</f>
        <v>0</v>
      </c>
      <c r="L40" s="443"/>
      <c r="M40" s="443"/>
      <c r="N40" s="443"/>
      <c r="O40" s="443">
        <f>1878840</f>
        <v>1878840</v>
      </c>
      <c r="P40" s="439" t="s">
        <v>415</v>
      </c>
      <c r="Q40" s="443"/>
      <c r="R40" s="443"/>
      <c r="S40" s="440">
        <f t="shared" si="8"/>
        <v>1878840</v>
      </c>
      <c r="T40" s="440">
        <f t="shared" si="9"/>
        <v>0</v>
      </c>
      <c r="U40" s="440">
        <f t="shared" si="12"/>
        <v>0</v>
      </c>
      <c r="V40" s="440">
        <f t="shared" si="13"/>
        <v>1878840</v>
      </c>
      <c r="W40" s="441">
        <f t="shared" si="10"/>
        <v>1878840</v>
      </c>
      <c r="X40" s="441">
        <f t="shared" si="11"/>
        <v>1878840</v>
      </c>
      <c r="Y40" s="442"/>
    </row>
    <row r="41" spans="1:25" ht="29.25" customHeight="1">
      <c r="A41" s="439" t="s">
        <v>449</v>
      </c>
      <c r="B41" s="440"/>
      <c r="C41" s="440">
        <v>500000</v>
      </c>
      <c r="D41" s="440"/>
      <c r="E41" s="440"/>
      <c r="F41" s="444"/>
      <c r="G41" s="444"/>
      <c r="H41" s="443"/>
      <c r="I41" s="443"/>
      <c r="J41" s="443"/>
      <c r="K41" s="443"/>
      <c r="L41" s="443"/>
      <c r="M41" s="443"/>
      <c r="N41" s="443"/>
      <c r="O41" s="443"/>
      <c r="P41" s="439"/>
      <c r="Q41" s="443"/>
      <c r="R41" s="443"/>
      <c r="S41" s="440">
        <f t="shared" ref="S41:T44" si="14">SUM(B41+F41+H41+L41+Q41)</f>
        <v>0</v>
      </c>
      <c r="T41" s="440">
        <f t="shared" si="14"/>
        <v>500000</v>
      </c>
      <c r="U41" s="440">
        <f t="shared" ref="U41:V44" si="15">SUM(D41+J41+N41)</f>
        <v>0</v>
      </c>
      <c r="V41" s="440">
        <f t="shared" si="15"/>
        <v>0</v>
      </c>
      <c r="W41" s="441">
        <f t="shared" ref="W41:X44" si="16">SUM(B41+D41+F41+H41+J41+L41+N41+Q41)</f>
        <v>0</v>
      </c>
      <c r="X41" s="441">
        <f t="shared" si="16"/>
        <v>500000</v>
      </c>
      <c r="Y41" s="442"/>
    </row>
    <row r="42" spans="1:25" ht="29.25" customHeight="1">
      <c r="A42" s="439" t="s">
        <v>450</v>
      </c>
      <c r="B42" s="440"/>
      <c r="C42" s="440">
        <v>370000</v>
      </c>
      <c r="D42" s="440"/>
      <c r="E42" s="440"/>
      <c r="F42" s="444"/>
      <c r="G42" s="444"/>
      <c r="H42" s="443"/>
      <c r="I42" s="443"/>
      <c r="J42" s="443"/>
      <c r="K42" s="443"/>
      <c r="L42" s="443"/>
      <c r="M42" s="443"/>
      <c r="N42" s="443"/>
      <c r="O42" s="443"/>
      <c r="P42" s="439"/>
      <c r="Q42" s="443"/>
      <c r="R42" s="443"/>
      <c r="S42" s="440">
        <f t="shared" si="14"/>
        <v>0</v>
      </c>
      <c r="T42" s="440">
        <f t="shared" si="14"/>
        <v>370000</v>
      </c>
      <c r="U42" s="440">
        <f t="shared" si="15"/>
        <v>0</v>
      </c>
      <c r="V42" s="440">
        <f t="shared" si="15"/>
        <v>0</v>
      </c>
      <c r="W42" s="441">
        <f t="shared" si="16"/>
        <v>0</v>
      </c>
      <c r="X42" s="441">
        <f t="shared" si="16"/>
        <v>370000</v>
      </c>
      <c r="Y42" s="442"/>
    </row>
    <row r="43" spans="1:25" ht="29.25" customHeight="1">
      <c r="A43" s="439" t="s">
        <v>451</v>
      </c>
      <c r="B43" s="440"/>
      <c r="C43" s="440">
        <v>1200000</v>
      </c>
      <c r="D43" s="440"/>
      <c r="E43" s="440"/>
      <c r="F43" s="444"/>
      <c r="G43" s="444"/>
      <c r="H43" s="443"/>
      <c r="I43" s="443"/>
      <c r="J43" s="443"/>
      <c r="K43" s="443"/>
      <c r="L43" s="443"/>
      <c r="M43" s="443"/>
      <c r="N43" s="443"/>
      <c r="O43" s="443"/>
      <c r="P43" s="439"/>
      <c r="Q43" s="443"/>
      <c r="R43" s="443"/>
      <c r="S43" s="440">
        <f t="shared" si="14"/>
        <v>0</v>
      </c>
      <c r="T43" s="440">
        <f t="shared" si="14"/>
        <v>1200000</v>
      </c>
      <c r="U43" s="440">
        <f t="shared" si="15"/>
        <v>0</v>
      </c>
      <c r="V43" s="440">
        <f t="shared" si="15"/>
        <v>0</v>
      </c>
      <c r="W43" s="441">
        <f t="shared" si="16"/>
        <v>0</v>
      </c>
      <c r="X43" s="441">
        <f t="shared" si="16"/>
        <v>1200000</v>
      </c>
      <c r="Y43" s="442"/>
    </row>
    <row r="44" spans="1:25" ht="29.25" customHeight="1">
      <c r="A44" s="439" t="s">
        <v>452</v>
      </c>
      <c r="B44" s="440"/>
      <c r="C44" s="440">
        <v>50000</v>
      </c>
      <c r="D44" s="440"/>
      <c r="E44" s="440"/>
      <c r="F44" s="444"/>
      <c r="G44" s="444"/>
      <c r="H44" s="443"/>
      <c r="I44" s="443"/>
      <c r="J44" s="443"/>
      <c r="K44" s="443"/>
      <c r="L44" s="443"/>
      <c r="M44" s="443"/>
      <c r="N44" s="443"/>
      <c r="O44" s="443"/>
      <c r="P44" s="439"/>
      <c r="Q44" s="443"/>
      <c r="R44" s="443"/>
      <c r="S44" s="440">
        <f t="shared" si="14"/>
        <v>0</v>
      </c>
      <c r="T44" s="440">
        <f t="shared" si="14"/>
        <v>50000</v>
      </c>
      <c r="U44" s="440">
        <f t="shared" si="15"/>
        <v>0</v>
      </c>
      <c r="V44" s="440">
        <f t="shared" si="15"/>
        <v>0</v>
      </c>
      <c r="W44" s="441">
        <f t="shared" si="16"/>
        <v>0</v>
      </c>
      <c r="X44" s="441">
        <f t="shared" si="16"/>
        <v>50000</v>
      </c>
      <c r="Y44" s="442"/>
    </row>
    <row r="45" spans="1:25" ht="74.25" customHeight="1">
      <c r="A45" s="439" t="s">
        <v>196</v>
      </c>
      <c r="B45" s="440"/>
      <c r="C45" s="440"/>
      <c r="D45" s="440">
        <v>215340000</v>
      </c>
      <c r="E45" s="440">
        <v>215340000</v>
      </c>
      <c r="F45" s="444"/>
      <c r="G45" s="444"/>
      <c r="H45" s="443"/>
      <c r="I45" s="443"/>
      <c r="J45" s="443"/>
      <c r="K45" s="443"/>
      <c r="L45" s="443"/>
      <c r="M45" s="443"/>
      <c r="N45" s="443"/>
      <c r="O45" s="443"/>
      <c r="P45" s="439" t="s">
        <v>196</v>
      </c>
      <c r="Q45" s="443"/>
      <c r="R45" s="443"/>
      <c r="S45" s="440">
        <f t="shared" si="8"/>
        <v>0</v>
      </c>
      <c r="T45" s="440">
        <f t="shared" si="9"/>
        <v>0</v>
      </c>
      <c r="U45" s="440">
        <f t="shared" si="12"/>
        <v>215340000</v>
      </c>
      <c r="V45" s="440">
        <f t="shared" si="13"/>
        <v>215340000</v>
      </c>
      <c r="W45" s="441">
        <f t="shared" si="10"/>
        <v>215340000</v>
      </c>
      <c r="X45" s="441">
        <f t="shared" si="11"/>
        <v>215340000</v>
      </c>
      <c r="Y45" s="442"/>
    </row>
    <row r="46" spans="1:25" ht="74.25" customHeight="1">
      <c r="A46" s="439" t="s">
        <v>453</v>
      </c>
      <c r="B46" s="440"/>
      <c r="C46" s="440"/>
      <c r="D46" s="440"/>
      <c r="E46" s="440">
        <v>29999539</v>
      </c>
      <c r="F46" s="444"/>
      <c r="G46" s="444"/>
      <c r="H46" s="443"/>
      <c r="I46" s="443"/>
      <c r="J46" s="443"/>
      <c r="K46" s="443"/>
      <c r="L46" s="443"/>
      <c r="M46" s="443"/>
      <c r="N46" s="443"/>
      <c r="O46" s="443"/>
      <c r="P46" s="439"/>
      <c r="Q46" s="443"/>
      <c r="R46" s="443"/>
      <c r="S46" s="440">
        <f t="shared" ref="S46:T48" si="17">SUM(B46+F46+H46+L46+Q46)</f>
        <v>0</v>
      </c>
      <c r="T46" s="440">
        <f t="shared" si="17"/>
        <v>0</v>
      </c>
      <c r="U46" s="440">
        <f t="shared" ref="U46:V48" si="18">SUM(D46+J46+N46)</f>
        <v>0</v>
      </c>
      <c r="V46" s="440">
        <f t="shared" si="18"/>
        <v>29999539</v>
      </c>
      <c r="W46" s="441">
        <f t="shared" ref="W46:X48" si="19">SUM(B46+D46+F46+H46+J46+L46+N46+Q46)</f>
        <v>0</v>
      </c>
      <c r="X46" s="441">
        <f t="shared" si="19"/>
        <v>29999539</v>
      </c>
      <c r="Y46" s="442"/>
    </row>
    <row r="47" spans="1:25" ht="38.25" customHeight="1">
      <c r="A47" s="439" t="s">
        <v>454</v>
      </c>
      <c r="B47" s="440"/>
      <c r="C47" s="440"/>
      <c r="D47" s="440"/>
      <c r="E47" s="440">
        <v>536000</v>
      </c>
      <c r="F47" s="444"/>
      <c r="G47" s="444"/>
      <c r="H47" s="443"/>
      <c r="I47" s="443"/>
      <c r="J47" s="443"/>
      <c r="K47" s="443"/>
      <c r="L47" s="443"/>
      <c r="M47" s="443"/>
      <c r="N47" s="443"/>
      <c r="O47" s="443"/>
      <c r="P47" s="439"/>
      <c r="Q47" s="443"/>
      <c r="R47" s="443"/>
      <c r="S47" s="440">
        <f t="shared" si="17"/>
        <v>0</v>
      </c>
      <c r="T47" s="440">
        <f t="shared" si="17"/>
        <v>0</v>
      </c>
      <c r="U47" s="440">
        <f t="shared" si="18"/>
        <v>0</v>
      </c>
      <c r="V47" s="440">
        <f t="shared" si="18"/>
        <v>536000</v>
      </c>
      <c r="W47" s="441">
        <f t="shared" si="19"/>
        <v>0</v>
      </c>
      <c r="X47" s="441">
        <f t="shared" si="19"/>
        <v>536000</v>
      </c>
      <c r="Y47" s="442"/>
    </row>
    <row r="48" spans="1:25" ht="74.25" customHeight="1">
      <c r="A48" s="439" t="s">
        <v>456</v>
      </c>
      <c r="B48" s="440"/>
      <c r="C48" s="440"/>
      <c r="D48" s="440"/>
      <c r="E48" s="440"/>
      <c r="F48" s="444"/>
      <c r="G48" s="444"/>
      <c r="H48" s="443"/>
      <c r="I48" s="443"/>
      <c r="J48" s="443">
        <v>10525750</v>
      </c>
      <c r="K48" s="443">
        <v>10525750</v>
      </c>
      <c r="L48" s="443"/>
      <c r="M48" s="443"/>
      <c r="N48" s="443"/>
      <c r="O48" s="443"/>
      <c r="P48" s="439"/>
      <c r="Q48" s="443"/>
      <c r="R48" s="443"/>
      <c r="S48" s="440">
        <f t="shared" si="17"/>
        <v>0</v>
      </c>
      <c r="T48" s="440">
        <f t="shared" si="17"/>
        <v>0</v>
      </c>
      <c r="U48" s="440">
        <f t="shared" si="18"/>
        <v>10525750</v>
      </c>
      <c r="V48" s="440">
        <f t="shared" si="18"/>
        <v>10525750</v>
      </c>
      <c r="W48" s="441">
        <f t="shared" si="19"/>
        <v>10525750</v>
      </c>
      <c r="X48" s="441">
        <f t="shared" si="19"/>
        <v>10525750</v>
      </c>
      <c r="Y48" s="442"/>
    </row>
    <row r="49" spans="1:25" ht="38.25" customHeight="1">
      <c r="A49" s="457" t="s">
        <v>416</v>
      </c>
      <c r="B49" s="440"/>
      <c r="C49" s="440"/>
      <c r="D49" s="440"/>
      <c r="E49" s="440"/>
      <c r="F49" s="444"/>
      <c r="G49" s="444"/>
      <c r="H49" s="443"/>
      <c r="I49" s="443"/>
      <c r="J49" s="443">
        <v>98575986</v>
      </c>
      <c r="K49" s="443">
        <v>98575986</v>
      </c>
      <c r="L49" s="443"/>
      <c r="M49" s="443"/>
      <c r="N49" s="443"/>
      <c r="O49" s="443"/>
      <c r="P49" s="457" t="s">
        <v>416</v>
      </c>
      <c r="Q49" s="443"/>
      <c r="R49" s="443"/>
      <c r="S49" s="440">
        <f t="shared" si="8"/>
        <v>0</v>
      </c>
      <c r="T49" s="440">
        <f t="shared" si="9"/>
        <v>0</v>
      </c>
      <c r="U49" s="440">
        <f t="shared" si="12"/>
        <v>98575986</v>
      </c>
      <c r="V49" s="440">
        <f t="shared" si="13"/>
        <v>98575986</v>
      </c>
      <c r="W49" s="441">
        <f t="shared" si="10"/>
        <v>98575986</v>
      </c>
      <c r="X49" s="441">
        <f t="shared" si="11"/>
        <v>98575986</v>
      </c>
      <c r="Y49" s="442"/>
    </row>
    <row r="50" spans="1:25" ht="39" customHeight="1">
      <c r="A50" s="461" t="s">
        <v>417</v>
      </c>
      <c r="B50" s="443"/>
      <c r="C50" s="443"/>
      <c r="D50" s="444"/>
      <c r="E50" s="444"/>
      <c r="F50" s="443"/>
      <c r="G50" s="443"/>
      <c r="H50" s="440"/>
      <c r="I50" s="440"/>
      <c r="J50" s="443">
        <v>20000000</v>
      </c>
      <c r="K50" s="443">
        <v>20000000</v>
      </c>
      <c r="L50" s="443"/>
      <c r="M50" s="443"/>
      <c r="N50" s="443"/>
      <c r="O50" s="443"/>
      <c r="P50" s="461" t="s">
        <v>417</v>
      </c>
      <c r="Q50" s="443"/>
      <c r="R50" s="443"/>
      <c r="S50" s="440">
        <f t="shared" ref="S50:S62" si="20">SUM(B50+F50+H50+L50+Q50)</f>
        <v>0</v>
      </c>
      <c r="T50" s="440">
        <f t="shared" ref="T50:T62" si="21">SUM(C50+G50+I50+M50+R50)</f>
        <v>0</v>
      </c>
      <c r="U50" s="440">
        <f t="shared" si="12"/>
        <v>20000000</v>
      </c>
      <c r="V50" s="440">
        <f t="shared" si="13"/>
        <v>20000000</v>
      </c>
      <c r="W50" s="441">
        <f t="shared" ref="W50:W62" si="22">SUM(B50+D50+F50+H50+J50+L50+N50+Q50)</f>
        <v>20000000</v>
      </c>
      <c r="X50" s="441">
        <f t="shared" ref="X50:X62" si="23">SUM(C50+E50+G50+I50+K50+M50+O50+R50)</f>
        <v>20000000</v>
      </c>
      <c r="Y50" s="442"/>
    </row>
    <row r="51" spans="1:25" ht="39" customHeight="1">
      <c r="A51" s="445" t="s">
        <v>408</v>
      </c>
      <c r="B51" s="443"/>
      <c r="C51" s="443"/>
      <c r="D51" s="444"/>
      <c r="E51" s="443"/>
      <c r="F51" s="443"/>
      <c r="G51" s="443"/>
      <c r="H51" s="440"/>
      <c r="I51" s="440"/>
      <c r="J51" s="443"/>
      <c r="K51" s="443"/>
      <c r="L51" s="443"/>
      <c r="M51" s="443"/>
      <c r="N51" s="443"/>
      <c r="O51" s="443"/>
      <c r="P51" s="445" t="s">
        <v>408</v>
      </c>
      <c r="Q51" s="443">
        <v>2558448382</v>
      </c>
      <c r="R51" s="443">
        <v>2694877871</v>
      </c>
      <c r="S51" s="440">
        <f t="shared" si="20"/>
        <v>2558448382</v>
      </c>
      <c r="T51" s="440">
        <f t="shared" si="21"/>
        <v>2694877871</v>
      </c>
      <c r="U51" s="440">
        <f t="shared" si="12"/>
        <v>0</v>
      </c>
      <c r="V51" s="440">
        <f t="shared" si="13"/>
        <v>0</v>
      </c>
      <c r="W51" s="441">
        <f t="shared" si="22"/>
        <v>2558448382</v>
      </c>
      <c r="X51" s="441">
        <f t="shared" si="23"/>
        <v>2694877871</v>
      </c>
      <c r="Y51" s="442"/>
    </row>
    <row r="52" spans="1:25" ht="48.75" customHeight="1">
      <c r="A52" s="439" t="s">
        <v>418</v>
      </c>
      <c r="B52" s="443"/>
      <c r="C52" s="443">
        <v>51714618</v>
      </c>
      <c r="D52" s="444"/>
      <c r="E52" s="443"/>
      <c r="F52" s="443"/>
      <c r="G52" s="443"/>
      <c r="H52" s="440"/>
      <c r="I52" s="440"/>
      <c r="J52" s="443"/>
      <c r="K52" s="443"/>
      <c r="L52" s="443"/>
      <c r="M52" s="443"/>
      <c r="N52" s="443"/>
      <c r="O52" s="443"/>
      <c r="P52" s="439" t="s">
        <v>418</v>
      </c>
      <c r="Q52" s="443"/>
      <c r="R52" s="443"/>
      <c r="S52" s="440">
        <f t="shared" si="20"/>
        <v>0</v>
      </c>
      <c r="T52" s="440">
        <f t="shared" si="21"/>
        <v>51714618</v>
      </c>
      <c r="U52" s="440">
        <f t="shared" si="12"/>
        <v>0</v>
      </c>
      <c r="V52" s="440">
        <f t="shared" si="13"/>
        <v>0</v>
      </c>
      <c r="W52" s="441">
        <f t="shared" si="22"/>
        <v>0</v>
      </c>
      <c r="X52" s="441">
        <f t="shared" si="23"/>
        <v>51714618</v>
      </c>
      <c r="Y52" s="442"/>
    </row>
    <row r="53" spans="1:25" ht="60" customHeight="1">
      <c r="A53" s="439" t="s">
        <v>420</v>
      </c>
      <c r="B53" s="443"/>
      <c r="C53" s="443"/>
      <c r="D53" s="444"/>
      <c r="E53" s="443">
        <v>11000000</v>
      </c>
      <c r="F53" s="443"/>
      <c r="G53" s="443"/>
      <c r="H53" s="440"/>
      <c r="I53" s="440"/>
      <c r="J53" s="443"/>
      <c r="K53" s="443"/>
      <c r="L53" s="443"/>
      <c r="M53" s="443"/>
      <c r="N53" s="443"/>
      <c r="O53" s="443"/>
      <c r="P53" s="439" t="s">
        <v>420</v>
      </c>
      <c r="Q53" s="443"/>
      <c r="R53" s="443"/>
      <c r="S53" s="440">
        <f t="shared" si="20"/>
        <v>0</v>
      </c>
      <c r="T53" s="440">
        <f t="shared" si="21"/>
        <v>0</v>
      </c>
      <c r="U53" s="440">
        <f t="shared" si="12"/>
        <v>0</v>
      </c>
      <c r="V53" s="440">
        <f t="shared" si="13"/>
        <v>11000000</v>
      </c>
      <c r="W53" s="441">
        <f t="shared" si="22"/>
        <v>0</v>
      </c>
      <c r="X53" s="441">
        <f t="shared" si="23"/>
        <v>11000000</v>
      </c>
      <c r="Y53" s="442"/>
    </row>
    <row r="54" spans="1:25" ht="99" customHeight="1">
      <c r="A54" s="439" t="s">
        <v>421</v>
      </c>
      <c r="B54" s="443"/>
      <c r="C54" s="443"/>
      <c r="D54" s="444"/>
      <c r="E54" s="443">
        <v>20000000</v>
      </c>
      <c r="F54" s="443"/>
      <c r="G54" s="443"/>
      <c r="H54" s="440"/>
      <c r="I54" s="440"/>
      <c r="J54" s="443"/>
      <c r="K54" s="443"/>
      <c r="L54" s="443"/>
      <c r="M54" s="443"/>
      <c r="N54" s="443"/>
      <c r="O54" s="443"/>
      <c r="P54" s="439" t="s">
        <v>421</v>
      </c>
      <c r="Q54" s="443"/>
      <c r="R54" s="443"/>
      <c r="S54" s="440">
        <f t="shared" si="20"/>
        <v>0</v>
      </c>
      <c r="T54" s="440">
        <f t="shared" si="21"/>
        <v>0</v>
      </c>
      <c r="U54" s="440">
        <f t="shared" si="12"/>
        <v>0</v>
      </c>
      <c r="V54" s="440">
        <f t="shared" si="13"/>
        <v>20000000</v>
      </c>
      <c r="W54" s="441">
        <f t="shared" si="22"/>
        <v>0</v>
      </c>
      <c r="X54" s="441">
        <f t="shared" si="23"/>
        <v>20000000</v>
      </c>
      <c r="Y54" s="442"/>
    </row>
    <row r="55" spans="1:25" ht="110.25" customHeight="1">
      <c r="A55" s="439" t="s">
        <v>422</v>
      </c>
      <c r="B55" s="443"/>
      <c r="C55" s="443"/>
      <c r="D55" s="444"/>
      <c r="E55" s="443">
        <v>244000000</v>
      </c>
      <c r="F55" s="443"/>
      <c r="G55" s="443"/>
      <c r="H55" s="440"/>
      <c r="I55" s="440"/>
      <c r="J55" s="443"/>
      <c r="K55" s="443"/>
      <c r="L55" s="443"/>
      <c r="M55" s="443"/>
      <c r="N55" s="443"/>
      <c r="O55" s="443"/>
      <c r="P55" s="439" t="s">
        <v>422</v>
      </c>
      <c r="Q55" s="443"/>
      <c r="R55" s="443"/>
      <c r="S55" s="440">
        <f t="shared" si="20"/>
        <v>0</v>
      </c>
      <c r="T55" s="440">
        <f t="shared" si="21"/>
        <v>0</v>
      </c>
      <c r="U55" s="440">
        <f t="shared" si="12"/>
        <v>0</v>
      </c>
      <c r="V55" s="440">
        <f t="shared" si="13"/>
        <v>244000000</v>
      </c>
      <c r="W55" s="441">
        <f t="shared" si="22"/>
        <v>0</v>
      </c>
      <c r="X55" s="441">
        <f t="shared" si="23"/>
        <v>244000000</v>
      </c>
      <c r="Y55" s="442"/>
    </row>
    <row r="56" spans="1:25" ht="88.5" customHeight="1">
      <c r="A56" s="445" t="s">
        <v>423</v>
      </c>
      <c r="B56" s="443"/>
      <c r="C56" s="443"/>
      <c r="D56" s="444"/>
      <c r="E56" s="443">
        <v>10000000</v>
      </c>
      <c r="F56" s="443"/>
      <c r="G56" s="443"/>
      <c r="H56" s="440"/>
      <c r="I56" s="440"/>
      <c r="J56" s="443"/>
      <c r="K56" s="443"/>
      <c r="L56" s="443"/>
      <c r="M56" s="443"/>
      <c r="N56" s="443"/>
      <c r="O56" s="443"/>
      <c r="P56" s="445" t="s">
        <v>423</v>
      </c>
      <c r="Q56" s="443"/>
      <c r="R56" s="443"/>
      <c r="S56" s="440">
        <f t="shared" si="20"/>
        <v>0</v>
      </c>
      <c r="T56" s="440">
        <f t="shared" si="21"/>
        <v>0</v>
      </c>
      <c r="U56" s="440">
        <f t="shared" si="12"/>
        <v>0</v>
      </c>
      <c r="V56" s="440">
        <f t="shared" si="13"/>
        <v>10000000</v>
      </c>
      <c r="W56" s="441">
        <f t="shared" si="22"/>
        <v>0</v>
      </c>
      <c r="X56" s="441">
        <f t="shared" si="23"/>
        <v>10000000</v>
      </c>
      <c r="Y56" s="442"/>
    </row>
    <row r="57" spans="1:25" ht="88.5" customHeight="1">
      <c r="A57" s="445" t="s">
        <v>424</v>
      </c>
      <c r="B57" s="443"/>
      <c r="C57" s="443"/>
      <c r="D57" s="444"/>
      <c r="E57" s="443">
        <v>4400000</v>
      </c>
      <c r="F57" s="443"/>
      <c r="G57" s="443"/>
      <c r="H57" s="440"/>
      <c r="I57" s="440"/>
      <c r="J57" s="443"/>
      <c r="K57" s="443"/>
      <c r="L57" s="443"/>
      <c r="M57" s="443"/>
      <c r="N57" s="443"/>
      <c r="O57" s="443"/>
      <c r="P57" s="445" t="s">
        <v>424</v>
      </c>
      <c r="Q57" s="443"/>
      <c r="R57" s="443"/>
      <c r="S57" s="440">
        <f t="shared" si="20"/>
        <v>0</v>
      </c>
      <c r="T57" s="440">
        <f t="shared" si="21"/>
        <v>0</v>
      </c>
      <c r="U57" s="440">
        <f t="shared" si="12"/>
        <v>0</v>
      </c>
      <c r="V57" s="440">
        <f t="shared" si="13"/>
        <v>4400000</v>
      </c>
      <c r="W57" s="441">
        <f t="shared" si="22"/>
        <v>0</v>
      </c>
      <c r="X57" s="441">
        <f t="shared" si="23"/>
        <v>4400000</v>
      </c>
      <c r="Y57" s="442"/>
    </row>
    <row r="58" spans="1:25" ht="88.5" customHeight="1">
      <c r="A58" s="445" t="s">
        <v>477</v>
      </c>
      <c r="B58" s="443"/>
      <c r="C58" s="443"/>
      <c r="D58" s="444"/>
      <c r="E58" s="443">
        <v>554050000</v>
      </c>
      <c r="F58" s="443"/>
      <c r="G58" s="443"/>
      <c r="H58" s="440"/>
      <c r="I58" s="440"/>
      <c r="J58" s="443"/>
      <c r="K58" s="443"/>
      <c r="L58" s="443"/>
      <c r="M58" s="443"/>
      <c r="N58" s="443"/>
      <c r="O58" s="443"/>
      <c r="P58" s="445" t="s">
        <v>424</v>
      </c>
      <c r="Q58" s="443"/>
      <c r="R58" s="443"/>
      <c r="S58" s="440">
        <f>SUM(B58+F58+H58+L58+Q58)</f>
        <v>0</v>
      </c>
      <c r="T58" s="440">
        <f>SUM(C58+G58+I58+M58+R58)</f>
        <v>0</v>
      </c>
      <c r="U58" s="440">
        <f>SUM(D58+J58+N58)</f>
        <v>0</v>
      </c>
      <c r="V58" s="440">
        <f>SUM(E58+K58+O58)</f>
        <v>554050000</v>
      </c>
      <c r="W58" s="441">
        <f>SUM(B58+D58+F58+H58+J58+L58+N58+Q58)</f>
        <v>0</v>
      </c>
      <c r="X58" s="441">
        <f>SUM(C58+E58+G58+I58+K58+M58+O58+R58)</f>
        <v>554050000</v>
      </c>
      <c r="Y58" s="442"/>
    </row>
    <row r="59" spans="1:25" ht="36" customHeight="1" thickBot="1">
      <c r="A59" s="445" t="s">
        <v>455</v>
      </c>
      <c r="B59" s="443"/>
      <c r="C59" s="443"/>
      <c r="D59" s="444"/>
      <c r="E59" s="443"/>
      <c r="F59" s="443"/>
      <c r="G59" s="443"/>
      <c r="H59" s="440"/>
      <c r="I59" s="440"/>
      <c r="J59" s="443"/>
      <c r="K59" s="443"/>
      <c r="L59" s="443"/>
      <c r="M59" s="443"/>
      <c r="N59" s="443"/>
      <c r="O59" s="443"/>
      <c r="P59" s="445" t="s">
        <v>424</v>
      </c>
      <c r="Q59" s="443"/>
      <c r="R59" s="443">
        <f>100000000+58351238</f>
        <v>158351238</v>
      </c>
      <c r="S59" s="440">
        <f t="shared" si="20"/>
        <v>0</v>
      </c>
      <c r="T59" s="440">
        <f t="shared" si="21"/>
        <v>158351238</v>
      </c>
      <c r="U59" s="440">
        <f t="shared" si="12"/>
        <v>0</v>
      </c>
      <c r="V59" s="440">
        <f t="shared" si="13"/>
        <v>0</v>
      </c>
      <c r="W59" s="441">
        <f t="shared" si="22"/>
        <v>0</v>
      </c>
      <c r="X59" s="441">
        <f t="shared" si="23"/>
        <v>158351238</v>
      </c>
      <c r="Y59" s="442"/>
    </row>
    <row r="60" spans="1:25" ht="48.75" hidden="1" customHeight="1">
      <c r="A60" s="445"/>
      <c r="B60" s="443"/>
      <c r="C60" s="443"/>
      <c r="D60" s="444"/>
      <c r="E60" s="443"/>
      <c r="F60" s="443"/>
      <c r="G60" s="443"/>
      <c r="H60" s="440"/>
      <c r="I60" s="440"/>
      <c r="J60" s="443"/>
      <c r="K60" s="443"/>
      <c r="L60" s="443"/>
      <c r="M60" s="443"/>
      <c r="N60" s="443"/>
      <c r="O60" s="443"/>
      <c r="P60" s="439"/>
      <c r="Q60" s="443"/>
      <c r="R60" s="443"/>
      <c r="S60" s="440">
        <f t="shared" si="20"/>
        <v>0</v>
      </c>
      <c r="T60" s="440">
        <f t="shared" si="21"/>
        <v>0</v>
      </c>
      <c r="U60" s="440">
        <f t="shared" si="12"/>
        <v>0</v>
      </c>
      <c r="V60" s="440">
        <f t="shared" si="13"/>
        <v>0</v>
      </c>
      <c r="W60" s="441">
        <f t="shared" si="22"/>
        <v>0</v>
      </c>
      <c r="X60" s="441">
        <f t="shared" si="23"/>
        <v>0</v>
      </c>
      <c r="Y60" s="442"/>
    </row>
    <row r="61" spans="1:25" ht="48.75" hidden="1" customHeight="1">
      <c r="A61" s="439"/>
      <c r="B61" s="443"/>
      <c r="C61" s="443"/>
      <c r="D61" s="444"/>
      <c r="E61" s="443"/>
      <c r="F61" s="443"/>
      <c r="G61" s="443"/>
      <c r="H61" s="440"/>
      <c r="I61" s="440"/>
      <c r="J61" s="443"/>
      <c r="K61" s="443"/>
      <c r="L61" s="443"/>
      <c r="M61" s="443"/>
      <c r="N61" s="443"/>
      <c r="O61" s="443"/>
      <c r="P61" s="439"/>
      <c r="Q61" s="443"/>
      <c r="R61" s="443"/>
      <c r="S61" s="440">
        <f t="shared" si="20"/>
        <v>0</v>
      </c>
      <c r="T61" s="440">
        <f t="shared" si="21"/>
        <v>0</v>
      </c>
      <c r="U61" s="440">
        <f t="shared" si="12"/>
        <v>0</v>
      </c>
      <c r="V61" s="440">
        <f t="shared" si="13"/>
        <v>0</v>
      </c>
      <c r="W61" s="441">
        <f t="shared" si="22"/>
        <v>0</v>
      </c>
      <c r="X61" s="441">
        <f t="shared" si="23"/>
        <v>0</v>
      </c>
      <c r="Y61" s="442"/>
    </row>
    <row r="62" spans="1:25" ht="48.75" hidden="1" customHeight="1" thickBot="1">
      <c r="A62" s="439"/>
      <c r="B62" s="443"/>
      <c r="C62" s="443"/>
      <c r="D62" s="444"/>
      <c r="E62" s="443"/>
      <c r="F62" s="443"/>
      <c r="G62" s="443"/>
      <c r="H62" s="440"/>
      <c r="I62" s="440"/>
      <c r="J62" s="443"/>
      <c r="K62" s="443"/>
      <c r="L62" s="443"/>
      <c r="M62" s="443"/>
      <c r="N62" s="443"/>
      <c r="O62" s="443"/>
      <c r="P62" s="439"/>
      <c r="Q62" s="443"/>
      <c r="R62" s="443"/>
      <c r="S62" s="440">
        <f t="shared" si="20"/>
        <v>0</v>
      </c>
      <c r="T62" s="440">
        <f t="shared" si="21"/>
        <v>0</v>
      </c>
      <c r="U62" s="440">
        <f t="shared" si="12"/>
        <v>0</v>
      </c>
      <c r="V62" s="440">
        <f t="shared" si="13"/>
        <v>0</v>
      </c>
      <c r="W62" s="441">
        <f t="shared" si="22"/>
        <v>0</v>
      </c>
      <c r="X62" s="441">
        <f t="shared" si="23"/>
        <v>0</v>
      </c>
      <c r="Y62" s="442"/>
    </row>
    <row r="63" spans="1:25" ht="48.75" hidden="1" customHeight="1">
      <c r="A63" s="439"/>
      <c r="B63" s="443"/>
      <c r="C63" s="443"/>
      <c r="D63" s="444"/>
      <c r="E63" s="443"/>
      <c r="F63" s="443"/>
      <c r="G63" s="443"/>
      <c r="H63" s="440"/>
      <c r="I63" s="440"/>
      <c r="J63" s="443"/>
      <c r="K63" s="443"/>
      <c r="L63" s="443"/>
      <c r="M63" s="443"/>
      <c r="N63" s="443"/>
      <c r="O63" s="443"/>
      <c r="P63" s="439"/>
      <c r="Q63" s="443"/>
      <c r="R63" s="443"/>
      <c r="S63" s="440" t="e">
        <f>SUM(B63+F63+H63+L63+#REF!+Q63)</f>
        <v>#REF!</v>
      </c>
      <c r="T63" s="440" t="e">
        <f>SUM(C63+G63+I63+M63+#REF!+R63)</f>
        <v>#REF!</v>
      </c>
      <c r="U63" s="440" t="e">
        <f>SUM(D63+J63+N63+#REF!)</f>
        <v>#REF!</v>
      </c>
      <c r="V63" s="440" t="e">
        <f>SUM(E63+K63+O63+#REF!)</f>
        <v>#REF!</v>
      </c>
      <c r="W63" s="441" t="e">
        <f>SUM(B63+D63+F63+H63+J63+L63+N63+#REF!+#REF!+Q63)</f>
        <v>#REF!</v>
      </c>
      <c r="X63" s="441" t="e">
        <f>SUM(C63+E63+G63+I63+K63+M63+O63+#REF!+#REF!+R63)</f>
        <v>#REF!</v>
      </c>
      <c r="Y63" s="442"/>
    </row>
    <row r="64" spans="1:25" ht="48.75" hidden="1" customHeight="1">
      <c r="A64" s="439"/>
      <c r="B64" s="443"/>
      <c r="C64" s="443"/>
      <c r="D64" s="444"/>
      <c r="E64" s="443"/>
      <c r="F64" s="443"/>
      <c r="G64" s="443"/>
      <c r="H64" s="440"/>
      <c r="I64" s="440"/>
      <c r="J64" s="443"/>
      <c r="K64" s="443"/>
      <c r="L64" s="443"/>
      <c r="M64" s="443"/>
      <c r="N64" s="443"/>
      <c r="O64" s="443"/>
      <c r="P64" s="439"/>
      <c r="Q64" s="443"/>
      <c r="R64" s="443"/>
      <c r="S64" s="440" t="e">
        <f>SUM(B64+F64+H64+L64+#REF!+Q64)</f>
        <v>#REF!</v>
      </c>
      <c r="T64" s="440" t="e">
        <f>SUM(C64+G64+I64+M64+#REF!+R64)</f>
        <v>#REF!</v>
      </c>
      <c r="U64" s="440" t="e">
        <f>SUM(D64+J64+N64+#REF!)</f>
        <v>#REF!</v>
      </c>
      <c r="V64" s="440" t="e">
        <f>SUM(E64+K64+O64+#REF!)</f>
        <v>#REF!</v>
      </c>
      <c r="W64" s="441" t="e">
        <f>SUM(B64+D64+F64+H64+J64+L64+N64+#REF!+#REF!+Q64)</f>
        <v>#REF!</v>
      </c>
      <c r="X64" s="441" t="e">
        <f>SUM(C64+E64+G64+I64+K64+M64+O64+#REF!+#REF!+R64)</f>
        <v>#REF!</v>
      </c>
      <c r="Y64" s="442"/>
    </row>
    <row r="65" spans="1:25" ht="48.75" hidden="1" customHeight="1">
      <c r="A65" s="439"/>
      <c r="B65" s="443"/>
      <c r="C65" s="443"/>
      <c r="D65" s="444"/>
      <c r="E65" s="443"/>
      <c r="F65" s="443"/>
      <c r="G65" s="443"/>
      <c r="H65" s="440"/>
      <c r="I65" s="440"/>
      <c r="J65" s="443"/>
      <c r="K65" s="443"/>
      <c r="L65" s="443"/>
      <c r="M65" s="443"/>
      <c r="N65" s="443"/>
      <c r="O65" s="443"/>
      <c r="P65" s="439"/>
      <c r="Q65" s="443"/>
      <c r="R65" s="443"/>
      <c r="S65" s="440" t="e">
        <f>SUM(B65+F65+H65+L65+#REF!+Q65)</f>
        <v>#REF!</v>
      </c>
      <c r="T65" s="440" t="e">
        <f>SUM(C65+G65+I65+M65+#REF!+R65)</f>
        <v>#REF!</v>
      </c>
      <c r="U65" s="440" t="e">
        <f>SUM(D65+J65+N65+#REF!)</f>
        <v>#REF!</v>
      </c>
      <c r="V65" s="440" t="e">
        <f>SUM(E65+K65+O65+#REF!)</f>
        <v>#REF!</v>
      </c>
      <c r="W65" s="441" t="e">
        <f>SUM(B65+D65+F65+H65+J65+L65+N65+#REF!+#REF!+Q65)</f>
        <v>#REF!</v>
      </c>
      <c r="X65" s="441" t="e">
        <f>SUM(C65+E65+G65+I65+K65+M65+O65+#REF!+#REF!+R65)</f>
        <v>#REF!</v>
      </c>
      <c r="Y65" s="442"/>
    </row>
    <row r="66" spans="1:25" ht="48.75" hidden="1" customHeight="1">
      <c r="A66" s="439"/>
      <c r="B66" s="443"/>
      <c r="C66" s="443"/>
      <c r="D66" s="444"/>
      <c r="E66" s="443"/>
      <c r="F66" s="443"/>
      <c r="G66" s="443"/>
      <c r="H66" s="440"/>
      <c r="I66" s="440"/>
      <c r="J66" s="443"/>
      <c r="K66" s="443"/>
      <c r="L66" s="443"/>
      <c r="M66" s="443"/>
      <c r="N66" s="443"/>
      <c r="O66" s="443"/>
      <c r="P66" s="439"/>
      <c r="Q66" s="443"/>
      <c r="R66" s="443"/>
      <c r="S66" s="440" t="e">
        <f>SUM(B66+F66+H66+L66+#REF!+Q66)</f>
        <v>#REF!</v>
      </c>
      <c r="T66" s="440" t="e">
        <f>SUM(C66+G66+I66+M66+#REF!+R66)</f>
        <v>#REF!</v>
      </c>
      <c r="U66" s="440" t="e">
        <f>SUM(D66+J66+N66+#REF!)</f>
        <v>#REF!</v>
      </c>
      <c r="V66" s="440" t="e">
        <f>SUM(E66+K66+O66+#REF!)</f>
        <v>#REF!</v>
      </c>
      <c r="W66" s="441" t="e">
        <f>SUM(B66+D66+F66+H66+J66+L66+N66+#REF!+#REF!+Q66)</f>
        <v>#REF!</v>
      </c>
      <c r="X66" s="441" t="e">
        <f>SUM(C66+E66+G66+I66+K66+M66+O66+#REF!+#REF!+R66)</f>
        <v>#REF!</v>
      </c>
      <c r="Y66" s="442"/>
    </row>
    <row r="67" spans="1:25" ht="48.75" hidden="1" customHeight="1">
      <c r="A67" s="439"/>
      <c r="B67" s="443"/>
      <c r="C67" s="443"/>
      <c r="D67" s="444"/>
      <c r="E67" s="443"/>
      <c r="F67" s="443"/>
      <c r="G67" s="443"/>
      <c r="H67" s="440"/>
      <c r="I67" s="440"/>
      <c r="J67" s="443"/>
      <c r="K67" s="443"/>
      <c r="L67" s="443"/>
      <c r="M67" s="443"/>
      <c r="N67" s="443"/>
      <c r="O67" s="443"/>
      <c r="P67" s="439"/>
      <c r="Q67" s="443"/>
      <c r="R67" s="443"/>
      <c r="S67" s="440" t="e">
        <f>SUM(B67+F67+H67+L67+#REF!+Q67)</f>
        <v>#REF!</v>
      </c>
      <c r="T67" s="440" t="e">
        <f>SUM(C67+G67+I67+M67+#REF!+R67)</f>
        <v>#REF!</v>
      </c>
      <c r="U67" s="440" t="e">
        <f>SUM(D67+J67+N67+#REF!)</f>
        <v>#REF!</v>
      </c>
      <c r="V67" s="440" t="e">
        <f>SUM(E67+K67+O67+#REF!)</f>
        <v>#REF!</v>
      </c>
      <c r="W67" s="441" t="e">
        <f>SUM(B67+D67+F67+H67+J67+L67+N67+#REF!+#REF!+Q67)</f>
        <v>#REF!</v>
      </c>
      <c r="X67" s="441" t="e">
        <f>SUM(C67+E67+G67+I67+K67+M67+O67+#REF!+#REF!+R67)</f>
        <v>#REF!</v>
      </c>
      <c r="Y67" s="442"/>
    </row>
    <row r="68" spans="1:25" ht="48.75" hidden="1" customHeight="1">
      <c r="A68" s="439"/>
      <c r="B68" s="443"/>
      <c r="C68" s="443"/>
      <c r="D68" s="444"/>
      <c r="E68" s="443"/>
      <c r="F68" s="443"/>
      <c r="G68" s="443"/>
      <c r="H68" s="440"/>
      <c r="I68" s="440"/>
      <c r="J68" s="443"/>
      <c r="K68" s="443"/>
      <c r="L68" s="443"/>
      <c r="M68" s="443"/>
      <c r="N68" s="443"/>
      <c r="O68" s="443"/>
      <c r="P68" s="439"/>
      <c r="Q68" s="443"/>
      <c r="R68" s="443"/>
      <c r="S68" s="440" t="e">
        <f>SUM(B68+F68+H68+L68+#REF!+Q68)</f>
        <v>#REF!</v>
      </c>
      <c r="T68" s="440" t="e">
        <f>SUM(C68+G68+I68+M68+#REF!+R68)</f>
        <v>#REF!</v>
      </c>
      <c r="U68" s="440" t="e">
        <f>SUM(D68+J68+N68+#REF!)</f>
        <v>#REF!</v>
      </c>
      <c r="V68" s="440" t="e">
        <f>SUM(E68+K68+O68+#REF!)</f>
        <v>#REF!</v>
      </c>
      <c r="W68" s="441" t="e">
        <f>SUM(B68+D68+F68+H68+J68+L68+N68+#REF!+#REF!+Q68)</f>
        <v>#REF!</v>
      </c>
      <c r="X68" s="441" t="e">
        <f>SUM(C68+E68+G68+I68+K68+M68+O68+#REF!+#REF!+R68)</f>
        <v>#REF!</v>
      </c>
      <c r="Y68" s="442"/>
    </row>
    <row r="69" spans="1:25" ht="48.75" hidden="1" customHeight="1">
      <c r="A69" s="439"/>
      <c r="B69" s="443"/>
      <c r="C69" s="443"/>
      <c r="D69" s="444"/>
      <c r="E69" s="443"/>
      <c r="F69" s="443"/>
      <c r="G69" s="443"/>
      <c r="H69" s="440"/>
      <c r="I69" s="440"/>
      <c r="J69" s="443"/>
      <c r="K69" s="443"/>
      <c r="L69" s="443"/>
      <c r="M69" s="443"/>
      <c r="N69" s="443"/>
      <c r="O69" s="443"/>
      <c r="P69" s="439"/>
      <c r="Q69" s="443"/>
      <c r="R69" s="443"/>
      <c r="S69" s="440" t="e">
        <f>SUM(B69+F69+H69+L69+#REF!+Q69)</f>
        <v>#REF!</v>
      </c>
      <c r="T69" s="440" t="e">
        <f>SUM(C69+G69+I69+M69+#REF!+R69)</f>
        <v>#REF!</v>
      </c>
      <c r="U69" s="440" t="e">
        <f>SUM(D69+J69+N69+#REF!)</f>
        <v>#REF!</v>
      </c>
      <c r="V69" s="440" t="e">
        <f>SUM(E69+K69+O69+#REF!)</f>
        <v>#REF!</v>
      </c>
      <c r="W69" s="441" t="e">
        <f>SUM(B69+D69+F69+H69+J69+L69+N69+#REF!+#REF!+Q69)</f>
        <v>#REF!</v>
      </c>
      <c r="X69" s="441" t="e">
        <f>SUM(C69+E69+G69+I69+K69+M69+O69+#REF!+#REF!+R69)</f>
        <v>#REF!</v>
      </c>
      <c r="Y69" s="442"/>
    </row>
    <row r="70" spans="1:25" ht="48.75" hidden="1" customHeight="1">
      <c r="A70" s="445"/>
      <c r="B70" s="446"/>
      <c r="C70" s="446"/>
      <c r="D70" s="447"/>
      <c r="E70" s="446"/>
      <c r="F70" s="446"/>
      <c r="G70" s="446"/>
      <c r="H70" s="448"/>
      <c r="I70" s="448"/>
      <c r="J70" s="446"/>
      <c r="K70" s="446"/>
      <c r="L70" s="446"/>
      <c r="M70" s="446"/>
      <c r="N70" s="446"/>
      <c r="O70" s="446"/>
      <c r="P70" s="445"/>
      <c r="Q70" s="446"/>
      <c r="R70" s="446"/>
      <c r="S70" s="440" t="e">
        <f>SUM(B70+F70+H70+L70+#REF!+Q70)</f>
        <v>#REF!</v>
      </c>
      <c r="T70" s="440" t="e">
        <f>SUM(C70+G70+I70+M70+#REF!+R70)</f>
        <v>#REF!</v>
      </c>
      <c r="U70" s="440" t="e">
        <f>SUM(D70+J70+N70+#REF!)</f>
        <v>#REF!</v>
      </c>
      <c r="V70" s="440" t="e">
        <f>SUM(E70+K70+O70+#REF!)</f>
        <v>#REF!</v>
      </c>
      <c r="W70" s="441"/>
      <c r="X70" s="441" t="e">
        <f>SUM(C70+E70+G70+I70+K70+M70+O70+#REF!+#REF!+R70)</f>
        <v>#REF!</v>
      </c>
      <c r="Y70" s="442"/>
    </row>
    <row r="71" spans="1:25" ht="48.75" hidden="1" customHeight="1">
      <c r="A71" s="445"/>
      <c r="B71" s="446"/>
      <c r="C71" s="446"/>
      <c r="D71" s="447"/>
      <c r="E71" s="446"/>
      <c r="F71" s="446"/>
      <c r="G71" s="446"/>
      <c r="H71" s="448"/>
      <c r="I71" s="448"/>
      <c r="J71" s="446"/>
      <c r="K71" s="446"/>
      <c r="L71" s="446"/>
      <c r="M71" s="446"/>
      <c r="N71" s="446"/>
      <c r="O71" s="446"/>
      <c r="P71" s="445"/>
      <c r="Q71" s="446"/>
      <c r="R71" s="446"/>
      <c r="S71" s="440" t="e">
        <f>SUM(B71+F71+H71+L71+#REF!+Q71)</f>
        <v>#REF!</v>
      </c>
      <c r="T71" s="440" t="e">
        <f>SUM(C71+G71+I71+M71+#REF!+R71)</f>
        <v>#REF!</v>
      </c>
      <c r="U71" s="440" t="e">
        <f>SUM(D71+J71+N71+#REF!)</f>
        <v>#REF!</v>
      </c>
      <c r="V71" s="440" t="e">
        <f>SUM(E71+K71+O71+#REF!)</f>
        <v>#REF!</v>
      </c>
      <c r="W71" s="441" t="e">
        <f>SUM(B71+D71+F71+H71+J71+L71+N71+#REF!+#REF!+Q71)</f>
        <v>#REF!</v>
      </c>
      <c r="X71" s="441" t="e">
        <f>SUM(C71+E71+G71+I71+K71+M71+O71+#REF!+#REF!+R71)</f>
        <v>#REF!</v>
      </c>
      <c r="Y71" s="442"/>
    </row>
    <row r="72" spans="1:25" ht="30" hidden="1" customHeight="1" thickBot="1">
      <c r="A72" s="445"/>
      <c r="B72" s="443"/>
      <c r="C72" s="443"/>
      <c r="D72" s="444"/>
      <c r="E72" s="444"/>
      <c r="F72" s="443"/>
      <c r="G72" s="443"/>
      <c r="H72" s="440"/>
      <c r="I72" s="440"/>
      <c r="J72" s="443"/>
      <c r="K72" s="443"/>
      <c r="L72" s="443"/>
      <c r="M72" s="443"/>
      <c r="N72" s="443"/>
      <c r="O72" s="443"/>
      <c r="P72" s="445"/>
      <c r="Q72" s="443"/>
      <c r="R72" s="443"/>
      <c r="S72" s="440" t="e">
        <f>SUM(B72+F72+H72+L72+#REF!+Q72)</f>
        <v>#REF!</v>
      </c>
      <c r="T72" s="440" t="e">
        <f>SUM(C72+G72+I72+M72+#REF!+R72)</f>
        <v>#REF!</v>
      </c>
      <c r="U72" s="440" t="e">
        <f>SUM(D72+J72+N72+#REF!)</f>
        <v>#REF!</v>
      </c>
      <c r="V72" s="440" t="e">
        <f>SUM(E72+K72+O72+#REF!)</f>
        <v>#REF!</v>
      </c>
      <c r="W72" s="440" t="e">
        <f>SUM(B72+D72+F72+H72+J72+L72+N72+#REF!+#REF!+Q72)</f>
        <v>#REF!</v>
      </c>
      <c r="X72" s="441" t="e">
        <f>SUM(C72+E72+G72+I72+K72+M72+O72+#REF!+#REF!+R72)</f>
        <v>#REF!</v>
      </c>
      <c r="Y72" s="442"/>
    </row>
    <row r="73" spans="1:25" s="452" customFormat="1" ht="42.75" customHeight="1" thickBot="1">
      <c r="A73" s="458" t="s">
        <v>409</v>
      </c>
      <c r="B73" s="450">
        <f t="shared" ref="B73:O73" si="24">SUM(B34:B72)</f>
        <v>0</v>
      </c>
      <c r="C73" s="450">
        <f t="shared" si="24"/>
        <v>53834618</v>
      </c>
      <c r="D73" s="450">
        <f t="shared" si="24"/>
        <v>215340000</v>
      </c>
      <c r="E73" s="450">
        <f t="shared" si="24"/>
        <v>1089325539</v>
      </c>
      <c r="F73" s="450">
        <f t="shared" si="24"/>
        <v>0</v>
      </c>
      <c r="G73" s="450">
        <f t="shared" si="24"/>
        <v>0</v>
      </c>
      <c r="H73" s="450">
        <f t="shared" si="24"/>
        <v>328333407</v>
      </c>
      <c r="I73" s="450">
        <f t="shared" si="24"/>
        <v>326454567</v>
      </c>
      <c r="J73" s="450">
        <f t="shared" si="24"/>
        <v>129101736</v>
      </c>
      <c r="K73" s="450">
        <f t="shared" si="24"/>
        <v>129101736</v>
      </c>
      <c r="L73" s="450">
        <f t="shared" si="24"/>
        <v>0</v>
      </c>
      <c r="M73" s="450">
        <f t="shared" si="24"/>
        <v>0</v>
      </c>
      <c r="N73" s="450">
        <f t="shared" si="24"/>
        <v>0</v>
      </c>
      <c r="O73" s="450">
        <f t="shared" si="24"/>
        <v>1878840</v>
      </c>
      <c r="P73" s="458" t="s">
        <v>409</v>
      </c>
      <c r="Q73" s="450">
        <f>SUM(Q34:Q72)</f>
        <v>2558448382</v>
      </c>
      <c r="R73" s="450">
        <f>SUM(R34:R72)</f>
        <v>2853229109</v>
      </c>
      <c r="S73" s="450">
        <f t="shared" ref="S73:X73" si="25">SUM(S34:S62)</f>
        <v>2886781789</v>
      </c>
      <c r="T73" s="450">
        <f t="shared" si="25"/>
        <v>3233518294</v>
      </c>
      <c r="U73" s="450">
        <f t="shared" si="25"/>
        <v>344441736</v>
      </c>
      <c r="V73" s="450">
        <f t="shared" si="25"/>
        <v>1220306115</v>
      </c>
      <c r="W73" s="450">
        <f t="shared" si="25"/>
        <v>3231223525</v>
      </c>
      <c r="X73" s="450">
        <f t="shared" si="25"/>
        <v>4453824409</v>
      </c>
    </row>
    <row r="74" spans="1:25" s="452" customFormat="1" ht="42.75" customHeight="1" thickBot="1">
      <c r="A74" s="459" t="s">
        <v>410</v>
      </c>
      <c r="B74" s="450">
        <f t="shared" ref="B74:O74" si="26">SUM(B32+B73)</f>
        <v>1646628833</v>
      </c>
      <c r="C74" s="450">
        <f t="shared" si="26"/>
        <v>1856306888</v>
      </c>
      <c r="D74" s="450">
        <f t="shared" si="26"/>
        <v>215340000</v>
      </c>
      <c r="E74" s="450">
        <f t="shared" si="26"/>
        <v>1089325539</v>
      </c>
      <c r="F74" s="450">
        <f t="shared" si="26"/>
        <v>650730000</v>
      </c>
      <c r="G74" s="450">
        <f t="shared" si="26"/>
        <v>690730000</v>
      </c>
      <c r="H74" s="450">
        <f t="shared" si="26"/>
        <v>332033407</v>
      </c>
      <c r="I74" s="450">
        <f t="shared" si="26"/>
        <v>330154567</v>
      </c>
      <c r="J74" s="450">
        <f t="shared" si="26"/>
        <v>129101736</v>
      </c>
      <c r="K74" s="450">
        <f t="shared" si="26"/>
        <v>129101736</v>
      </c>
      <c r="L74" s="450">
        <f t="shared" si="26"/>
        <v>0</v>
      </c>
      <c r="M74" s="450">
        <f t="shared" si="26"/>
        <v>0</v>
      </c>
      <c r="N74" s="450">
        <f t="shared" si="26"/>
        <v>0</v>
      </c>
      <c r="O74" s="450">
        <f t="shared" si="26"/>
        <v>1878840</v>
      </c>
      <c r="P74" s="459" t="s">
        <v>410</v>
      </c>
      <c r="Q74" s="450">
        <f t="shared" ref="Q74:X74" si="27">SUM(Q32+Q73)</f>
        <v>2558448382</v>
      </c>
      <c r="R74" s="450">
        <f t="shared" si="27"/>
        <v>2853229109</v>
      </c>
      <c r="S74" s="450">
        <f t="shared" si="27"/>
        <v>5187840622</v>
      </c>
      <c r="T74" s="450">
        <f t="shared" si="27"/>
        <v>5730420564</v>
      </c>
      <c r="U74" s="450">
        <f t="shared" si="27"/>
        <v>344441736</v>
      </c>
      <c r="V74" s="450">
        <f t="shared" si="27"/>
        <v>1220306115</v>
      </c>
      <c r="W74" s="450">
        <f t="shared" si="27"/>
        <v>5532282358</v>
      </c>
      <c r="X74" s="450">
        <f t="shared" si="27"/>
        <v>6950726679</v>
      </c>
    </row>
    <row r="76" spans="1:25">
      <c r="T76" s="442"/>
      <c r="V76" s="442"/>
      <c r="X76" s="442"/>
    </row>
    <row r="77" spans="1:25">
      <c r="X77" s="442"/>
    </row>
    <row r="78" spans="1:25">
      <c r="J78" s="442"/>
      <c r="K78" s="442"/>
    </row>
  </sheetData>
  <mergeCells count="28">
    <mergeCell ref="P9:P12"/>
    <mergeCell ref="L10:M11"/>
    <mergeCell ref="N10:O11"/>
    <mergeCell ref="S10:X10"/>
    <mergeCell ref="A5:O5"/>
    <mergeCell ref="Q5:X5"/>
    <mergeCell ref="A6:O6"/>
    <mergeCell ref="Q6:X6"/>
    <mergeCell ref="U8:W8"/>
    <mergeCell ref="A9:A12"/>
    <mergeCell ref="B9:C9"/>
    <mergeCell ref="D9:E9"/>
    <mergeCell ref="F9:G9"/>
    <mergeCell ref="H9:I9"/>
    <mergeCell ref="J9:K9"/>
    <mergeCell ref="L9:M9"/>
    <mergeCell ref="N9:O9"/>
    <mergeCell ref="Q9:R9"/>
    <mergeCell ref="S11:T11"/>
    <mergeCell ref="U11:V11"/>
    <mergeCell ref="W11:X11"/>
    <mergeCell ref="Q10:R11"/>
    <mergeCell ref="S9:X9"/>
    <mergeCell ref="B10:C11"/>
    <mergeCell ref="D10:E11"/>
    <mergeCell ref="F10:G11"/>
    <mergeCell ref="H10:I11"/>
    <mergeCell ref="J10:K11"/>
  </mergeCells>
  <pageMargins left="0.7" right="0.7" top="0.75" bottom="0.75" header="0.3" footer="0.3"/>
  <pageSetup paperSize="9" scale="2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7"/>
  <sheetViews>
    <sheetView view="pageBreakPreview" zoomScale="73" zoomScaleSheetLayoutView="73" workbookViewId="0">
      <selection sqref="A1:AB1"/>
    </sheetView>
  </sheetViews>
  <sheetFormatPr defaultRowHeight="15"/>
  <cols>
    <col min="1" max="1" width="55.7109375" style="222" customWidth="1"/>
    <col min="2" max="15" width="14.5703125" style="1" customWidth="1"/>
    <col min="16" max="16" width="55.7109375" style="222" customWidth="1"/>
    <col min="17" max="24" width="14.5703125" style="1" customWidth="1"/>
    <col min="25" max="25" width="14.5703125" style="4" customWidth="1"/>
    <col min="26" max="26" width="19.85546875" style="4" customWidth="1"/>
    <col min="27" max="27" width="13.28515625" style="1" customWidth="1"/>
    <col min="28" max="28" width="14.140625" style="1" customWidth="1"/>
    <col min="29" max="29" width="13.5703125" style="222" customWidth="1"/>
    <col min="30" max="30" width="11.5703125" style="222" customWidth="1"/>
    <col min="31" max="32" width="13" style="222" customWidth="1"/>
    <col min="33" max="33" width="15.140625" style="222" customWidth="1"/>
    <col min="34" max="16384" width="9.140625" style="222"/>
  </cols>
  <sheetData>
    <row r="1" spans="1:54" s="224" customFormat="1" ht="15.75">
      <c r="A1" s="504" t="s">
        <v>482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2"/>
      <c r="AD1" s="2"/>
      <c r="AE1" s="2"/>
      <c r="AF1" s="2"/>
      <c r="AG1" s="2"/>
    </row>
    <row r="2" spans="1:5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88" t="s">
        <v>283</v>
      </c>
      <c r="P2" s="23"/>
      <c r="Q2" s="23"/>
      <c r="R2" s="23"/>
      <c r="S2" s="23"/>
      <c r="T2" s="23"/>
      <c r="U2" s="23"/>
      <c r="V2" s="23"/>
      <c r="W2" s="23"/>
      <c r="X2" s="23"/>
      <c r="Y2" s="25"/>
      <c r="Z2" s="288" t="s">
        <v>284</v>
      </c>
      <c r="AA2" s="23"/>
      <c r="AB2" s="23"/>
      <c r="AC2" s="24"/>
      <c r="AD2" s="24"/>
      <c r="AE2" s="24"/>
      <c r="AF2" s="24"/>
      <c r="AG2" s="24"/>
    </row>
    <row r="3" spans="1:5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5"/>
      <c r="Z3" s="25"/>
      <c r="AA3" s="23"/>
      <c r="AB3" s="23"/>
      <c r="AC3" s="24"/>
      <c r="AD3" s="24"/>
      <c r="AE3" s="24"/>
      <c r="AF3" s="24"/>
      <c r="AG3" s="24"/>
    </row>
    <row r="4" spans="1:54">
      <c r="A4" s="2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3"/>
      <c r="Q4" s="26"/>
      <c r="R4" s="26"/>
      <c r="S4" s="26"/>
      <c r="T4" s="26"/>
      <c r="U4" s="26"/>
      <c r="V4" s="26"/>
      <c r="W4" s="26"/>
      <c r="X4" s="26"/>
      <c r="Y4" s="27"/>
      <c r="Z4" s="27"/>
      <c r="AA4" s="26"/>
      <c r="AB4" s="26"/>
      <c r="AC4" s="24"/>
      <c r="AD4" s="24"/>
      <c r="AE4" s="24"/>
      <c r="AF4" s="24"/>
      <c r="AG4" s="24"/>
    </row>
    <row r="5" spans="1:54" s="29" customFormat="1" ht="39.75" customHeight="1">
      <c r="A5" s="563" t="s">
        <v>146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 t="s">
        <v>285</v>
      </c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</row>
    <row r="6" spans="1:54" ht="15.7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16.5" thickBo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564" t="s">
        <v>0</v>
      </c>
      <c r="X7" s="564"/>
      <c r="Y7" s="564"/>
      <c r="Z7" s="272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s="291" customFormat="1" ht="13.5" customHeight="1" thickBot="1">
      <c r="A8" s="565" t="s">
        <v>95</v>
      </c>
      <c r="B8" s="289" t="s">
        <v>18</v>
      </c>
      <c r="C8" s="289" t="s">
        <v>18</v>
      </c>
      <c r="D8" s="289" t="s">
        <v>19</v>
      </c>
      <c r="E8" s="289" t="s">
        <v>19</v>
      </c>
      <c r="F8" s="289" t="s">
        <v>20</v>
      </c>
      <c r="G8" s="289" t="s">
        <v>20</v>
      </c>
      <c r="H8" s="289" t="s">
        <v>21</v>
      </c>
      <c r="I8" s="289" t="s">
        <v>21</v>
      </c>
      <c r="J8" s="289" t="s">
        <v>22</v>
      </c>
      <c r="K8" s="289" t="s">
        <v>22</v>
      </c>
      <c r="L8" s="289" t="s">
        <v>23</v>
      </c>
      <c r="M8" s="289" t="s">
        <v>23</v>
      </c>
      <c r="N8" s="289" t="s">
        <v>24</v>
      </c>
      <c r="O8" s="289" t="s">
        <v>24</v>
      </c>
      <c r="P8" s="565" t="s">
        <v>95</v>
      </c>
      <c r="Q8" s="568" t="s">
        <v>25</v>
      </c>
      <c r="R8" s="569"/>
      <c r="S8" s="569"/>
      <c r="T8" s="570"/>
      <c r="U8" s="571" t="s">
        <v>26</v>
      </c>
      <c r="V8" s="571"/>
      <c r="W8" s="571"/>
      <c r="X8" s="571"/>
      <c r="Y8" s="571"/>
      <c r="Z8" s="571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</row>
    <row r="9" spans="1:54" s="293" customFormat="1" ht="15.75" customHeight="1" thickBot="1">
      <c r="A9" s="566"/>
      <c r="B9" s="556" t="s">
        <v>212</v>
      </c>
      <c r="C9" s="557"/>
      <c r="D9" s="556" t="s">
        <v>230</v>
      </c>
      <c r="E9" s="557"/>
      <c r="F9" s="556" t="s">
        <v>27</v>
      </c>
      <c r="G9" s="557"/>
      <c r="H9" s="556" t="s">
        <v>28</v>
      </c>
      <c r="I9" s="557"/>
      <c r="J9" s="556" t="s">
        <v>29</v>
      </c>
      <c r="K9" s="557"/>
      <c r="L9" s="556" t="s">
        <v>2</v>
      </c>
      <c r="M9" s="557"/>
      <c r="N9" s="556" t="s">
        <v>3</v>
      </c>
      <c r="O9" s="557"/>
      <c r="P9" s="566"/>
      <c r="Q9" s="560" t="s">
        <v>4</v>
      </c>
      <c r="R9" s="561"/>
      <c r="S9" s="561"/>
      <c r="T9" s="562"/>
      <c r="U9" s="572" t="s">
        <v>13</v>
      </c>
      <c r="V9" s="572"/>
      <c r="W9" s="572"/>
      <c r="X9" s="572"/>
      <c r="Y9" s="572"/>
      <c r="Z9" s="57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</row>
    <row r="10" spans="1:54" s="293" customFormat="1" ht="51" customHeight="1" thickBot="1">
      <c r="A10" s="566"/>
      <c r="B10" s="558"/>
      <c r="C10" s="559"/>
      <c r="D10" s="558"/>
      <c r="E10" s="559"/>
      <c r="F10" s="558"/>
      <c r="G10" s="559"/>
      <c r="H10" s="558"/>
      <c r="I10" s="559"/>
      <c r="J10" s="558"/>
      <c r="K10" s="559"/>
      <c r="L10" s="558"/>
      <c r="M10" s="559"/>
      <c r="N10" s="558"/>
      <c r="O10" s="559"/>
      <c r="P10" s="566"/>
      <c r="Q10" s="560" t="s">
        <v>96</v>
      </c>
      <c r="R10" s="562"/>
      <c r="S10" s="560" t="s">
        <v>97</v>
      </c>
      <c r="T10" s="562"/>
      <c r="U10" s="572" t="s">
        <v>39</v>
      </c>
      <c r="V10" s="572"/>
      <c r="W10" s="572" t="s">
        <v>40</v>
      </c>
      <c r="X10" s="572"/>
      <c r="Y10" s="572" t="s">
        <v>13</v>
      </c>
      <c r="Z10" s="57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</row>
    <row r="11" spans="1:54" s="292" customFormat="1" ht="51" customHeight="1" thickBot="1">
      <c r="A11" s="567"/>
      <c r="B11" s="294" t="s">
        <v>148</v>
      </c>
      <c r="C11" s="294" t="s">
        <v>149</v>
      </c>
      <c r="D11" s="294" t="s">
        <v>148</v>
      </c>
      <c r="E11" s="294" t="s">
        <v>149</v>
      </c>
      <c r="F11" s="294" t="s">
        <v>148</v>
      </c>
      <c r="G11" s="294" t="s">
        <v>149</v>
      </c>
      <c r="H11" s="294" t="s">
        <v>148</v>
      </c>
      <c r="I11" s="294" t="s">
        <v>149</v>
      </c>
      <c r="J11" s="294" t="s">
        <v>148</v>
      </c>
      <c r="K11" s="294" t="s">
        <v>149</v>
      </c>
      <c r="L11" s="294" t="s">
        <v>148</v>
      </c>
      <c r="M11" s="294" t="s">
        <v>149</v>
      </c>
      <c r="N11" s="294" t="s">
        <v>148</v>
      </c>
      <c r="O11" s="294" t="s">
        <v>149</v>
      </c>
      <c r="P11" s="567"/>
      <c r="Q11" s="294" t="s">
        <v>148</v>
      </c>
      <c r="R11" s="294" t="s">
        <v>149</v>
      </c>
      <c r="S11" s="294" t="s">
        <v>148</v>
      </c>
      <c r="T11" s="294" t="s">
        <v>149</v>
      </c>
      <c r="U11" s="294" t="s">
        <v>148</v>
      </c>
      <c r="V11" s="294" t="s">
        <v>149</v>
      </c>
      <c r="W11" s="294" t="s">
        <v>148</v>
      </c>
      <c r="X11" s="294" t="s">
        <v>149</v>
      </c>
      <c r="Y11" s="294" t="s">
        <v>148</v>
      </c>
      <c r="Z11" s="294" t="s">
        <v>149</v>
      </c>
    </row>
    <row r="12" spans="1:54" s="34" customFormat="1" ht="21" customHeight="1">
      <c r="A12" s="30" t="s">
        <v>15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0" t="s">
        <v>15</v>
      </c>
      <c r="Q12" s="31"/>
      <c r="R12" s="31"/>
      <c r="S12" s="31"/>
      <c r="T12" s="31"/>
      <c r="U12" s="31"/>
      <c r="V12" s="31"/>
      <c r="W12" s="31"/>
      <c r="X12" s="31"/>
      <c r="Y12" s="32"/>
      <c r="Z12" s="32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</row>
    <row r="13" spans="1:54" s="34" customFormat="1" ht="21" customHeight="1">
      <c r="A13" s="35" t="s">
        <v>41</v>
      </c>
      <c r="B13" s="36"/>
      <c r="C13" s="36">
        <f>8585568+874501+8104630+11343453</f>
        <v>28908152</v>
      </c>
      <c r="D13" s="36"/>
      <c r="E13" s="36"/>
      <c r="F13" s="36"/>
      <c r="G13" s="36"/>
      <c r="H13" s="36">
        <v>5689000</v>
      </c>
      <c r="I13" s="36">
        <v>5689000</v>
      </c>
      <c r="J13" s="36"/>
      <c r="K13" s="36"/>
      <c r="L13" s="36"/>
      <c r="M13" s="36"/>
      <c r="N13" s="36"/>
      <c r="O13" s="36"/>
      <c r="P13" s="35" t="s">
        <v>41</v>
      </c>
      <c r="Q13" s="36"/>
      <c r="R13" s="36">
        <v>3678426</v>
      </c>
      <c r="S13" s="36">
        <v>635946000</v>
      </c>
      <c r="T13" s="36">
        <f>S13+14500250+180287+3385924-11025050</f>
        <v>642987411</v>
      </c>
      <c r="U13" s="36">
        <f>SUM(B13+F13+H13+L13+S13)</f>
        <v>641635000</v>
      </c>
      <c r="V13" s="36">
        <f>SUM(C13+G13+I13+M13+T13+R13)</f>
        <v>681262989</v>
      </c>
      <c r="W13" s="36">
        <f>SUM(D13+J13+N13)</f>
        <v>0</v>
      </c>
      <c r="X13" s="36">
        <f>SUM(E13+K13+O13)</f>
        <v>0</v>
      </c>
      <c r="Y13" s="37">
        <f>SUM(U13+W13)</f>
        <v>641635000</v>
      </c>
      <c r="Z13" s="37">
        <f>SUM(V13+X13)</f>
        <v>681262989</v>
      </c>
      <c r="AA13" s="38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</row>
    <row r="14" spans="1:54" s="34" customFormat="1" ht="21" customHeight="1" thickBot="1">
      <c r="A14" s="276" t="s">
        <v>59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276" t="s">
        <v>59</v>
      </c>
      <c r="Q14" s="39"/>
      <c r="R14" s="39"/>
      <c r="S14" s="39"/>
      <c r="T14" s="39"/>
      <c r="U14" s="40">
        <f>SUM(B14+F14+H14+L14+S14)</f>
        <v>0</v>
      </c>
      <c r="V14" s="40">
        <f>SUM(C14+G14+I14+M14+T14)</f>
        <v>0</v>
      </c>
      <c r="W14" s="40">
        <f>SUM(D14+J14+N14)</f>
        <v>0</v>
      </c>
      <c r="X14" s="40">
        <f>SUM(E14+K14+O14)</f>
        <v>0</v>
      </c>
      <c r="Y14" s="37">
        <f>SUM(U14+W14)</f>
        <v>0</v>
      </c>
      <c r="Z14" s="37">
        <f>SUM(V14+X14)</f>
        <v>0</v>
      </c>
      <c r="AA14" s="38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</row>
    <row r="15" spans="1:54" s="299" customFormat="1" ht="26.25" customHeight="1" thickBot="1">
      <c r="A15" s="295" t="s">
        <v>98</v>
      </c>
      <c r="B15" s="296">
        <f>B13+B14</f>
        <v>0</v>
      </c>
      <c r="C15" s="296">
        <f>C13+C14</f>
        <v>28908152</v>
      </c>
      <c r="D15" s="296">
        <f t="shared" ref="D15:Z15" si="0">D13+D14</f>
        <v>0</v>
      </c>
      <c r="E15" s="296">
        <f t="shared" si="0"/>
        <v>0</v>
      </c>
      <c r="F15" s="296">
        <f t="shared" si="0"/>
        <v>0</v>
      </c>
      <c r="G15" s="296">
        <f t="shared" si="0"/>
        <v>0</v>
      </c>
      <c r="H15" s="296">
        <f t="shared" si="0"/>
        <v>5689000</v>
      </c>
      <c r="I15" s="296">
        <f t="shared" si="0"/>
        <v>5689000</v>
      </c>
      <c r="J15" s="296">
        <f t="shared" si="0"/>
        <v>0</v>
      </c>
      <c r="K15" s="296">
        <f t="shared" si="0"/>
        <v>0</v>
      </c>
      <c r="L15" s="296">
        <f t="shared" si="0"/>
        <v>0</v>
      </c>
      <c r="M15" s="296">
        <f t="shared" si="0"/>
        <v>0</v>
      </c>
      <c r="N15" s="296">
        <f t="shared" si="0"/>
        <v>0</v>
      </c>
      <c r="O15" s="296">
        <f t="shared" si="0"/>
        <v>0</v>
      </c>
      <c r="P15" s="295" t="s">
        <v>98</v>
      </c>
      <c r="Q15" s="296">
        <f>Q13+Q14</f>
        <v>0</v>
      </c>
      <c r="R15" s="296">
        <f>R13+R14</f>
        <v>3678426</v>
      </c>
      <c r="S15" s="296">
        <f t="shared" si="0"/>
        <v>635946000</v>
      </c>
      <c r="T15" s="296">
        <f t="shared" si="0"/>
        <v>642987411</v>
      </c>
      <c r="U15" s="296">
        <f t="shared" si="0"/>
        <v>641635000</v>
      </c>
      <c r="V15" s="296">
        <f t="shared" si="0"/>
        <v>681262989</v>
      </c>
      <c r="W15" s="296">
        <f t="shared" si="0"/>
        <v>0</v>
      </c>
      <c r="X15" s="296">
        <f t="shared" si="0"/>
        <v>0</v>
      </c>
      <c r="Y15" s="296">
        <f t="shared" si="0"/>
        <v>641635000</v>
      </c>
      <c r="Z15" s="296">
        <f t="shared" si="0"/>
        <v>681262989</v>
      </c>
      <c r="AA15" s="297"/>
      <c r="AB15" s="297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</row>
    <row r="16" spans="1:54" s="34" customFormat="1" ht="36.75" customHeight="1">
      <c r="A16" s="30" t="s">
        <v>99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0" t="s">
        <v>99</v>
      </c>
      <c r="Q16" s="40"/>
      <c r="R16" s="40"/>
      <c r="S16" s="40"/>
      <c r="T16" s="40"/>
      <c r="U16" s="40"/>
      <c r="V16" s="40"/>
      <c r="W16" s="40"/>
      <c r="X16" s="40"/>
      <c r="Y16" s="41"/>
      <c r="Z16" s="41"/>
      <c r="AA16" s="38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</row>
    <row r="17" spans="1:54" s="34" customFormat="1" ht="24.75" customHeight="1">
      <c r="A17" s="35" t="s">
        <v>41</v>
      </c>
      <c r="B17" s="36">
        <v>15500000</v>
      </c>
      <c r="C17" s="36">
        <f>15500000+8360220+12500000+24546947+50000+9656280+1389000</f>
        <v>72002447</v>
      </c>
      <c r="D17" s="36"/>
      <c r="E17" s="36"/>
      <c r="F17" s="36"/>
      <c r="G17" s="36"/>
      <c r="H17" s="36">
        <v>48029080</v>
      </c>
      <c r="I17" s="36">
        <v>48029080</v>
      </c>
      <c r="J17" s="36"/>
      <c r="K17" s="36"/>
      <c r="L17" s="36"/>
      <c r="M17" s="36"/>
      <c r="N17" s="36"/>
      <c r="O17" s="36"/>
      <c r="P17" s="35" t="s">
        <v>41</v>
      </c>
      <c r="Q17" s="36"/>
      <c r="R17" s="36">
        <v>4112193</v>
      </c>
      <c r="S17" s="36">
        <v>99875666</v>
      </c>
      <c r="T17" s="36">
        <f>SUM(S17+11119421+19429522+4372462+15000000+4092426)</f>
        <v>153889497</v>
      </c>
      <c r="U17" s="36">
        <f>SUM(B17+F17+H17+L17+S17)</f>
        <v>163404746</v>
      </c>
      <c r="V17" s="36">
        <f>SUM(C17+G17+I17+M17+T17+R17)</f>
        <v>278033217</v>
      </c>
      <c r="W17" s="36">
        <f>SUM(D17+J17+N17)</f>
        <v>0</v>
      </c>
      <c r="X17" s="36">
        <f>SUM(E17+K17+O17)</f>
        <v>0</v>
      </c>
      <c r="Y17" s="37">
        <f>SUM(U17+W17)</f>
        <v>163404746</v>
      </c>
      <c r="Z17" s="37">
        <f>SUM(V17+X17)</f>
        <v>278033217</v>
      </c>
      <c r="AA17" s="38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</row>
    <row r="18" spans="1:54" s="34" customFormat="1" ht="24.75" customHeight="1" thickBot="1">
      <c r="A18" s="276" t="s">
        <v>59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276" t="s">
        <v>59</v>
      </c>
      <c r="Q18" s="39"/>
      <c r="R18" s="39"/>
      <c r="S18" s="39"/>
      <c r="T18" s="39"/>
      <c r="U18" s="40">
        <f>SUM(B18+F18+H18+L18+S18)</f>
        <v>0</v>
      </c>
      <c r="V18" s="40">
        <f>SUM(C18+G18+I18+M18+T18)</f>
        <v>0</v>
      </c>
      <c r="W18" s="40">
        <f>SUM(D18+J18+N18)</f>
        <v>0</v>
      </c>
      <c r="X18" s="40">
        <f>SUM(E18+K18+O18)</f>
        <v>0</v>
      </c>
      <c r="Y18" s="37">
        <f>SUM(U18+W18)</f>
        <v>0</v>
      </c>
      <c r="Z18" s="37">
        <f>SUM(V18+X18)</f>
        <v>0</v>
      </c>
      <c r="AA18" s="38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1:54" s="34" customFormat="1" ht="32.25" thickBot="1">
      <c r="A19" s="295" t="s">
        <v>100</v>
      </c>
      <c r="B19" s="296">
        <f>B17+B18</f>
        <v>15500000</v>
      </c>
      <c r="C19" s="296">
        <f>C17+C18</f>
        <v>72002447</v>
      </c>
      <c r="D19" s="296">
        <f t="shared" ref="D19:V19" si="1">D17+D18</f>
        <v>0</v>
      </c>
      <c r="E19" s="296">
        <f t="shared" si="1"/>
        <v>0</v>
      </c>
      <c r="F19" s="296">
        <f t="shared" si="1"/>
        <v>0</v>
      </c>
      <c r="G19" s="296">
        <f t="shared" si="1"/>
        <v>0</v>
      </c>
      <c r="H19" s="296">
        <f t="shared" si="1"/>
        <v>48029080</v>
      </c>
      <c r="I19" s="296">
        <f t="shared" si="1"/>
        <v>48029080</v>
      </c>
      <c r="J19" s="296">
        <f t="shared" si="1"/>
        <v>0</v>
      </c>
      <c r="K19" s="296">
        <f t="shared" si="1"/>
        <v>0</v>
      </c>
      <c r="L19" s="296">
        <f t="shared" si="1"/>
        <v>0</v>
      </c>
      <c r="M19" s="296">
        <f t="shared" si="1"/>
        <v>0</v>
      </c>
      <c r="N19" s="296">
        <f t="shared" si="1"/>
        <v>0</v>
      </c>
      <c r="O19" s="296">
        <f t="shared" si="1"/>
        <v>0</v>
      </c>
      <c r="P19" s="295" t="s">
        <v>100</v>
      </c>
      <c r="Q19" s="296">
        <f>Q17+Q18</f>
        <v>0</v>
      </c>
      <c r="R19" s="296">
        <f>R17+R18</f>
        <v>4112193</v>
      </c>
      <c r="S19" s="296">
        <f t="shared" si="1"/>
        <v>99875666</v>
      </c>
      <c r="T19" s="296">
        <f t="shared" si="1"/>
        <v>153889497</v>
      </c>
      <c r="U19" s="296">
        <f t="shared" si="1"/>
        <v>163404746</v>
      </c>
      <c r="V19" s="296">
        <f t="shared" si="1"/>
        <v>278033217</v>
      </c>
      <c r="W19" s="296">
        <f>W17+W18</f>
        <v>0</v>
      </c>
      <c r="X19" s="296">
        <f>X17+X18</f>
        <v>0</v>
      </c>
      <c r="Y19" s="296">
        <f>Y17+Y18</f>
        <v>163404746</v>
      </c>
      <c r="Z19" s="296">
        <f>Z17+Z18</f>
        <v>278033217</v>
      </c>
      <c r="AA19" s="38"/>
      <c r="AB19" s="297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</row>
    <row r="20" spans="1:54" s="34" customFormat="1" ht="23.25" customHeight="1">
      <c r="A20" s="30" t="s">
        <v>101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0" t="s">
        <v>101</v>
      </c>
      <c r="Q20" s="40"/>
      <c r="R20" s="40"/>
      <c r="S20" s="40"/>
      <c r="T20" s="40"/>
      <c r="U20" s="40"/>
      <c r="V20" s="40"/>
      <c r="W20" s="40"/>
      <c r="X20" s="40"/>
      <c r="Y20" s="41"/>
      <c r="Z20" s="41"/>
      <c r="AA20" s="38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</row>
    <row r="21" spans="1:54" s="34" customFormat="1" ht="23.25" customHeight="1">
      <c r="A21" s="35" t="s">
        <v>41</v>
      </c>
      <c r="B21" s="36"/>
      <c r="C21" s="36"/>
      <c r="D21" s="36"/>
      <c r="E21" s="36"/>
      <c r="F21" s="36"/>
      <c r="G21" s="36"/>
      <c r="H21" s="36">
        <v>101253198</v>
      </c>
      <c r="I21" s="36">
        <f>101253198-50000000</f>
        <v>51253198</v>
      </c>
      <c r="J21" s="36"/>
      <c r="K21" s="36"/>
      <c r="L21" s="36"/>
      <c r="M21" s="36"/>
      <c r="N21" s="36"/>
      <c r="O21" s="36"/>
      <c r="P21" s="35" t="s">
        <v>41</v>
      </c>
      <c r="Q21" s="36">
        <v>114167900</v>
      </c>
      <c r="R21" s="36">
        <f>2842684</f>
        <v>2842684</v>
      </c>
      <c r="S21" s="36">
        <v>220336045</v>
      </c>
      <c r="T21" s="36">
        <f>SUM(S21+8901820+296720-13977948+50000000+27198220)</f>
        <v>292754857</v>
      </c>
      <c r="U21" s="36">
        <f>SUM(B21+F21+H21+L21+S21+Q21)</f>
        <v>435757143</v>
      </c>
      <c r="V21" s="36">
        <f>SUM(C21+G21+I21+M21+T21+R21)</f>
        <v>346850739</v>
      </c>
      <c r="W21" s="40">
        <f>SUM(D21+J21+N21)</f>
        <v>0</v>
      </c>
      <c r="X21" s="36">
        <f>E21+K21+O21</f>
        <v>0</v>
      </c>
      <c r="Y21" s="37">
        <f t="shared" ref="Y21:Z24" si="2">SUM(U21+W21)</f>
        <v>435757143</v>
      </c>
      <c r="Z21" s="37">
        <f t="shared" si="2"/>
        <v>346850739</v>
      </c>
      <c r="AA21" s="38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</row>
    <row r="22" spans="1:54" s="34" customFormat="1" ht="23.25" customHeight="1">
      <c r="A22" s="276" t="s">
        <v>427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76" t="s">
        <v>427</v>
      </c>
      <c r="Q22" s="40"/>
      <c r="R22" s="40">
        <v>114167900</v>
      </c>
      <c r="S22" s="40"/>
      <c r="T22" s="40"/>
      <c r="U22" s="40">
        <f>SUM(B22+F22+H22+L22+S22+Q22)</f>
        <v>0</v>
      </c>
      <c r="V22" s="40">
        <v>0</v>
      </c>
      <c r="W22" s="39">
        <f>SUM(D22+J22+N22)</f>
        <v>0</v>
      </c>
      <c r="X22" s="40">
        <f>SUM(R22)</f>
        <v>114167900</v>
      </c>
      <c r="Y22" s="41">
        <f t="shared" si="2"/>
        <v>0</v>
      </c>
      <c r="Z22" s="41">
        <f t="shared" si="2"/>
        <v>114167900</v>
      </c>
      <c r="AA22" s="38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1:54" s="34" customFormat="1" ht="23.25" customHeight="1">
      <c r="A23" s="276" t="s">
        <v>457</v>
      </c>
      <c r="B23" s="39"/>
      <c r="C23" s="39">
        <v>2681600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276" t="s">
        <v>457</v>
      </c>
      <c r="Q23" s="39"/>
      <c r="R23" s="39"/>
      <c r="S23" s="39"/>
      <c r="T23" s="39"/>
      <c r="U23" s="56">
        <f>SUM(B23+F23+H23+L23+S23+Q23)</f>
        <v>0</v>
      </c>
      <c r="V23" s="56">
        <f>SUM(C23+G23+I23+M23+T23+R23)</f>
        <v>2681600</v>
      </c>
      <c r="W23" s="56">
        <f>SUM(D23+J23+N23)</f>
        <v>0</v>
      </c>
      <c r="X23" s="56">
        <f>SUM(R23)</f>
        <v>0</v>
      </c>
      <c r="Y23" s="479">
        <f t="shared" si="2"/>
        <v>0</v>
      </c>
      <c r="Z23" s="479">
        <f t="shared" si="2"/>
        <v>2681600</v>
      </c>
      <c r="AA23" s="38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</row>
    <row r="24" spans="1:54" s="34" customFormat="1" ht="23.25" customHeight="1" thickBot="1">
      <c r="A24" s="276" t="s">
        <v>426</v>
      </c>
      <c r="B24" s="39"/>
      <c r="C24" s="39">
        <f>185602942+40646800+111552009</f>
        <v>337801751</v>
      </c>
      <c r="D24" s="39"/>
      <c r="E24" s="39"/>
      <c r="F24" s="39"/>
      <c r="G24" s="39"/>
      <c r="H24" s="39"/>
      <c r="I24" s="39">
        <f>882232+591580</f>
        <v>1473812</v>
      </c>
      <c r="J24" s="39"/>
      <c r="K24" s="39"/>
      <c r="L24" s="39"/>
      <c r="M24" s="39"/>
      <c r="N24" s="39"/>
      <c r="O24" s="39"/>
      <c r="P24" s="276" t="s">
        <v>426</v>
      </c>
      <c r="Q24" s="39"/>
      <c r="R24" s="39">
        <v>42227104</v>
      </c>
      <c r="S24" s="39"/>
      <c r="T24" s="39"/>
      <c r="U24" s="40">
        <f>SUM(B24+F24+H24+L24+S24)</f>
        <v>0</v>
      </c>
      <c r="V24" s="40">
        <f>SUM(C24+G24+I24+M24+T24+R24)</f>
        <v>381502667</v>
      </c>
      <c r="W24" s="40">
        <f>SUM(D24+J24+N24)</f>
        <v>0</v>
      </c>
      <c r="X24" s="36">
        <f>E24+K24+O24</f>
        <v>0</v>
      </c>
      <c r="Y24" s="37">
        <f t="shared" si="2"/>
        <v>0</v>
      </c>
      <c r="Z24" s="37">
        <f t="shared" si="2"/>
        <v>381502667</v>
      </c>
      <c r="AA24" s="38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1:54" s="302" customFormat="1" ht="16.5" thickBot="1">
      <c r="A25" s="295" t="s">
        <v>102</v>
      </c>
      <c r="B25" s="296">
        <f>SUM(B21:B24)</f>
        <v>0</v>
      </c>
      <c r="C25" s="296">
        <f t="shared" ref="C25:O25" si="3">SUM(C21:C24)</f>
        <v>340483351</v>
      </c>
      <c r="D25" s="296">
        <f t="shared" si="3"/>
        <v>0</v>
      </c>
      <c r="E25" s="296">
        <f t="shared" si="3"/>
        <v>0</v>
      </c>
      <c r="F25" s="296">
        <f t="shared" si="3"/>
        <v>0</v>
      </c>
      <c r="G25" s="296">
        <f t="shared" si="3"/>
        <v>0</v>
      </c>
      <c r="H25" s="296">
        <f t="shared" si="3"/>
        <v>101253198</v>
      </c>
      <c r="I25" s="296">
        <f t="shared" si="3"/>
        <v>52727010</v>
      </c>
      <c r="J25" s="296">
        <f t="shared" si="3"/>
        <v>0</v>
      </c>
      <c r="K25" s="296">
        <f t="shared" si="3"/>
        <v>0</v>
      </c>
      <c r="L25" s="296">
        <f t="shared" si="3"/>
        <v>0</v>
      </c>
      <c r="M25" s="296">
        <f t="shared" si="3"/>
        <v>0</v>
      </c>
      <c r="N25" s="296">
        <f t="shared" si="3"/>
        <v>0</v>
      </c>
      <c r="O25" s="296">
        <f t="shared" si="3"/>
        <v>0</v>
      </c>
      <c r="P25" s="295" t="s">
        <v>102</v>
      </c>
      <c r="Q25" s="296">
        <f>SUM(Q21:Q24)</f>
        <v>114167900</v>
      </c>
      <c r="R25" s="296">
        <f t="shared" ref="R25:Z25" si="4">SUM(R21:R24)</f>
        <v>159237688</v>
      </c>
      <c r="S25" s="296">
        <f t="shared" si="4"/>
        <v>220336045</v>
      </c>
      <c r="T25" s="296">
        <f t="shared" si="4"/>
        <v>292754857</v>
      </c>
      <c r="U25" s="296">
        <f t="shared" si="4"/>
        <v>435757143</v>
      </c>
      <c r="V25" s="296">
        <f t="shared" si="4"/>
        <v>731035006</v>
      </c>
      <c r="W25" s="296">
        <f t="shared" si="4"/>
        <v>0</v>
      </c>
      <c r="X25" s="296">
        <f t="shared" si="4"/>
        <v>114167900</v>
      </c>
      <c r="Y25" s="296">
        <f t="shared" si="4"/>
        <v>435757143</v>
      </c>
      <c r="Z25" s="296">
        <f t="shared" si="4"/>
        <v>845202906</v>
      </c>
      <c r="AA25" s="300"/>
      <c r="AB25" s="297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</row>
    <row r="26" spans="1:54" s="34" customFormat="1" ht="23.25" customHeight="1">
      <c r="A26" s="30" t="s">
        <v>103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0" t="s">
        <v>103</v>
      </c>
      <c r="Q26" s="40"/>
      <c r="R26" s="40"/>
      <c r="S26" s="40"/>
      <c r="T26" s="40"/>
      <c r="U26" s="40"/>
      <c r="V26" s="40"/>
      <c r="W26" s="40"/>
      <c r="X26" s="40"/>
      <c r="Y26" s="41"/>
      <c r="Z26" s="41"/>
      <c r="AA26" s="38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</row>
    <row r="27" spans="1:54" s="34" customFormat="1" ht="23.25" customHeight="1">
      <c r="A27" s="42" t="s">
        <v>41</v>
      </c>
      <c r="B27" s="40"/>
      <c r="C27" s="40">
        <f>1102500+4000000+894000+344935</f>
        <v>6341435</v>
      </c>
      <c r="D27" s="40"/>
      <c r="E27" s="40"/>
      <c r="F27" s="40"/>
      <c r="G27" s="40"/>
      <c r="H27" s="40">
        <v>1579268</v>
      </c>
      <c r="I27" s="40">
        <f>H27-1009768+40000</f>
        <v>609500</v>
      </c>
      <c r="J27" s="40"/>
      <c r="K27" s="40"/>
      <c r="L27" s="40"/>
      <c r="M27" s="40"/>
      <c r="N27" s="40"/>
      <c r="O27" s="40"/>
      <c r="P27" s="42" t="s">
        <v>41</v>
      </c>
      <c r="Q27" s="40"/>
      <c r="R27" s="40">
        <v>547261</v>
      </c>
      <c r="S27" s="40">
        <v>42185414</v>
      </c>
      <c r="T27" s="40">
        <f>S27-17188836+1669349+81649+2517520-1292320</f>
        <v>27972776</v>
      </c>
      <c r="U27" s="36">
        <f>SUM(B27+F27+H27+L27+S27)</f>
        <v>43764682</v>
      </c>
      <c r="V27" s="36">
        <f>SUM(C27+G27+I27+M27+T27+R27)</f>
        <v>35470972</v>
      </c>
      <c r="W27" s="36">
        <f>SUM(D27+J27+N27)</f>
        <v>0</v>
      </c>
      <c r="X27" s="36">
        <f>SUM(E27+K27+O27)</f>
        <v>0</v>
      </c>
      <c r="Y27" s="37">
        <f>SUM(U27+W27)</f>
        <v>43764682</v>
      </c>
      <c r="Z27" s="37">
        <f>SUM(V27+X27)</f>
        <v>35470972</v>
      </c>
      <c r="AA27" s="38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</row>
    <row r="28" spans="1:54" s="34" customFormat="1" ht="23.25" customHeight="1" thickBot="1">
      <c r="A28" s="276" t="s">
        <v>59</v>
      </c>
      <c r="B28" s="39"/>
      <c r="C28" s="39"/>
      <c r="D28" s="39"/>
      <c r="E28" s="39"/>
      <c r="F28" s="39"/>
      <c r="G28" s="39"/>
      <c r="H28" s="39"/>
      <c r="I28" s="39">
        <f>1009768+1000000</f>
        <v>2009768</v>
      </c>
      <c r="J28" s="39"/>
      <c r="K28" s="39"/>
      <c r="L28" s="39"/>
      <c r="M28" s="39"/>
      <c r="N28" s="39"/>
      <c r="O28" s="39"/>
      <c r="P28" s="276" t="s">
        <v>59</v>
      </c>
      <c r="Q28" s="39"/>
      <c r="R28" s="39">
        <v>166523</v>
      </c>
      <c r="S28" s="39"/>
      <c r="T28" s="39">
        <f>17188836+1020604-1000000</f>
        <v>17209440</v>
      </c>
      <c r="U28" s="40">
        <f>SUM(B28+F28+H28+L28+S28)</f>
        <v>0</v>
      </c>
      <c r="V28" s="36">
        <f>SUM(C28+G28+I28+M28+T28+R28)</f>
        <v>19385731</v>
      </c>
      <c r="W28" s="40">
        <f>SUM(D28+J28+N28)</f>
        <v>0</v>
      </c>
      <c r="X28" s="40">
        <f>SUM(E28+K28+O28)</f>
        <v>0</v>
      </c>
      <c r="Y28" s="37">
        <f>SUM(U28+W28)</f>
        <v>0</v>
      </c>
      <c r="Z28" s="37">
        <f>SUM(V28+X28)</f>
        <v>19385731</v>
      </c>
      <c r="AA28" s="38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</row>
    <row r="29" spans="1:54" s="34" customFormat="1" ht="37.5" customHeight="1" thickBot="1">
      <c r="A29" s="295" t="s">
        <v>104</v>
      </c>
      <c r="B29" s="296">
        <f>B27+B28</f>
        <v>0</v>
      </c>
      <c r="C29" s="296">
        <f>C27+C28</f>
        <v>6341435</v>
      </c>
      <c r="D29" s="296">
        <f t="shared" ref="D29:U29" si="5">D27+D28</f>
        <v>0</v>
      </c>
      <c r="E29" s="296">
        <f t="shared" si="5"/>
        <v>0</v>
      </c>
      <c r="F29" s="296">
        <f t="shared" si="5"/>
        <v>0</v>
      </c>
      <c r="G29" s="296">
        <f t="shared" si="5"/>
        <v>0</v>
      </c>
      <c r="H29" s="296">
        <f t="shared" si="5"/>
        <v>1579268</v>
      </c>
      <c r="I29" s="296">
        <f t="shared" si="5"/>
        <v>2619268</v>
      </c>
      <c r="J29" s="296">
        <f t="shared" si="5"/>
        <v>0</v>
      </c>
      <c r="K29" s="296">
        <f t="shared" si="5"/>
        <v>0</v>
      </c>
      <c r="L29" s="296">
        <f t="shared" si="5"/>
        <v>0</v>
      </c>
      <c r="M29" s="296">
        <f t="shared" si="5"/>
        <v>0</v>
      </c>
      <c r="N29" s="296">
        <f t="shared" si="5"/>
        <v>0</v>
      </c>
      <c r="O29" s="296">
        <f t="shared" si="5"/>
        <v>0</v>
      </c>
      <c r="P29" s="295" t="s">
        <v>104</v>
      </c>
      <c r="Q29" s="296">
        <f>Q27+Q28</f>
        <v>0</v>
      </c>
      <c r="R29" s="296">
        <f>R27+R28</f>
        <v>713784</v>
      </c>
      <c r="S29" s="296">
        <f t="shared" si="5"/>
        <v>42185414</v>
      </c>
      <c r="T29" s="296">
        <f t="shared" si="5"/>
        <v>45182216</v>
      </c>
      <c r="U29" s="296">
        <f t="shared" si="5"/>
        <v>43764682</v>
      </c>
      <c r="V29" s="296">
        <f>V27+V28</f>
        <v>54856703</v>
      </c>
      <c r="W29" s="296">
        <f>W27+W28</f>
        <v>0</v>
      </c>
      <c r="X29" s="296">
        <f>X27+X28</f>
        <v>0</v>
      </c>
      <c r="Y29" s="296">
        <f>Y27+Y28</f>
        <v>43764682</v>
      </c>
      <c r="Z29" s="296">
        <f>Z27+Z28</f>
        <v>54856703</v>
      </c>
      <c r="AA29" s="38"/>
      <c r="AB29" s="297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</row>
    <row r="30" spans="1:54" s="34" customFormat="1" ht="52.5" customHeight="1" thickBot="1">
      <c r="A30" s="42" t="s">
        <v>105</v>
      </c>
      <c r="B30" s="100">
        <f>B13+B17+B21+B27</f>
        <v>15500000</v>
      </c>
      <c r="C30" s="100">
        <f>C13+C17+C21+C27</f>
        <v>107252034</v>
      </c>
      <c r="D30" s="100">
        <f>D13+D17+D21+D27</f>
        <v>0</v>
      </c>
      <c r="E30" s="100">
        <f>E13+E17+E21+E27</f>
        <v>0</v>
      </c>
      <c r="F30" s="100"/>
      <c r="G30" s="100"/>
      <c r="H30" s="100">
        <f t="shared" ref="H30:M30" si="6">H13+H17+H21+H27</f>
        <v>156550546</v>
      </c>
      <c r="I30" s="100">
        <f t="shared" si="6"/>
        <v>105580778</v>
      </c>
      <c r="J30" s="100">
        <f t="shared" si="6"/>
        <v>0</v>
      </c>
      <c r="K30" s="100">
        <f t="shared" si="6"/>
        <v>0</v>
      </c>
      <c r="L30" s="100">
        <f t="shared" si="6"/>
        <v>0</v>
      </c>
      <c r="M30" s="100">
        <f t="shared" si="6"/>
        <v>0</v>
      </c>
      <c r="N30" s="100"/>
      <c r="O30" s="100"/>
      <c r="P30" s="42" t="s">
        <v>105</v>
      </c>
      <c r="Q30" s="100">
        <f t="shared" ref="Q30:X30" si="7">Q13+Q17+Q21+Q27</f>
        <v>114167900</v>
      </c>
      <c r="R30" s="100">
        <f t="shared" si="7"/>
        <v>11180564</v>
      </c>
      <c r="S30" s="100">
        <f t="shared" si="7"/>
        <v>998343125</v>
      </c>
      <c r="T30" s="100">
        <f t="shared" si="7"/>
        <v>1117604541</v>
      </c>
      <c r="U30" s="100">
        <f t="shared" si="7"/>
        <v>1284561571</v>
      </c>
      <c r="V30" s="100">
        <f t="shared" si="7"/>
        <v>1341617917</v>
      </c>
      <c r="W30" s="100">
        <f t="shared" si="7"/>
        <v>0</v>
      </c>
      <c r="X30" s="100">
        <f t="shared" si="7"/>
        <v>0</v>
      </c>
      <c r="Y30" s="41">
        <f>SUM(U30+W30)</f>
        <v>1284561571</v>
      </c>
      <c r="Z30" s="41">
        <f>SUM(V30+X30)</f>
        <v>1341617917</v>
      </c>
      <c r="AA30" s="38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</row>
    <row r="31" spans="1:54" s="34" customFormat="1" ht="54" customHeight="1" thickBot="1">
      <c r="A31" s="101" t="s">
        <v>106</v>
      </c>
      <c r="B31" s="40">
        <f>B14+B18+B24+B28</f>
        <v>0</v>
      </c>
      <c r="C31" s="40">
        <f>C14+C18+C24+C28</f>
        <v>337801751</v>
      </c>
      <c r="D31" s="40">
        <f t="shared" ref="D31:O31" si="8">D14+D18+D24+D28</f>
        <v>0</v>
      </c>
      <c r="E31" s="40">
        <f t="shared" si="8"/>
        <v>0</v>
      </c>
      <c r="F31" s="40">
        <f t="shared" si="8"/>
        <v>0</v>
      </c>
      <c r="G31" s="40">
        <f t="shared" si="8"/>
        <v>0</v>
      </c>
      <c r="H31" s="40">
        <f>H14+H18+H24+H28</f>
        <v>0</v>
      </c>
      <c r="I31" s="40">
        <f>I14+I18+I24+I28</f>
        <v>3483580</v>
      </c>
      <c r="J31" s="40">
        <f t="shared" si="8"/>
        <v>0</v>
      </c>
      <c r="K31" s="40">
        <f>K14+K18+K24+K28</f>
        <v>0</v>
      </c>
      <c r="L31" s="40">
        <f t="shared" si="8"/>
        <v>0</v>
      </c>
      <c r="M31" s="40">
        <f>M14+M18+M24+M28</f>
        <v>0</v>
      </c>
      <c r="N31" s="40">
        <f t="shared" si="8"/>
        <v>0</v>
      </c>
      <c r="O31" s="40">
        <f t="shared" si="8"/>
        <v>0</v>
      </c>
      <c r="P31" s="101" t="s">
        <v>106</v>
      </c>
      <c r="Q31" s="100">
        <f t="shared" ref="Q31:W31" si="9">Q14+Q18+Q24+Q28</f>
        <v>0</v>
      </c>
      <c r="R31" s="100">
        <f>R14+R18+R24+R28+R22</f>
        <v>156561527</v>
      </c>
      <c r="S31" s="100">
        <f t="shared" si="9"/>
        <v>0</v>
      </c>
      <c r="T31" s="100">
        <f>T14+T18+T24+T28+T22</f>
        <v>17209440</v>
      </c>
      <c r="U31" s="100">
        <f t="shared" si="9"/>
        <v>0</v>
      </c>
      <c r="V31" s="100">
        <f>V14+V18+V24+V28+V22+V23</f>
        <v>403569998</v>
      </c>
      <c r="W31" s="100">
        <f t="shared" si="9"/>
        <v>0</v>
      </c>
      <c r="X31" s="100">
        <f>SUM(X25)</f>
        <v>114167900</v>
      </c>
      <c r="Y31" s="50">
        <f>SUM(U31+W31)</f>
        <v>0</v>
      </c>
      <c r="Z31" s="50">
        <f>SUM(V31+X31)</f>
        <v>517737898</v>
      </c>
      <c r="AA31" s="38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</row>
    <row r="32" spans="1:54" s="34" customFormat="1" ht="32.25" thickBot="1">
      <c r="A32" s="295" t="s">
        <v>107</v>
      </c>
      <c r="B32" s="296">
        <f>B30+B31</f>
        <v>15500000</v>
      </c>
      <c r="C32" s="296">
        <f>C30+C31</f>
        <v>445053785</v>
      </c>
      <c r="D32" s="296">
        <f t="shared" ref="D32:X32" si="10">D30+D31</f>
        <v>0</v>
      </c>
      <c r="E32" s="296">
        <f t="shared" si="10"/>
        <v>0</v>
      </c>
      <c r="F32" s="296">
        <f t="shared" si="10"/>
        <v>0</v>
      </c>
      <c r="G32" s="296">
        <f t="shared" si="10"/>
        <v>0</v>
      </c>
      <c r="H32" s="296">
        <f t="shared" si="10"/>
        <v>156550546</v>
      </c>
      <c r="I32" s="296">
        <f t="shared" si="10"/>
        <v>109064358</v>
      </c>
      <c r="J32" s="296">
        <f t="shared" si="10"/>
        <v>0</v>
      </c>
      <c r="K32" s="296">
        <f t="shared" si="10"/>
        <v>0</v>
      </c>
      <c r="L32" s="296">
        <f t="shared" si="10"/>
        <v>0</v>
      </c>
      <c r="M32" s="296">
        <f t="shared" si="10"/>
        <v>0</v>
      </c>
      <c r="N32" s="296">
        <f t="shared" si="10"/>
        <v>0</v>
      </c>
      <c r="O32" s="296">
        <f t="shared" si="10"/>
        <v>0</v>
      </c>
      <c r="P32" s="295" t="s">
        <v>107</v>
      </c>
      <c r="Q32" s="296">
        <f>Q30+Q31</f>
        <v>114167900</v>
      </c>
      <c r="R32" s="296">
        <f>R30+R31</f>
        <v>167742091</v>
      </c>
      <c r="S32" s="296">
        <f t="shared" si="10"/>
        <v>998343125</v>
      </c>
      <c r="T32" s="296">
        <f t="shared" si="10"/>
        <v>1134813981</v>
      </c>
      <c r="U32" s="296">
        <f t="shared" si="10"/>
        <v>1284561571</v>
      </c>
      <c r="V32" s="296">
        <f>V30+V31</f>
        <v>1745187915</v>
      </c>
      <c r="W32" s="296">
        <f>W30+W31</f>
        <v>0</v>
      </c>
      <c r="X32" s="296">
        <f t="shared" si="10"/>
        <v>114167900</v>
      </c>
      <c r="Y32" s="296">
        <f>Y30+Y31</f>
        <v>1284561571</v>
      </c>
      <c r="Z32" s="296">
        <f>Z30+Z31</f>
        <v>1859355815</v>
      </c>
      <c r="AA32" s="38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</row>
    <row r="33" spans="1:54" s="34" customFormat="1" ht="24.75" customHeight="1">
      <c r="A33" s="30" t="s">
        <v>108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0" t="s">
        <v>108</v>
      </c>
      <c r="Q33" s="40"/>
      <c r="R33" s="40"/>
      <c r="S33" s="40"/>
      <c r="T33" s="40"/>
      <c r="U33" s="40"/>
      <c r="V33" s="40"/>
      <c r="W33" s="40"/>
      <c r="X33" s="40"/>
      <c r="Y33" s="41"/>
      <c r="Z33" s="41"/>
      <c r="AA33" s="38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</row>
    <row r="34" spans="1:54" s="34" customFormat="1" ht="24.75" customHeight="1">
      <c r="A34" s="42" t="s">
        <v>41</v>
      </c>
      <c r="B34" s="40"/>
      <c r="C34" s="40">
        <f>1049386</f>
        <v>1049386</v>
      </c>
      <c r="D34" s="40"/>
      <c r="E34" s="40"/>
      <c r="F34" s="40"/>
      <c r="G34" s="40"/>
      <c r="H34" s="40">
        <v>13081000</v>
      </c>
      <c r="I34" s="40">
        <f>H34</f>
        <v>13081000</v>
      </c>
      <c r="J34" s="40"/>
      <c r="K34" s="40"/>
      <c r="L34" s="40"/>
      <c r="M34" s="40"/>
      <c r="N34" s="40"/>
      <c r="O34" s="40"/>
      <c r="P34" s="42" t="s">
        <v>41</v>
      </c>
      <c r="Q34" s="40"/>
      <c r="R34" s="40">
        <v>1152236</v>
      </c>
      <c r="S34" s="40">
        <v>298306747</v>
      </c>
      <c r="T34" s="40">
        <f>S34+33243652+302881+68594+20000000+137188</f>
        <v>352059062</v>
      </c>
      <c r="U34" s="36">
        <f t="shared" ref="U34:V36" si="11">SUM(B34+F34+H34+L34+S34)</f>
        <v>311387747</v>
      </c>
      <c r="V34" s="36">
        <f>SUM(C34+G34+I34+M34+T34+R34)</f>
        <v>367341684</v>
      </c>
      <c r="W34" s="36">
        <f t="shared" ref="W34:X36" si="12">SUM(D34+J34+N34)</f>
        <v>0</v>
      </c>
      <c r="X34" s="36">
        <f t="shared" si="12"/>
        <v>0</v>
      </c>
      <c r="Y34" s="37">
        <f>SUM(U34+W34)</f>
        <v>311387747</v>
      </c>
      <c r="Z34" s="37">
        <f>SUM(V34:X34)</f>
        <v>367341684</v>
      </c>
      <c r="AA34" s="38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</row>
    <row r="35" spans="1:54" s="34" customFormat="1" ht="24.75" customHeight="1">
      <c r="A35" s="276" t="s">
        <v>59</v>
      </c>
      <c r="B35" s="39">
        <v>96776076</v>
      </c>
      <c r="C35" s="39">
        <f>B35</f>
        <v>96776076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276" t="s">
        <v>59</v>
      </c>
      <c r="Q35" s="39"/>
      <c r="R35" s="39"/>
      <c r="S35" s="39"/>
      <c r="T35" s="39"/>
      <c r="U35" s="36">
        <f t="shared" si="11"/>
        <v>96776076</v>
      </c>
      <c r="V35" s="36">
        <f t="shared" si="11"/>
        <v>96776076</v>
      </c>
      <c r="W35" s="36">
        <f t="shared" si="12"/>
        <v>0</v>
      </c>
      <c r="X35" s="36">
        <f t="shared" si="12"/>
        <v>0</v>
      </c>
      <c r="Y35" s="37">
        <f>SUM(U35+W35)</f>
        <v>96776076</v>
      </c>
      <c r="Z35" s="37">
        <f>SUM(V35:X35)</f>
        <v>96776076</v>
      </c>
      <c r="AA35" s="38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</row>
    <row r="36" spans="1:54" s="48" customFormat="1" ht="24.75" customHeight="1" thickBot="1">
      <c r="A36" s="43" t="s">
        <v>109</v>
      </c>
      <c r="B36" s="44"/>
      <c r="C36" s="44">
        <f>5830038</f>
        <v>5830038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3" t="s">
        <v>109</v>
      </c>
      <c r="Q36" s="44"/>
      <c r="R36" s="44"/>
      <c r="S36" s="44"/>
      <c r="T36" s="44"/>
      <c r="U36" s="102">
        <f t="shared" si="11"/>
        <v>0</v>
      </c>
      <c r="V36" s="102">
        <f t="shared" si="11"/>
        <v>5830038</v>
      </c>
      <c r="W36" s="102">
        <f t="shared" si="12"/>
        <v>0</v>
      </c>
      <c r="X36" s="102">
        <f t="shared" si="12"/>
        <v>0</v>
      </c>
      <c r="Y36" s="37">
        <f>SUM(U36+W36)</f>
        <v>0</v>
      </c>
      <c r="Z36" s="103">
        <f>SUM(V36:X36)</f>
        <v>5830038</v>
      </c>
      <c r="AA36" s="46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</row>
    <row r="37" spans="1:54" s="34" customFormat="1" ht="27.75" customHeight="1" thickBot="1">
      <c r="A37" s="295" t="s">
        <v>110</v>
      </c>
      <c r="B37" s="296">
        <f>SUM(B34:B36)</f>
        <v>96776076</v>
      </c>
      <c r="C37" s="296">
        <f>SUM(C34:C36)</f>
        <v>103655500</v>
      </c>
      <c r="D37" s="296">
        <f t="shared" ref="D37:X37" si="13">SUM(D34:D36)</f>
        <v>0</v>
      </c>
      <c r="E37" s="296">
        <f t="shared" si="13"/>
        <v>0</v>
      </c>
      <c r="F37" s="296">
        <f t="shared" si="13"/>
        <v>0</v>
      </c>
      <c r="G37" s="296">
        <f t="shared" si="13"/>
        <v>0</v>
      </c>
      <c r="H37" s="296">
        <f t="shared" si="13"/>
        <v>13081000</v>
      </c>
      <c r="I37" s="296">
        <f t="shared" si="13"/>
        <v>13081000</v>
      </c>
      <c r="J37" s="296">
        <f t="shared" si="13"/>
        <v>0</v>
      </c>
      <c r="K37" s="296">
        <f t="shared" si="13"/>
        <v>0</v>
      </c>
      <c r="L37" s="296">
        <f t="shared" si="13"/>
        <v>0</v>
      </c>
      <c r="M37" s="296">
        <f t="shared" si="13"/>
        <v>0</v>
      </c>
      <c r="N37" s="296">
        <f t="shared" si="13"/>
        <v>0</v>
      </c>
      <c r="O37" s="296">
        <f t="shared" si="13"/>
        <v>0</v>
      </c>
      <c r="P37" s="295" t="s">
        <v>110</v>
      </c>
      <c r="Q37" s="296">
        <f t="shared" si="13"/>
        <v>0</v>
      </c>
      <c r="R37" s="296">
        <f t="shared" si="13"/>
        <v>1152236</v>
      </c>
      <c r="S37" s="296">
        <f t="shared" si="13"/>
        <v>298306747</v>
      </c>
      <c r="T37" s="296">
        <f t="shared" si="13"/>
        <v>352059062</v>
      </c>
      <c r="U37" s="296">
        <f t="shared" si="13"/>
        <v>408163823</v>
      </c>
      <c r="V37" s="296">
        <f t="shared" si="13"/>
        <v>469947798</v>
      </c>
      <c r="W37" s="296">
        <f t="shared" si="13"/>
        <v>0</v>
      </c>
      <c r="X37" s="296">
        <f t="shared" si="13"/>
        <v>0</v>
      </c>
      <c r="Y37" s="296">
        <f>SUM(Y34:Y36)</f>
        <v>408163823</v>
      </c>
      <c r="Z37" s="296">
        <f>SUM(Z34:Z36)</f>
        <v>469947798</v>
      </c>
      <c r="AA37" s="38"/>
      <c r="AB37" s="297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</row>
    <row r="38" spans="1:54" s="34" customFormat="1" ht="16.5" thickBot="1">
      <c r="A38" s="104" t="s">
        <v>111</v>
      </c>
      <c r="B38" s="105">
        <f>B30+B34</f>
        <v>15500000</v>
      </c>
      <c r="C38" s="105">
        <f>C30+C34</f>
        <v>108301420</v>
      </c>
      <c r="D38" s="105">
        <f t="shared" ref="D38:I38" si="14">SUM(D30,D34)</f>
        <v>0</v>
      </c>
      <c r="E38" s="105">
        <f t="shared" si="14"/>
        <v>0</v>
      </c>
      <c r="F38" s="105">
        <f t="shared" si="14"/>
        <v>0</v>
      </c>
      <c r="G38" s="105">
        <f t="shared" si="14"/>
        <v>0</v>
      </c>
      <c r="H38" s="105">
        <f t="shared" si="14"/>
        <v>169631546</v>
      </c>
      <c r="I38" s="105">
        <f t="shared" si="14"/>
        <v>118661778</v>
      </c>
      <c r="J38" s="105">
        <f>J30+J34</f>
        <v>0</v>
      </c>
      <c r="K38" s="105">
        <f>K30+K34</f>
        <v>0</v>
      </c>
      <c r="L38" s="41">
        <f>SUM(L30,L34)</f>
        <v>0</v>
      </c>
      <c r="M38" s="41">
        <f>SUM(M30,M34)</f>
        <v>0</v>
      </c>
      <c r="N38" s="41"/>
      <c r="O38" s="41"/>
      <c r="P38" s="104" t="s">
        <v>111</v>
      </c>
      <c r="Q38" s="41">
        <f t="shared" ref="Q38:X39" si="15">SUM(Q30,Q34)</f>
        <v>114167900</v>
      </c>
      <c r="R38" s="41">
        <f t="shared" si="15"/>
        <v>12332800</v>
      </c>
      <c r="S38" s="41">
        <f t="shared" si="15"/>
        <v>1296649872</v>
      </c>
      <c r="T38" s="41">
        <f t="shared" si="15"/>
        <v>1469663603</v>
      </c>
      <c r="U38" s="41">
        <f t="shared" si="15"/>
        <v>1595949318</v>
      </c>
      <c r="V38" s="41">
        <f>SUM(V30,V34)</f>
        <v>1708959601</v>
      </c>
      <c r="W38" s="41">
        <f t="shared" si="15"/>
        <v>0</v>
      </c>
      <c r="X38" s="41">
        <f t="shared" si="15"/>
        <v>0</v>
      </c>
      <c r="Y38" s="37">
        <f>SUM(U38+W38)</f>
        <v>1595949318</v>
      </c>
      <c r="Z38" s="37">
        <f>SUM(V38+X38)</f>
        <v>1708959601</v>
      </c>
      <c r="AA38" s="38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</row>
    <row r="39" spans="1:54" ht="32.25" thickBot="1">
      <c r="A39" s="49" t="s">
        <v>112</v>
      </c>
      <c r="B39" s="41">
        <f>B31+B35</f>
        <v>96776076</v>
      </c>
      <c r="C39" s="41">
        <f>C31+C35</f>
        <v>434577827</v>
      </c>
      <c r="D39" s="41">
        <f t="shared" ref="D39:O39" si="16">D31+D35</f>
        <v>0</v>
      </c>
      <c r="E39" s="41">
        <f t="shared" si="16"/>
        <v>0</v>
      </c>
      <c r="F39" s="41">
        <f t="shared" si="16"/>
        <v>0</v>
      </c>
      <c r="G39" s="41">
        <f t="shared" si="16"/>
        <v>0</v>
      </c>
      <c r="H39" s="41">
        <f>H31+H35</f>
        <v>0</v>
      </c>
      <c r="I39" s="41">
        <f>I31+I35</f>
        <v>3483580</v>
      </c>
      <c r="J39" s="41">
        <f t="shared" si="16"/>
        <v>0</v>
      </c>
      <c r="K39" s="41">
        <f t="shared" si="16"/>
        <v>0</v>
      </c>
      <c r="L39" s="50">
        <f t="shared" si="16"/>
        <v>0</v>
      </c>
      <c r="M39" s="50">
        <f t="shared" si="16"/>
        <v>0</v>
      </c>
      <c r="N39" s="50">
        <f t="shared" si="16"/>
        <v>0</v>
      </c>
      <c r="O39" s="50">
        <f t="shared" si="16"/>
        <v>0</v>
      </c>
      <c r="P39" s="49" t="s">
        <v>112</v>
      </c>
      <c r="Q39" s="50">
        <f t="shared" si="15"/>
        <v>0</v>
      </c>
      <c r="R39" s="50">
        <f t="shared" si="15"/>
        <v>156561527</v>
      </c>
      <c r="S39" s="50">
        <f t="shared" si="15"/>
        <v>0</v>
      </c>
      <c r="T39" s="50">
        <f t="shared" si="15"/>
        <v>17209440</v>
      </c>
      <c r="U39" s="50">
        <f t="shared" si="15"/>
        <v>96776076</v>
      </c>
      <c r="V39" s="50">
        <f>SUM(V31,V35)</f>
        <v>500346074</v>
      </c>
      <c r="W39" s="51">
        <f>SUM(D39+J39+N39)</f>
        <v>0</v>
      </c>
      <c r="X39" s="50">
        <f>SUM(X31,X35)</f>
        <v>114167900</v>
      </c>
      <c r="Y39" s="41">
        <f>SUM(U39+W39)</f>
        <v>96776076</v>
      </c>
      <c r="Z39" s="37">
        <f>SUM(V39+X39)</f>
        <v>614513974</v>
      </c>
      <c r="AA39" s="38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32.25" thickBot="1">
      <c r="A40" s="106" t="s">
        <v>113</v>
      </c>
      <c r="B40" s="51">
        <f>SUM(B36)</f>
        <v>0</v>
      </c>
      <c r="C40" s="51">
        <f>SUM(C36)</f>
        <v>5830038</v>
      </c>
      <c r="D40" s="51">
        <f t="shared" ref="D40:X40" si="17">SUM(D36)</f>
        <v>0</v>
      </c>
      <c r="E40" s="51">
        <f t="shared" si="17"/>
        <v>0</v>
      </c>
      <c r="F40" s="51">
        <f t="shared" si="17"/>
        <v>0</v>
      </c>
      <c r="G40" s="51">
        <f t="shared" si="17"/>
        <v>0</v>
      </c>
      <c r="H40" s="51">
        <f t="shared" si="17"/>
        <v>0</v>
      </c>
      <c r="I40" s="51">
        <f t="shared" si="17"/>
        <v>0</v>
      </c>
      <c r="J40" s="51">
        <f t="shared" si="17"/>
        <v>0</v>
      </c>
      <c r="K40" s="51">
        <f t="shared" si="17"/>
        <v>0</v>
      </c>
      <c r="L40" s="51">
        <f t="shared" si="17"/>
        <v>0</v>
      </c>
      <c r="M40" s="51">
        <f t="shared" si="17"/>
        <v>0</v>
      </c>
      <c r="N40" s="51">
        <f t="shared" si="17"/>
        <v>0</v>
      </c>
      <c r="O40" s="51">
        <f t="shared" si="17"/>
        <v>0</v>
      </c>
      <c r="P40" s="106" t="s">
        <v>113</v>
      </c>
      <c r="Q40" s="51">
        <f t="shared" si="17"/>
        <v>0</v>
      </c>
      <c r="R40" s="51">
        <f t="shared" si="17"/>
        <v>0</v>
      </c>
      <c r="S40" s="51">
        <f t="shared" si="17"/>
        <v>0</v>
      </c>
      <c r="T40" s="51">
        <f t="shared" si="17"/>
        <v>0</v>
      </c>
      <c r="U40" s="51">
        <f t="shared" si="17"/>
        <v>0</v>
      </c>
      <c r="V40" s="51">
        <f t="shared" si="17"/>
        <v>5830038</v>
      </c>
      <c r="W40" s="51">
        <f t="shared" si="17"/>
        <v>0</v>
      </c>
      <c r="X40" s="51">
        <f t="shared" si="17"/>
        <v>0</v>
      </c>
      <c r="Y40" s="50">
        <f>SUM(U40+W40)</f>
        <v>0</v>
      </c>
      <c r="Z40" s="51">
        <f>SUM(Z36)</f>
        <v>5830038</v>
      </c>
      <c r="AA40" s="38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s="157" customFormat="1" ht="26.25" customHeight="1" thickBot="1">
      <c r="A41" s="303" t="s">
        <v>114</v>
      </c>
      <c r="B41" s="304">
        <f>B38+B39+B40</f>
        <v>112276076</v>
      </c>
      <c r="C41" s="304">
        <f>C38+C39+C40</f>
        <v>548709285</v>
      </c>
      <c r="D41" s="304">
        <f t="shared" ref="D41:X41" si="18">D38+D39+D40</f>
        <v>0</v>
      </c>
      <c r="E41" s="304">
        <f t="shared" si="18"/>
        <v>0</v>
      </c>
      <c r="F41" s="304">
        <f t="shared" si="18"/>
        <v>0</v>
      </c>
      <c r="G41" s="304">
        <f t="shared" si="18"/>
        <v>0</v>
      </c>
      <c r="H41" s="304">
        <f>H38+H39+H40</f>
        <v>169631546</v>
      </c>
      <c r="I41" s="304">
        <f>I38+I39+I40</f>
        <v>122145358</v>
      </c>
      <c r="J41" s="304">
        <f t="shared" si="18"/>
        <v>0</v>
      </c>
      <c r="K41" s="304">
        <f t="shared" si="18"/>
        <v>0</v>
      </c>
      <c r="L41" s="304">
        <f t="shared" si="18"/>
        <v>0</v>
      </c>
      <c r="M41" s="304">
        <f t="shared" si="18"/>
        <v>0</v>
      </c>
      <c r="N41" s="304">
        <f t="shared" si="18"/>
        <v>0</v>
      </c>
      <c r="O41" s="304">
        <f t="shared" si="18"/>
        <v>0</v>
      </c>
      <c r="P41" s="303" t="s">
        <v>114</v>
      </c>
      <c r="Q41" s="304">
        <f t="shared" si="18"/>
        <v>114167900</v>
      </c>
      <c r="R41" s="304">
        <f>R38+R39+R40</f>
        <v>168894327</v>
      </c>
      <c r="S41" s="304">
        <f t="shared" si="18"/>
        <v>1296649872</v>
      </c>
      <c r="T41" s="304">
        <f>T38+T39+T40</f>
        <v>1486873043</v>
      </c>
      <c r="U41" s="304">
        <f t="shared" si="18"/>
        <v>1692725394</v>
      </c>
      <c r="V41" s="304">
        <f>V38+V39+V40</f>
        <v>2215135713</v>
      </c>
      <c r="W41" s="304">
        <f t="shared" si="18"/>
        <v>0</v>
      </c>
      <c r="X41" s="304">
        <f t="shared" si="18"/>
        <v>114167900</v>
      </c>
      <c r="Y41" s="304">
        <f>Y38+Y39+Y40</f>
        <v>1692725394</v>
      </c>
      <c r="Z41" s="304">
        <f>Z38+Z39+Z40</f>
        <v>2329303613</v>
      </c>
      <c r="AA41" s="297"/>
      <c r="AB41" s="305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</row>
    <row r="42" spans="1:54" ht="15.75" thickTop="1">
      <c r="T42" s="1">
        <f>SUM(S41+70455096)-T41+20291059</f>
        <v>-99477016</v>
      </c>
    </row>
    <row r="43" spans="1:54">
      <c r="Z43" s="4">
        <f>SUM(Z41-T41)</f>
        <v>842430570</v>
      </c>
    </row>
    <row r="44" spans="1:54">
      <c r="Z44" s="4">
        <f>SUM('2. sz. melléklet'!F119)</f>
        <v>6950726679</v>
      </c>
    </row>
    <row r="45" spans="1:54">
      <c r="Z45" s="4">
        <f>SUM(Z43:Z44)</f>
        <v>7793157249</v>
      </c>
    </row>
    <row r="46" spans="1:54">
      <c r="Z46" s="4">
        <f>SUM('1. sz. melléklet'!F119)</f>
        <v>7793157249</v>
      </c>
    </row>
    <row r="47" spans="1:54">
      <c r="Z47" s="4">
        <f>SUM(Z46-Z45)</f>
        <v>0</v>
      </c>
    </row>
  </sheetData>
  <mergeCells count="22">
    <mergeCell ref="Y10:Z10"/>
    <mergeCell ref="Q9:T9"/>
    <mergeCell ref="A1:AB1"/>
    <mergeCell ref="A5:O5"/>
    <mergeCell ref="P5:Z5"/>
    <mergeCell ref="W7:Y7"/>
    <mergeCell ref="A8:A11"/>
    <mergeCell ref="P8:P11"/>
    <mergeCell ref="Q8:T8"/>
    <mergeCell ref="U8:Z8"/>
    <mergeCell ref="B9:C10"/>
    <mergeCell ref="D9:E10"/>
    <mergeCell ref="U9:Z9"/>
    <mergeCell ref="Q10:R10"/>
    <mergeCell ref="S10:T10"/>
    <mergeCell ref="U10:V10"/>
    <mergeCell ref="W10:X10"/>
    <mergeCell ref="F9:G10"/>
    <mergeCell ref="H9:I10"/>
    <mergeCell ref="J9:K10"/>
    <mergeCell ref="L9:M10"/>
    <mergeCell ref="N9:O10"/>
  </mergeCells>
  <pageMargins left="0.7" right="0.7" top="0.75" bottom="0.75" header="0.3" footer="0.3"/>
  <pageSetup paperSize="256" scale="46" orientation="landscape" horizontalDpi="300" verticalDpi="300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N25"/>
  <sheetViews>
    <sheetView view="pageBreakPreview" zoomScale="84" zoomScaleSheetLayoutView="84" workbookViewId="0"/>
  </sheetViews>
  <sheetFormatPr defaultRowHeight="15"/>
  <cols>
    <col min="1" max="1" width="26.140625" style="225" customWidth="1"/>
    <col min="2" max="3" width="15.5703125" style="59" customWidth="1"/>
    <col min="4" max="7" width="15.5703125" style="225" customWidth="1"/>
    <col min="8" max="9" width="13.42578125" style="225" customWidth="1"/>
    <col min="10" max="11" width="15.140625" style="225" customWidth="1"/>
    <col min="12" max="12" width="15.28515625" style="225" customWidth="1"/>
    <col min="13" max="13" width="14.85546875" style="225" customWidth="1"/>
    <col min="14" max="14" width="15.85546875" style="225" customWidth="1"/>
    <col min="15" max="15" width="15.42578125" style="225" customWidth="1"/>
    <col min="16" max="17" width="12" style="225" customWidth="1"/>
    <col min="18" max="18" width="13.7109375" style="225" customWidth="1"/>
    <col min="19" max="19" width="14" style="225" customWidth="1"/>
    <col min="20" max="25" width="17.28515625" style="225" customWidth="1"/>
    <col min="26" max="26" width="13.5703125" style="225" customWidth="1"/>
    <col min="27" max="27" width="13.28515625" style="225" bestFit="1" customWidth="1"/>
    <col min="28" max="30" width="13.5703125" style="225" customWidth="1"/>
    <col min="31" max="31" width="14.28515625" style="225" customWidth="1"/>
    <col min="32" max="34" width="13.5703125" style="225" customWidth="1"/>
    <col min="35" max="16384" width="9.140625" style="225"/>
  </cols>
  <sheetData>
    <row r="1" spans="1:66" s="325" customFormat="1" ht="15.75">
      <c r="A1" s="277" t="s">
        <v>483</v>
      </c>
      <c r="B1" s="324"/>
      <c r="C1" s="324"/>
    </row>
    <row r="2" spans="1:66" ht="15.75">
      <c r="A2" s="223"/>
    </row>
    <row r="3" spans="1:66" ht="15.75">
      <c r="A3" s="223"/>
    </row>
    <row r="4" spans="1:66" ht="15.75">
      <c r="A4" s="223"/>
    </row>
    <row r="5" spans="1:66" ht="19.5">
      <c r="A5" s="574" t="s">
        <v>147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273"/>
      <c r="Z5" s="60"/>
      <c r="AA5" s="60"/>
      <c r="AB5" s="60"/>
      <c r="AC5" s="60"/>
      <c r="AD5" s="60"/>
      <c r="AE5" s="60"/>
      <c r="AF5" s="60"/>
      <c r="AG5" s="60"/>
      <c r="AH5" s="60"/>
      <c r="AI5" s="60"/>
    </row>
    <row r="6" spans="1:66">
      <c r="A6" s="61"/>
    </row>
    <row r="7" spans="1:66">
      <c r="A7" s="61"/>
    </row>
    <row r="8" spans="1:66" ht="15.75">
      <c r="A8" s="62" t="s">
        <v>117</v>
      </c>
      <c r="AA8" s="575"/>
      <c r="AB8" s="575"/>
      <c r="AC8" s="575"/>
      <c r="AD8" s="575"/>
      <c r="AE8" s="575"/>
      <c r="AF8" s="575"/>
      <c r="AG8" s="575"/>
      <c r="AH8" s="575"/>
    </row>
    <row r="9" spans="1:66" s="222" customFormat="1" ht="15.7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s="222" customFormat="1" ht="16.5" thickBo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576" t="s">
        <v>0</v>
      </c>
      <c r="W10" s="576"/>
      <c r="X10" s="576"/>
      <c r="Y10" s="9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s="291" customFormat="1" ht="13.5" customHeight="1" thickBot="1">
      <c r="A11" s="573" t="s">
        <v>95</v>
      </c>
      <c r="B11" s="289" t="s">
        <v>30</v>
      </c>
      <c r="C11" s="289" t="s">
        <v>30</v>
      </c>
      <c r="D11" s="289" t="s">
        <v>31</v>
      </c>
      <c r="E11" s="289" t="s">
        <v>31</v>
      </c>
      <c r="F11" s="289" t="s">
        <v>32</v>
      </c>
      <c r="G11" s="289" t="s">
        <v>32</v>
      </c>
      <c r="H11" s="289" t="s">
        <v>33</v>
      </c>
      <c r="I11" s="289" t="s">
        <v>33</v>
      </c>
      <c r="J11" s="289" t="s">
        <v>34</v>
      </c>
      <c r="K11" s="289" t="s">
        <v>34</v>
      </c>
      <c r="L11" s="289" t="s">
        <v>35</v>
      </c>
      <c r="M11" s="289" t="s">
        <v>35</v>
      </c>
      <c r="N11" s="289" t="s">
        <v>36</v>
      </c>
      <c r="O11" s="289" t="s">
        <v>36</v>
      </c>
      <c r="P11" s="289" t="s">
        <v>37</v>
      </c>
      <c r="Q11" s="289" t="s">
        <v>37</v>
      </c>
      <c r="R11" s="289" t="s">
        <v>118</v>
      </c>
      <c r="S11" s="289" t="s">
        <v>118</v>
      </c>
      <c r="T11" s="571" t="s">
        <v>286</v>
      </c>
      <c r="U11" s="571"/>
      <c r="V11" s="571"/>
      <c r="W11" s="571"/>
      <c r="X11" s="571"/>
      <c r="Y11" s="571"/>
      <c r="Z11" s="308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</row>
    <row r="12" spans="1:66" s="293" customFormat="1" ht="30" customHeight="1" thickBot="1">
      <c r="A12" s="573"/>
      <c r="B12" s="572" t="s">
        <v>5</v>
      </c>
      <c r="C12" s="572"/>
      <c r="D12" s="572" t="s">
        <v>6</v>
      </c>
      <c r="E12" s="572"/>
      <c r="F12" s="572" t="s">
        <v>7</v>
      </c>
      <c r="G12" s="572"/>
      <c r="H12" s="572" t="s">
        <v>16</v>
      </c>
      <c r="I12" s="572"/>
      <c r="J12" s="572" t="s">
        <v>8</v>
      </c>
      <c r="K12" s="572"/>
      <c r="L12" s="572" t="s">
        <v>10</v>
      </c>
      <c r="M12" s="572"/>
      <c r="N12" s="572" t="s">
        <v>9</v>
      </c>
      <c r="O12" s="572"/>
      <c r="P12" s="572" t="s">
        <v>11</v>
      </c>
      <c r="Q12" s="572"/>
      <c r="R12" s="572" t="s">
        <v>38</v>
      </c>
      <c r="S12" s="572"/>
      <c r="T12" s="572" t="s">
        <v>14</v>
      </c>
      <c r="U12" s="572"/>
      <c r="V12" s="572"/>
      <c r="W12" s="572"/>
      <c r="X12" s="572"/>
      <c r="Y12" s="572"/>
      <c r="Z12" s="309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</row>
    <row r="13" spans="1:66" s="293" customFormat="1" ht="12.75" customHeight="1" thickBot="1">
      <c r="A13" s="573"/>
      <c r="B13" s="572"/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 t="s">
        <v>39</v>
      </c>
      <c r="U13" s="572"/>
      <c r="V13" s="572" t="s">
        <v>40</v>
      </c>
      <c r="W13" s="572"/>
      <c r="X13" s="572" t="s">
        <v>14</v>
      </c>
      <c r="Y13" s="572"/>
      <c r="Z13" s="309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</row>
    <row r="14" spans="1:66" s="293" customFormat="1" ht="38.25" customHeight="1" thickBot="1">
      <c r="A14" s="573"/>
      <c r="B14" s="310" t="s">
        <v>148</v>
      </c>
      <c r="C14" s="310" t="s">
        <v>149</v>
      </c>
      <c r="D14" s="310" t="s">
        <v>148</v>
      </c>
      <c r="E14" s="310" t="s">
        <v>149</v>
      </c>
      <c r="F14" s="310" t="s">
        <v>148</v>
      </c>
      <c r="G14" s="310" t="s">
        <v>149</v>
      </c>
      <c r="H14" s="310" t="s">
        <v>148</v>
      </c>
      <c r="I14" s="310" t="s">
        <v>149</v>
      </c>
      <c r="J14" s="310" t="s">
        <v>148</v>
      </c>
      <c r="K14" s="310" t="s">
        <v>149</v>
      </c>
      <c r="L14" s="310" t="s">
        <v>148</v>
      </c>
      <c r="M14" s="310" t="s">
        <v>149</v>
      </c>
      <c r="N14" s="310" t="s">
        <v>148</v>
      </c>
      <c r="O14" s="310" t="s">
        <v>149</v>
      </c>
      <c r="P14" s="310" t="s">
        <v>148</v>
      </c>
      <c r="Q14" s="310" t="s">
        <v>149</v>
      </c>
      <c r="R14" s="310" t="s">
        <v>148</v>
      </c>
      <c r="S14" s="310" t="s">
        <v>149</v>
      </c>
      <c r="T14" s="310" t="s">
        <v>148</v>
      </c>
      <c r="U14" s="310" t="s">
        <v>149</v>
      </c>
      <c r="V14" s="310" t="s">
        <v>148</v>
      </c>
      <c r="W14" s="310" t="s">
        <v>149</v>
      </c>
      <c r="X14" s="310" t="s">
        <v>148</v>
      </c>
      <c r="Y14" s="310" t="s">
        <v>149</v>
      </c>
      <c r="Z14" s="309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</row>
    <row r="15" spans="1:66" s="34" customFormat="1" ht="39.950000000000003" customHeight="1">
      <c r="A15" s="30" t="s">
        <v>119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</row>
    <row r="16" spans="1:66" s="34" customFormat="1" ht="57" customHeight="1">
      <c r="A16" s="35" t="s">
        <v>122</v>
      </c>
      <c r="B16" s="36">
        <f>SUM('8. sz. melléklet'!B47)</f>
        <v>839662051</v>
      </c>
      <c r="C16" s="36">
        <f>SUM('8. sz. melléklet'!C47)</f>
        <v>1251842377</v>
      </c>
      <c r="D16" s="36">
        <f>SUM('8. sz. melléklet'!D47)</f>
        <v>163291640</v>
      </c>
      <c r="E16" s="36">
        <f>SUM('8. sz. melléklet'!E47)</f>
        <v>235972393</v>
      </c>
      <c r="F16" s="36">
        <f>SUM('8. sz. melléklet'!F47)</f>
        <v>562918803</v>
      </c>
      <c r="G16" s="36">
        <f>SUM('8. sz. melléklet'!G47)</f>
        <v>634431559</v>
      </c>
      <c r="H16" s="36">
        <f>SUM('8. sz. melléklet'!H47)</f>
        <v>0</v>
      </c>
      <c r="I16" s="36">
        <f>SUM('8. sz. melléklet'!I47)</f>
        <v>0</v>
      </c>
      <c r="J16" s="36">
        <f>SUM('8. sz. melléklet'!J47)</f>
        <v>0</v>
      </c>
      <c r="K16" s="36">
        <f>SUM('8. sz. melléklet'!K47)</f>
        <v>5494643</v>
      </c>
      <c r="L16" s="36">
        <f>SUM('8. sz. melléklet'!L47)</f>
        <v>12685000</v>
      </c>
      <c r="M16" s="36">
        <f>SUM('8. sz. melléklet'!M47)</f>
        <v>36711914</v>
      </c>
      <c r="N16" s="36">
        <f>SUM('8. sz. melléklet'!N47)</f>
        <v>114167900</v>
      </c>
      <c r="O16" s="36">
        <f>SUM('8. sz. melléklet'!O47)</f>
        <v>164850727</v>
      </c>
      <c r="P16" s="36">
        <f>SUM('8. sz. melléklet'!P47)</f>
        <v>0</v>
      </c>
      <c r="Q16" s="36">
        <f>SUM('8. sz. melléklet'!Q47)</f>
        <v>0</v>
      </c>
      <c r="R16" s="36"/>
      <c r="S16" s="36"/>
      <c r="T16" s="36">
        <f>SUM(B16+D16+F16+H16+J16)</f>
        <v>1565872494</v>
      </c>
      <c r="U16" s="36">
        <f>SUM(C16+E16+G16+I16+K16)</f>
        <v>2127740972</v>
      </c>
      <c r="V16" s="36">
        <f>SUM(L16+N16+P16+R16)</f>
        <v>126852900</v>
      </c>
      <c r="W16" s="36">
        <f>SUM(M16+O16+Q16+S16)</f>
        <v>201562641</v>
      </c>
      <c r="X16" s="36">
        <f>SUM(T16+V16)</f>
        <v>1692725394</v>
      </c>
      <c r="Y16" s="36">
        <f>SUM(U16+W16)</f>
        <v>2329303613</v>
      </c>
      <c r="Z16" s="54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</row>
    <row r="17" spans="1:66" s="34" customFormat="1" ht="53.25" customHeight="1">
      <c r="A17" s="30" t="s">
        <v>120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40"/>
      <c r="Y17" s="40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</row>
    <row r="18" spans="1:66" s="48" customFormat="1" ht="70.5" customHeight="1" thickBot="1">
      <c r="A18" s="55" t="s">
        <v>123</v>
      </c>
      <c r="B18" s="36">
        <f>SUM('7. sz. melléklet'!C22)</f>
        <v>48099099</v>
      </c>
      <c r="C18" s="36">
        <f>SUM('7. sz. melléklet'!D22)</f>
        <v>60055360</v>
      </c>
      <c r="D18" s="36">
        <f>SUM('7. sz. melléklet'!C39)</f>
        <v>10148701</v>
      </c>
      <c r="E18" s="36">
        <f>SUM('7. sz. melléklet'!D39)</f>
        <v>11740336</v>
      </c>
      <c r="F18" s="36">
        <f>SUM('7. sz. melléklet'!C124)</f>
        <v>315935805</v>
      </c>
      <c r="G18" s="36">
        <f>SUM('7. sz. melléklet'!D124)</f>
        <v>392095934</v>
      </c>
      <c r="H18" s="36">
        <f>SUM('7. sz. melléklet'!C140)</f>
        <v>61790000</v>
      </c>
      <c r="I18" s="36">
        <f>SUM('7. sz. melléklet'!D140)</f>
        <v>75601500</v>
      </c>
      <c r="J18" s="36">
        <f>SUM('7. sz. melléklet'!C187)</f>
        <v>1774724646</v>
      </c>
      <c r="K18" s="36">
        <f>SUM('7. sz. melléklet'!D187)</f>
        <v>2349852680</v>
      </c>
      <c r="L18" s="36">
        <f>SUM('7. sz. melléklet'!C210)</f>
        <v>1282769406</v>
      </c>
      <c r="M18" s="36">
        <f>SUM('7. sz. melléklet'!D210)</f>
        <v>1304212573.3199999</v>
      </c>
      <c r="N18" s="36">
        <f>SUM('7. sz. melléklet'!C230)</f>
        <v>683725648</v>
      </c>
      <c r="O18" s="36">
        <f>SUM('7. sz. melléklet'!D230)</f>
        <v>1031147889</v>
      </c>
      <c r="P18" s="45">
        <f>SUM('7. sz. melléklet'!C234)</f>
        <v>0</v>
      </c>
      <c r="Q18" s="45">
        <f>SUM('7. sz. melléklet'!D234)</f>
        <v>22356945</v>
      </c>
      <c r="R18" s="45">
        <f>SUM('6. sz. melléklet'!C182)</f>
        <v>58439181</v>
      </c>
      <c r="S18" s="45">
        <f>SUM('6. sz. melléklet'!D182)</f>
        <v>216790419</v>
      </c>
      <c r="T18" s="36">
        <f>SUM(B18+D18+F18+H18+J18)</f>
        <v>2210698251</v>
      </c>
      <c r="U18" s="36">
        <f>SUM(C18+E18+G18+I18+K18)</f>
        <v>2889345810</v>
      </c>
      <c r="V18" s="36">
        <f>SUM(L18+N18+P18+R18)</f>
        <v>2024934235</v>
      </c>
      <c r="W18" s="36">
        <f>SUM(M18+O18+Q18+S18)</f>
        <v>2574507826.3199997</v>
      </c>
      <c r="X18" s="36">
        <f>SUM(T18+V18)</f>
        <v>4235632486</v>
      </c>
      <c r="Y18" s="36">
        <f>SUM(U18+W18)</f>
        <v>5463853636.3199997</v>
      </c>
      <c r="Z18" s="328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</row>
    <row r="19" spans="1:66" s="157" customFormat="1" ht="39.950000000000003" customHeight="1" thickTop="1" thickBot="1">
      <c r="A19" s="326" t="s">
        <v>121</v>
      </c>
      <c r="B19" s="327">
        <f>SUM(B16+B18)</f>
        <v>887761150</v>
      </c>
      <c r="C19" s="327">
        <f>SUM(C16+C18)</f>
        <v>1311897737</v>
      </c>
      <c r="D19" s="327">
        <f t="shared" ref="D19:X19" si="0">SUM(D16+D18)</f>
        <v>173440341</v>
      </c>
      <c r="E19" s="327">
        <f t="shared" si="0"/>
        <v>247712729</v>
      </c>
      <c r="F19" s="327">
        <f t="shared" si="0"/>
        <v>878854608</v>
      </c>
      <c r="G19" s="327">
        <f t="shared" si="0"/>
        <v>1026527493</v>
      </c>
      <c r="H19" s="327">
        <f t="shared" si="0"/>
        <v>61790000</v>
      </c>
      <c r="I19" s="327">
        <f t="shared" si="0"/>
        <v>75601500</v>
      </c>
      <c r="J19" s="327">
        <f t="shared" si="0"/>
        <v>1774724646</v>
      </c>
      <c r="K19" s="327">
        <f t="shared" si="0"/>
        <v>2355347323</v>
      </c>
      <c r="L19" s="327">
        <f>SUM(L16+L18)</f>
        <v>1295454406</v>
      </c>
      <c r="M19" s="327">
        <f t="shared" si="0"/>
        <v>1340924487.3199999</v>
      </c>
      <c r="N19" s="327">
        <f t="shared" si="0"/>
        <v>797893548</v>
      </c>
      <c r="O19" s="327">
        <f>SUM(O16+O18)</f>
        <v>1195998616</v>
      </c>
      <c r="P19" s="327">
        <f t="shared" si="0"/>
        <v>0</v>
      </c>
      <c r="Q19" s="327">
        <f t="shared" si="0"/>
        <v>22356945</v>
      </c>
      <c r="R19" s="327">
        <f t="shared" si="0"/>
        <v>58439181</v>
      </c>
      <c r="S19" s="327">
        <f t="shared" si="0"/>
        <v>216790419</v>
      </c>
      <c r="T19" s="327">
        <f t="shared" si="0"/>
        <v>3776570745</v>
      </c>
      <c r="U19" s="327">
        <f t="shared" si="0"/>
        <v>5017086782</v>
      </c>
      <c r="V19" s="327">
        <f t="shared" si="0"/>
        <v>2151787135</v>
      </c>
      <c r="W19" s="327">
        <f t="shared" si="0"/>
        <v>2776070467.3199997</v>
      </c>
      <c r="X19" s="327">
        <f t="shared" si="0"/>
        <v>5928357880</v>
      </c>
      <c r="Y19" s="327">
        <f>SUM(Y16+Y18)</f>
        <v>7793157249.3199997</v>
      </c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</row>
    <row r="20" spans="1:66" ht="71.25" customHeight="1" thickTop="1">
      <c r="X20" s="59"/>
      <c r="Y20" s="59"/>
    </row>
    <row r="21" spans="1:66" ht="39.75" customHeight="1">
      <c r="X21" s="59"/>
      <c r="Y21" s="59"/>
      <c r="Z21" s="59"/>
    </row>
    <row r="23" spans="1:66">
      <c r="Y23" s="59"/>
      <c r="Z23" s="59"/>
    </row>
    <row r="25" spans="1:66">
      <c r="Y25" s="59"/>
    </row>
  </sheetData>
  <mergeCells count="18">
    <mergeCell ref="A11:A14"/>
    <mergeCell ref="X13:Y13"/>
    <mergeCell ref="A5:X5"/>
    <mergeCell ref="AA8:AH8"/>
    <mergeCell ref="V10:X10"/>
    <mergeCell ref="T11:Y11"/>
    <mergeCell ref="B12:C13"/>
    <mergeCell ref="D12:E13"/>
    <mergeCell ref="R12:S13"/>
    <mergeCell ref="T12:Y12"/>
    <mergeCell ref="F12:G13"/>
    <mergeCell ref="H12:I13"/>
    <mergeCell ref="J12:K13"/>
    <mergeCell ref="L12:M13"/>
    <mergeCell ref="N12:O13"/>
    <mergeCell ref="P12:Q13"/>
    <mergeCell ref="T13:U13"/>
    <mergeCell ref="V13:W13"/>
  </mergeCells>
  <pageMargins left="0.70866141732283472" right="0.70866141732283472" top="0.74803149606299213" bottom="0.74803149606299213" header="0.31496062992125984" footer="0.31496062992125984"/>
  <pageSetup paperSize="9" scale="3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U854"/>
  <sheetViews>
    <sheetView view="pageBreakPreview" zoomScale="69" zoomScaleSheetLayoutView="69" workbookViewId="0"/>
  </sheetViews>
  <sheetFormatPr defaultRowHeight="15.75" thickBottom="1"/>
  <cols>
    <col min="1" max="1" width="100" style="16" customWidth="1"/>
    <col min="2" max="2" width="27.85546875" style="16" customWidth="1"/>
    <col min="3" max="3" width="27.42578125" style="17" customWidth="1"/>
    <col min="4" max="4" width="27.42578125" style="15" customWidth="1"/>
    <col min="5" max="5" width="19.42578125" style="3" customWidth="1"/>
    <col min="6" max="7" width="15.7109375" style="3" bestFit="1" customWidth="1"/>
    <col min="8" max="10" width="9.140625" style="3"/>
    <col min="11" max="11" width="14.5703125" style="3" bestFit="1" customWidth="1"/>
    <col min="12" max="73" width="9.140625" style="3"/>
    <col min="74" max="16384" width="9.140625" style="15"/>
  </cols>
  <sheetData>
    <row r="1" spans="1:125" s="7" customFormat="1" ht="15.75" customHeight="1">
      <c r="A1" s="107" t="s">
        <v>484</v>
      </c>
      <c r="B1" s="5"/>
      <c r="C1" s="6"/>
    </row>
    <row r="2" spans="1:125" s="3" customFormat="1" ht="15" customHeight="1">
      <c r="A2" s="64"/>
      <c r="B2" s="5"/>
      <c r="C2" s="8"/>
    </row>
    <row r="3" spans="1:125" s="3" customFormat="1" ht="42" customHeight="1">
      <c r="A3" s="579" t="s">
        <v>156</v>
      </c>
      <c r="B3" s="579"/>
      <c r="C3" s="579"/>
      <c r="D3" s="579"/>
    </row>
    <row r="4" spans="1:125" s="3" customFormat="1" ht="15" customHeight="1">
      <c r="C4" s="8"/>
    </row>
    <row r="5" spans="1:125" s="9" customFormat="1" ht="15.75" customHeight="1" thickBot="1">
      <c r="C5" s="108"/>
      <c r="D5" s="108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125" s="113" customFormat="1" ht="66.75" customHeight="1" thickBot="1">
      <c r="A6" s="109" t="s">
        <v>124</v>
      </c>
      <c r="B6" s="110"/>
      <c r="C6" s="111" t="s">
        <v>148</v>
      </c>
      <c r="D6" s="111" t="s">
        <v>149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</row>
    <row r="7" spans="1:125" s="12" customFormat="1" ht="33" customHeight="1" thickBot="1">
      <c r="A7" s="67" t="s">
        <v>94</v>
      </c>
      <c r="B7" s="68"/>
      <c r="C7" s="89"/>
      <c r="D7" s="306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</row>
    <row r="8" spans="1:125" s="12" customFormat="1" ht="21" customHeight="1" thickBot="1">
      <c r="A8" s="152" t="s">
        <v>42</v>
      </c>
      <c r="B8" s="10"/>
      <c r="C8" s="13">
        <v>59000000</v>
      </c>
      <c r="D8" s="13">
        <f>SUM(C8)</f>
        <v>59000000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</row>
    <row r="9" spans="1:125" s="133" customFormat="1" ht="28.5" customHeight="1" thickBot="1">
      <c r="A9" s="152" t="s">
        <v>130</v>
      </c>
      <c r="B9" s="127"/>
      <c r="C9" s="13">
        <f>SUM(B10:B10)</f>
        <v>2000000</v>
      </c>
      <c r="D9" s="13">
        <f>SUM(C9)</f>
        <v>2000000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</row>
    <row r="10" spans="1:125" s="12" customFormat="1" ht="19.5" customHeight="1" thickBot="1">
      <c r="A10" s="128" t="s">
        <v>129</v>
      </c>
      <c r="B10" s="10">
        <v>2000000</v>
      </c>
      <c r="C10" s="129"/>
      <c r="D10" s="12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</row>
    <row r="11" spans="1:125" s="12" customFormat="1" ht="29.25" customHeight="1" thickBot="1">
      <c r="A11" s="152" t="s">
        <v>43</v>
      </c>
      <c r="B11" s="10"/>
      <c r="C11" s="13">
        <v>11260000</v>
      </c>
      <c r="D11" s="13">
        <f>SUM(B12:B15)</f>
        <v>4860000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</row>
    <row r="12" spans="1:125" s="12" customFormat="1" ht="39.75" customHeight="1" thickBot="1">
      <c r="A12" s="128" t="s">
        <v>144</v>
      </c>
      <c r="B12" s="136">
        <f>4000000-2400000</f>
        <v>1600000</v>
      </c>
      <c r="C12" s="13"/>
      <c r="D12" s="1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</row>
    <row r="13" spans="1:125" s="12" customFormat="1" ht="27.75" customHeight="1" thickBot="1">
      <c r="A13" s="128" t="s">
        <v>165</v>
      </c>
      <c r="B13" s="136">
        <f>4000000-4000000</f>
        <v>0</v>
      </c>
      <c r="C13" s="307"/>
      <c r="D13" s="1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</row>
    <row r="14" spans="1:125" s="19" customFormat="1" ht="21" customHeight="1" thickBot="1">
      <c r="A14" s="137" t="s">
        <v>150</v>
      </c>
      <c r="B14" s="136">
        <v>2540000</v>
      </c>
      <c r="C14" s="142"/>
      <c r="D14" s="13"/>
      <c r="E14" s="13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39"/>
      <c r="AP14" s="140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</row>
    <row r="15" spans="1:125" s="19" customFormat="1" ht="21" customHeight="1" thickBot="1">
      <c r="A15" s="141" t="s">
        <v>166</v>
      </c>
      <c r="B15" s="136">
        <v>720000</v>
      </c>
      <c r="C15" s="142"/>
      <c r="D15" s="13"/>
      <c r="E15" s="13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</row>
    <row r="16" spans="1:125" s="12" customFormat="1" ht="22.5" customHeight="1" thickBot="1">
      <c r="A16" s="152" t="s">
        <v>44</v>
      </c>
      <c r="B16" s="10"/>
      <c r="C16" s="13">
        <v>150000</v>
      </c>
      <c r="D16" s="13">
        <f>SUM(C16)</f>
        <v>150000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</row>
    <row r="17" spans="1:73" s="12" customFormat="1" ht="22.5" customHeight="1" thickBot="1">
      <c r="A17" s="152" t="s">
        <v>45</v>
      </c>
      <c r="B17" s="10"/>
      <c r="C17" s="13">
        <v>10000000</v>
      </c>
      <c r="D17" s="13">
        <f>SUM(B18:B19)</f>
        <v>4000000.3200000003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</row>
    <row r="18" spans="1:73" s="12" customFormat="1" ht="22.5" customHeight="1" thickBot="1">
      <c r="A18" s="128" t="s">
        <v>186</v>
      </c>
      <c r="B18" s="10">
        <f>963600*1.27</f>
        <v>1223772</v>
      </c>
      <c r="C18" s="13"/>
      <c r="D18" s="1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s="12" customFormat="1" ht="30.75" customHeight="1" thickBot="1">
      <c r="A19" s="128" t="s">
        <v>187</v>
      </c>
      <c r="B19" s="10">
        <f>6910416*1.27-6000000</f>
        <v>2776228.3200000003</v>
      </c>
      <c r="C19" s="129"/>
      <c r="D19" s="12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</row>
    <row r="20" spans="1:73" s="12" customFormat="1" ht="22.5" customHeight="1" thickBot="1">
      <c r="A20" s="152" t="s">
        <v>46</v>
      </c>
      <c r="B20" s="10"/>
      <c r="C20" s="13">
        <f>SUM(B22:B24)</f>
        <v>21126250</v>
      </c>
      <c r="D20" s="13">
        <f>SUM(B22:B25)</f>
        <v>21963250</v>
      </c>
      <c r="E20" s="14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</row>
    <row r="21" spans="1:73" s="12" customFormat="1" ht="22.5" customHeight="1" thickBot="1">
      <c r="A21" s="128" t="s">
        <v>17</v>
      </c>
      <c r="B21" s="10"/>
      <c r="C21" s="13"/>
      <c r="D21" s="13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</row>
    <row r="22" spans="1:73" s="12" customFormat="1" ht="22.5" customHeight="1" thickBot="1">
      <c r="A22" s="128" t="s">
        <v>47</v>
      </c>
      <c r="B22" s="10">
        <v>50000</v>
      </c>
      <c r="C22" s="13"/>
      <c r="D22" s="1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</row>
    <row r="23" spans="1:73" s="12" customFormat="1" ht="22.5" customHeight="1" thickBot="1">
      <c r="A23" s="128" t="s">
        <v>132</v>
      </c>
      <c r="B23" s="10">
        <v>1000000</v>
      </c>
      <c r="C23" s="13"/>
      <c r="D23" s="1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</row>
    <row r="24" spans="1:73" s="12" customFormat="1" ht="22.5" customHeight="1" thickBot="1">
      <c r="A24" s="128" t="s">
        <v>197</v>
      </c>
      <c r="B24" s="10">
        <v>20076250</v>
      </c>
      <c r="C24" s="13"/>
      <c r="D24" s="1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</row>
    <row r="25" spans="1:73" s="12" customFormat="1" ht="22.5" customHeight="1" thickBot="1">
      <c r="A25" s="128" t="s">
        <v>428</v>
      </c>
      <c r="B25" s="10">
        <v>837000</v>
      </c>
      <c r="C25" s="13"/>
      <c r="D25" s="28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</row>
    <row r="26" spans="1:73" s="133" customFormat="1" ht="22.5" customHeight="1" thickBot="1">
      <c r="A26" s="152" t="s">
        <v>429</v>
      </c>
      <c r="B26" s="127"/>
      <c r="C26" s="13"/>
      <c r="D26" s="280">
        <f>60000+15000</f>
        <v>75000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</row>
    <row r="27" spans="1:73" s="12" customFormat="1" ht="22.5" customHeight="1" thickBot="1">
      <c r="A27" s="152" t="s">
        <v>48</v>
      </c>
      <c r="B27" s="10"/>
      <c r="C27" s="13">
        <v>3750188</v>
      </c>
      <c r="D27" s="13">
        <f>SUM(B29:B30)</f>
        <v>3800188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</row>
    <row r="28" spans="1:73" s="12" customFormat="1" ht="22.5" customHeight="1" thickBot="1">
      <c r="A28" s="128" t="s">
        <v>17</v>
      </c>
      <c r="B28" s="10"/>
      <c r="C28" s="13"/>
      <c r="D28" s="1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</row>
    <row r="29" spans="1:73" s="12" customFormat="1" ht="28.5" customHeight="1" thickBot="1">
      <c r="A29" s="128" t="s">
        <v>167</v>
      </c>
      <c r="B29" s="10">
        <v>3409188</v>
      </c>
      <c r="C29" s="13"/>
      <c r="D29" s="1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:73" s="12" customFormat="1" ht="30.75" customHeight="1" thickBot="1">
      <c r="A30" s="128" t="s">
        <v>79</v>
      </c>
      <c r="B30" s="10">
        <f>300000+41000+50000</f>
        <v>391000</v>
      </c>
      <c r="C30" s="13"/>
      <c r="D30" s="1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:73" s="123" customFormat="1" ht="75" customHeight="1" thickBot="1">
      <c r="A31" s="577" t="s">
        <v>433</v>
      </c>
      <c r="B31" s="578"/>
      <c r="C31" s="13">
        <v>1485000</v>
      </c>
      <c r="D31" s="280">
        <f>SUM(C31)+300000</f>
        <v>1785000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</row>
    <row r="32" spans="1:73" s="12" customFormat="1" ht="38.25" thickBot="1">
      <c r="A32" s="152" t="s">
        <v>49</v>
      </c>
      <c r="B32" s="10"/>
      <c r="C32" s="13">
        <v>568508702</v>
      </c>
      <c r="D32" s="13">
        <f>SUM(C32)+36741485+50781978+32884582</f>
        <v>688916747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:73" s="12" customFormat="1" ht="38.25" thickBot="1">
      <c r="A33" s="152" t="s">
        <v>125</v>
      </c>
      <c r="B33" s="10"/>
      <c r="C33" s="13">
        <f>100000000</f>
        <v>100000000</v>
      </c>
      <c r="D33" s="13">
        <f>SUM(C33)+47782313</f>
        <v>147782313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:73" s="12" customFormat="1" ht="27.75" customHeight="1" thickBot="1">
      <c r="A34" s="152" t="s">
        <v>159</v>
      </c>
      <c r="B34" s="10"/>
      <c r="C34" s="13">
        <v>1020650</v>
      </c>
      <c r="D34" s="13">
        <f>SUM(C34)</f>
        <v>1020650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1:73" s="12" customFormat="1" ht="39.75" customHeight="1" thickBot="1">
      <c r="A35" s="152" t="s">
        <v>431</v>
      </c>
      <c r="B35" s="10"/>
      <c r="C35" s="13"/>
      <c r="D35" s="280">
        <v>135476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:73" s="12" customFormat="1" ht="42" customHeight="1" thickBot="1">
      <c r="A36" s="577" t="s">
        <v>176</v>
      </c>
      <c r="B36" s="578"/>
      <c r="C36" s="13">
        <f>SUM(B37:B41)</f>
        <v>53740000</v>
      </c>
      <c r="D36" s="13">
        <f>SUM(C36)</f>
        <v>53740000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:73" s="12" customFormat="1" ht="21" customHeight="1" thickBot="1">
      <c r="A37" s="128" t="s">
        <v>177</v>
      </c>
      <c r="B37" s="10">
        <v>26400000</v>
      </c>
      <c r="C37" s="13"/>
      <c r="D37" s="1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3" s="12" customFormat="1" ht="21" customHeight="1" thickBot="1">
      <c r="A38" s="128" t="s">
        <v>178</v>
      </c>
      <c r="B38" s="10">
        <v>3240000</v>
      </c>
      <c r="C38" s="13"/>
      <c r="D38" s="1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:73" s="12" customFormat="1" ht="21" customHeight="1" thickBot="1">
      <c r="A39" s="128" t="s">
        <v>180</v>
      </c>
      <c r="B39" s="10">
        <v>9800000</v>
      </c>
      <c r="C39" s="13"/>
      <c r="D39" s="1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:73" s="12" customFormat="1" ht="21" customHeight="1" thickBot="1">
      <c r="A40" s="128" t="s">
        <v>179</v>
      </c>
      <c r="B40" s="10">
        <v>11300000</v>
      </c>
      <c r="C40" s="13"/>
      <c r="D40" s="1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:73" s="12" customFormat="1" ht="21" customHeight="1" thickBot="1">
      <c r="A41" s="128" t="s">
        <v>81</v>
      </c>
      <c r="B41" s="10">
        <v>3000000</v>
      </c>
      <c r="C41" s="13"/>
      <c r="D41" s="1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:73" s="133" customFormat="1" ht="21" customHeight="1" thickBot="1">
      <c r="A42" s="152" t="s">
        <v>448</v>
      </c>
      <c r="B42" s="127"/>
      <c r="C42" s="13"/>
      <c r="D42" s="13">
        <v>7847500</v>
      </c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</row>
    <row r="43" spans="1:73" s="133" customFormat="1" ht="21" customHeight="1" thickBot="1">
      <c r="A43" s="152" t="s">
        <v>478</v>
      </c>
      <c r="B43" s="127"/>
      <c r="C43" s="13"/>
      <c r="D43" s="13">
        <v>11964000</v>
      </c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</row>
    <row r="44" spans="1:73" s="12" customFormat="1" ht="31.5" customHeight="1" thickBot="1">
      <c r="A44" s="152" t="s">
        <v>141</v>
      </c>
      <c r="B44" s="10"/>
      <c r="C44" s="13">
        <f>SUM(B46:B47)</f>
        <v>39412360</v>
      </c>
      <c r="D44" s="13">
        <f>SUM(C44)</f>
        <v>39412360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:73" s="12" customFormat="1" ht="24" customHeight="1" thickBot="1">
      <c r="A45" s="128" t="s">
        <v>52</v>
      </c>
      <c r="B45" s="10"/>
      <c r="C45" s="13"/>
      <c r="D45" s="13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:73" s="12" customFormat="1" ht="24" customHeight="1" thickBot="1">
      <c r="A46" s="128" t="s">
        <v>170</v>
      </c>
      <c r="B46" s="10">
        <v>8677000</v>
      </c>
      <c r="C46" s="13"/>
      <c r="D46" s="13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:73" s="12" customFormat="1" ht="24" customHeight="1" thickBot="1">
      <c r="A47" s="128" t="s">
        <v>171</v>
      </c>
      <c r="B47" s="10">
        <v>30735360</v>
      </c>
      <c r="C47" s="13"/>
      <c r="D47" s="1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:73" s="12" customFormat="1" ht="37.5" customHeight="1" thickBot="1">
      <c r="A48" s="152" t="s">
        <v>78</v>
      </c>
      <c r="B48" s="10"/>
      <c r="C48" s="13">
        <v>10000000</v>
      </c>
      <c r="D48" s="13">
        <f>SUM(B49:B51)</f>
        <v>10139352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:73" s="12" customFormat="1" ht="37.5" customHeight="1" thickBot="1">
      <c r="A49" s="128" t="s">
        <v>163</v>
      </c>
      <c r="B49" s="10">
        <v>4597000</v>
      </c>
      <c r="C49" s="13"/>
      <c r="D49" s="13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:73" s="12" customFormat="1" ht="24.75" customHeight="1" thickBot="1">
      <c r="A50" s="128" t="s">
        <v>162</v>
      </c>
      <c r="B50" s="10">
        <f>5403000+5064352-5403000</f>
        <v>5064352</v>
      </c>
      <c r="C50" s="13"/>
      <c r="D50" s="13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:73" s="12" customFormat="1" ht="24.75" customHeight="1" thickBot="1">
      <c r="A51" s="259" t="s">
        <v>476</v>
      </c>
      <c r="B51" s="474">
        <v>478000</v>
      </c>
      <c r="C51" s="98"/>
      <c r="D51" s="9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:73" s="66" customFormat="1" ht="66.75" customHeight="1" thickBot="1">
      <c r="A52" s="109" t="s">
        <v>124</v>
      </c>
      <c r="B52" s="114"/>
      <c r="C52" s="111" t="s">
        <v>148</v>
      </c>
      <c r="D52" s="111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</row>
    <row r="53" spans="1:73" s="133" customFormat="1" ht="24" customHeight="1" thickBot="1">
      <c r="A53" s="152" t="s">
        <v>430</v>
      </c>
      <c r="B53" s="127"/>
      <c r="C53" s="13"/>
      <c r="D53" s="280">
        <f>4848068+943400+500000</f>
        <v>6291468</v>
      </c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</row>
    <row r="54" spans="1:73" s="133" customFormat="1" ht="32.25" customHeight="1" thickBot="1">
      <c r="A54" s="152" t="s">
        <v>82</v>
      </c>
      <c r="B54" s="127"/>
      <c r="C54" s="13">
        <v>2400000</v>
      </c>
      <c r="D54" s="13">
        <f>SUM(B55)</f>
        <v>4800000</v>
      </c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</row>
    <row r="55" spans="1:73" s="12" customFormat="1" ht="87.75" customHeight="1" thickBot="1">
      <c r="A55" s="128" t="s">
        <v>458</v>
      </c>
      <c r="B55" s="10">
        <f>2400000+2400000</f>
        <v>4800000</v>
      </c>
      <c r="C55" s="129"/>
      <c r="D55" s="12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:73" s="133" customFormat="1" ht="30" customHeight="1" thickBot="1">
      <c r="A56" s="152" t="s">
        <v>145</v>
      </c>
      <c r="B56" s="127"/>
      <c r="C56" s="13">
        <v>3000000</v>
      </c>
      <c r="D56" s="13">
        <f>SUM(C56)-3000000</f>
        <v>0</v>
      </c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</row>
    <row r="57" spans="1:73" s="133" customFormat="1" ht="56.25" customHeight="1" thickBot="1">
      <c r="A57" s="152" t="s">
        <v>151</v>
      </c>
      <c r="B57" s="127"/>
      <c r="C57" s="13">
        <v>6840001</v>
      </c>
      <c r="D57" s="13">
        <f>SUM(C57)</f>
        <v>6840001</v>
      </c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</row>
    <row r="58" spans="1:73" s="12" customFormat="1" ht="25.5" customHeight="1" thickBot="1">
      <c r="A58" s="152" t="s">
        <v>53</v>
      </c>
      <c r="B58" s="10"/>
      <c r="C58" s="13">
        <f>SUM(B59)</f>
        <v>21910000</v>
      </c>
      <c r="D58" s="13">
        <f>SUM(C58)</f>
        <v>21910000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:73" s="12" customFormat="1" ht="25.5" customHeight="1" thickBot="1">
      <c r="A59" s="128" t="s">
        <v>54</v>
      </c>
      <c r="B59" s="10">
        <v>21910000</v>
      </c>
      <c r="C59" s="13"/>
      <c r="D59" s="13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:73" s="133" customFormat="1" ht="38.25" customHeight="1" thickBot="1">
      <c r="A60" s="20" t="s">
        <v>434</v>
      </c>
      <c r="B60" s="463"/>
      <c r="C60" s="98"/>
      <c r="D60" s="283">
        <v>3185809</v>
      </c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</row>
    <row r="61" spans="1:73" s="133" customFormat="1" ht="33.75" customHeight="1" thickBot="1">
      <c r="A61" s="152" t="s">
        <v>435</v>
      </c>
      <c r="B61" s="127"/>
      <c r="C61" s="13"/>
      <c r="D61" s="280">
        <v>17539448</v>
      </c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</row>
    <row r="62" spans="1:73" s="12" customFormat="1" ht="39.75" customHeight="1" thickBot="1">
      <c r="A62" s="152" t="s">
        <v>55</v>
      </c>
      <c r="B62" s="10"/>
      <c r="C62" s="13">
        <f>SUM(B64:B68)</f>
        <v>20472118</v>
      </c>
      <c r="D62" s="13">
        <f>SUM(C62)</f>
        <v>20472118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:73" s="12" customFormat="1" ht="21.75" customHeight="1" thickBot="1">
      <c r="A63" s="128" t="s">
        <v>17</v>
      </c>
      <c r="B63" s="10"/>
      <c r="C63" s="13"/>
      <c r="D63" s="13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:73" s="12" customFormat="1" ht="21.75" customHeight="1" thickBot="1">
      <c r="A64" s="128" t="s">
        <v>90</v>
      </c>
      <c r="B64" s="10">
        <v>13000000</v>
      </c>
      <c r="C64" s="13"/>
      <c r="D64" s="13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:73" s="12" customFormat="1" ht="21.75" customHeight="1" thickBot="1">
      <c r="A65" s="128" t="s">
        <v>56</v>
      </c>
      <c r="B65" s="10">
        <v>3472118</v>
      </c>
      <c r="C65" s="13"/>
      <c r="D65" s="13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:73" s="12" customFormat="1" ht="21.75" customHeight="1" thickBot="1">
      <c r="A66" s="128" t="s">
        <v>91</v>
      </c>
      <c r="B66" s="10">
        <v>2000000</v>
      </c>
      <c r="C66" s="13"/>
      <c r="D66" s="13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:73" s="12" customFormat="1" ht="21.75" customHeight="1" thickBot="1">
      <c r="A67" s="128" t="s">
        <v>57</v>
      </c>
      <c r="B67" s="10">
        <v>1000000</v>
      </c>
      <c r="C67" s="13"/>
      <c r="D67" s="13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:73" s="12" customFormat="1" ht="21.75" customHeight="1" thickBot="1">
      <c r="A68" s="128" t="s">
        <v>143</v>
      </c>
      <c r="B68" s="10">
        <v>1000000</v>
      </c>
      <c r="C68" s="144"/>
      <c r="D68" s="144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:73" s="22" customFormat="1" ht="41.25" customHeight="1" thickBot="1">
      <c r="A69" s="90" t="s">
        <v>58</v>
      </c>
      <c r="B69" s="91"/>
      <c r="C69" s="92">
        <f>SUM(C8:C68)</f>
        <v>936075269</v>
      </c>
      <c r="D69" s="92">
        <f>SUM(D8:D68)</f>
        <v>1139630680.3199999</v>
      </c>
      <c r="E69" s="115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</row>
    <row r="70" spans="1:73" s="22" customFormat="1" ht="26.25" customHeight="1" thickBot="1">
      <c r="A70" s="20"/>
      <c r="B70" s="70"/>
      <c r="C70" s="71"/>
      <c r="D70" s="7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</row>
    <row r="71" spans="1:73" s="19" customFormat="1" ht="28.5" customHeight="1" thickBot="1">
      <c r="A71" s="72" t="s">
        <v>126</v>
      </c>
      <c r="B71" s="73"/>
      <c r="C71" s="74"/>
      <c r="D71" s="74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</row>
    <row r="72" spans="1:73" s="133" customFormat="1" ht="69.75" customHeight="1" thickBot="1">
      <c r="A72" s="580" t="s">
        <v>152</v>
      </c>
      <c r="B72" s="581"/>
      <c r="C72" s="13">
        <v>54926230</v>
      </c>
      <c r="D72" s="13">
        <f>SUM(C72)+26734000+3733800</f>
        <v>85394030</v>
      </c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</row>
    <row r="73" spans="1:73" s="133" customFormat="1" ht="69.75" customHeight="1" thickBot="1">
      <c r="A73" s="577" t="s">
        <v>188</v>
      </c>
      <c r="B73" s="578"/>
      <c r="C73" s="13">
        <v>838906063</v>
      </c>
      <c r="D73" s="13">
        <f>SUM(C73)</f>
        <v>838906063</v>
      </c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</row>
    <row r="74" spans="1:73" s="125" customFormat="1" ht="38.25" customHeight="1" thickBot="1">
      <c r="A74" s="577" t="s">
        <v>189</v>
      </c>
      <c r="B74" s="578"/>
      <c r="C74" s="13">
        <v>393952979</v>
      </c>
      <c r="D74" s="13">
        <f>SUM(C74)+5430500+385100</f>
        <v>399768579</v>
      </c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</row>
    <row r="75" spans="1:73" s="133" customFormat="1" ht="52.5" customHeight="1" thickBot="1">
      <c r="A75" s="134" t="s">
        <v>190</v>
      </c>
      <c r="B75" s="151"/>
      <c r="C75" s="13">
        <v>25312174</v>
      </c>
      <c r="D75" s="13">
        <f>SUM(C75)+419291+3016366+4437637</f>
        <v>33185468</v>
      </c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</row>
    <row r="76" spans="1:73" s="133" customFormat="1" ht="52.5" customHeight="1" thickBot="1">
      <c r="A76" s="134" t="s">
        <v>192</v>
      </c>
      <c r="B76" s="151"/>
      <c r="C76" s="13">
        <v>208891270</v>
      </c>
      <c r="D76" s="13">
        <f>SUM(C76)+967478</f>
        <v>209858748</v>
      </c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</row>
    <row r="77" spans="1:73" s="133" customFormat="1" ht="52.5" customHeight="1" thickBot="1">
      <c r="A77" s="134" t="s">
        <v>193</v>
      </c>
      <c r="B77" s="151"/>
      <c r="C77" s="13">
        <v>90353295</v>
      </c>
      <c r="D77" s="13">
        <f>SUM(C77)+717165</f>
        <v>91070460</v>
      </c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</row>
    <row r="78" spans="1:73" s="133" customFormat="1" ht="52.5" customHeight="1" thickBot="1">
      <c r="A78" s="134" t="s">
        <v>464</v>
      </c>
      <c r="B78" s="151"/>
      <c r="C78" s="13">
        <v>120147577</v>
      </c>
      <c r="D78" s="280">
        <f>SUM(B79:B80)</f>
        <v>121313144</v>
      </c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</row>
    <row r="79" spans="1:73" s="19" customFormat="1" ht="30" customHeight="1" thickBot="1">
      <c r="A79" s="481" t="s">
        <v>462</v>
      </c>
      <c r="B79" s="482">
        <f>120147577+549567</f>
        <v>120697144</v>
      </c>
      <c r="C79" s="129"/>
      <c r="D79" s="129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</row>
    <row r="80" spans="1:73" s="19" customFormat="1" ht="30" customHeight="1" thickBot="1">
      <c r="A80" s="483" t="s">
        <v>465</v>
      </c>
      <c r="B80" s="482">
        <v>616000</v>
      </c>
      <c r="C80" s="129"/>
      <c r="D80" s="129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</row>
    <row r="81" spans="1:73" s="133" customFormat="1" ht="52.5" customHeight="1" thickBot="1">
      <c r="A81" s="134" t="s">
        <v>195</v>
      </c>
      <c r="B81" s="151"/>
      <c r="C81" s="13">
        <v>191471499</v>
      </c>
      <c r="D81" s="13">
        <f>SUM(C81)+779528</f>
        <v>192251027</v>
      </c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</row>
    <row r="82" spans="1:73" s="133" customFormat="1" ht="38.25" customHeight="1" thickBot="1">
      <c r="A82" s="134" t="s">
        <v>196</v>
      </c>
      <c r="B82" s="151"/>
      <c r="C82" s="13">
        <v>103850000</v>
      </c>
      <c r="D82" s="13">
        <f>SUM(C82)</f>
        <v>103850000</v>
      </c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</row>
    <row r="83" spans="1:73" s="472" customFormat="1" ht="38.25" customHeight="1" thickBot="1">
      <c r="A83" s="469" t="s">
        <v>418</v>
      </c>
      <c r="B83" s="470"/>
      <c r="C83" s="13"/>
      <c r="D83" s="13">
        <f>51714618+4820000</f>
        <v>56534618</v>
      </c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1"/>
      <c r="AL83" s="471"/>
      <c r="AM83" s="471"/>
      <c r="AN83" s="471"/>
      <c r="AO83" s="471"/>
      <c r="AP83" s="471"/>
      <c r="AQ83" s="471"/>
      <c r="AR83" s="471"/>
      <c r="AS83" s="471"/>
      <c r="AT83" s="471"/>
      <c r="AU83" s="471"/>
      <c r="AV83" s="471"/>
      <c r="AW83" s="471"/>
      <c r="AX83" s="471"/>
      <c r="AY83" s="471"/>
      <c r="AZ83" s="471"/>
      <c r="BA83" s="471"/>
      <c r="BB83" s="471"/>
      <c r="BC83" s="471"/>
      <c r="BD83" s="471"/>
      <c r="BE83" s="471"/>
      <c r="BF83" s="471"/>
      <c r="BG83" s="471"/>
      <c r="BH83" s="471"/>
      <c r="BI83" s="471"/>
      <c r="BJ83" s="471"/>
      <c r="BK83" s="471"/>
      <c r="BL83" s="471"/>
      <c r="BM83" s="471"/>
      <c r="BN83" s="471"/>
      <c r="BO83" s="471"/>
      <c r="BP83" s="471"/>
      <c r="BQ83" s="471"/>
      <c r="BR83" s="471"/>
      <c r="BS83" s="471"/>
      <c r="BT83" s="471"/>
      <c r="BU83" s="471"/>
    </row>
    <row r="84" spans="1:73" s="96" customFormat="1" ht="57" thickBot="1">
      <c r="A84" s="465" t="s">
        <v>420</v>
      </c>
      <c r="B84" s="466"/>
      <c r="C84" s="13"/>
      <c r="D84" s="13">
        <v>11000000</v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</row>
    <row r="85" spans="1:73" s="96" customFormat="1" ht="74.25" customHeight="1" thickBot="1">
      <c r="A85" s="465" t="s">
        <v>421</v>
      </c>
      <c r="B85" s="466"/>
      <c r="C85" s="13"/>
      <c r="D85" s="13">
        <v>26666667</v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</row>
    <row r="86" spans="1:73" s="66" customFormat="1" ht="66.75" customHeight="1" thickBot="1">
      <c r="A86" s="109" t="s">
        <v>124</v>
      </c>
      <c r="B86" s="114"/>
      <c r="C86" s="111" t="s">
        <v>148</v>
      </c>
      <c r="D86" s="111" t="s">
        <v>149</v>
      </c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</row>
    <row r="87" spans="1:73" s="96" customFormat="1" ht="78" customHeight="1" thickBot="1">
      <c r="A87" s="465" t="s">
        <v>422</v>
      </c>
      <c r="B87" s="466"/>
      <c r="C87" s="13"/>
      <c r="D87" s="13">
        <v>244000000</v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</row>
    <row r="88" spans="1:73" s="96" customFormat="1" ht="52.5" customHeight="1" thickBot="1">
      <c r="A88" s="467" t="s">
        <v>423</v>
      </c>
      <c r="B88" s="468"/>
      <c r="C88" s="13"/>
      <c r="D88" s="13">
        <v>10000000</v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</row>
    <row r="89" spans="1:73" s="96" customFormat="1" ht="52.5" customHeight="1" thickBot="1">
      <c r="A89" s="467" t="s">
        <v>424</v>
      </c>
      <c r="B89" s="466"/>
      <c r="C89" s="13"/>
      <c r="D89" s="13">
        <v>4400000</v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</row>
    <row r="90" spans="1:73" s="96" customFormat="1" ht="52.5" customHeight="1" thickBot="1">
      <c r="A90" s="467" t="s">
        <v>461</v>
      </c>
      <c r="B90" s="466"/>
      <c r="C90" s="13"/>
      <c r="D90" s="13">
        <f>SUM(B91:B92)</f>
        <v>39999539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</row>
    <row r="91" spans="1:73" s="19" customFormat="1" ht="30" customHeight="1" thickBot="1">
      <c r="A91" s="481" t="s">
        <v>462</v>
      </c>
      <c r="B91" s="482">
        <v>29999539</v>
      </c>
      <c r="C91" s="129"/>
      <c r="D91" s="129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</row>
    <row r="92" spans="1:73" s="19" customFormat="1" ht="30" customHeight="1" thickBot="1">
      <c r="A92" s="481" t="s">
        <v>463</v>
      </c>
      <c r="B92" s="482">
        <v>10000000</v>
      </c>
      <c r="C92" s="129"/>
      <c r="D92" s="129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</row>
    <row r="93" spans="1:73" s="96" customFormat="1" ht="38.25" customHeight="1" thickBot="1">
      <c r="A93" s="152" t="s">
        <v>436</v>
      </c>
      <c r="B93" s="464"/>
      <c r="C93" s="13"/>
      <c r="D93" s="13">
        <v>22356945</v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</row>
    <row r="94" spans="1:73" s="96" customFormat="1" ht="52.5" customHeight="1" thickBot="1">
      <c r="A94" s="465" t="s">
        <v>471</v>
      </c>
      <c r="B94" s="473"/>
      <c r="C94" s="13"/>
      <c r="D94" s="280">
        <f>18534579+3001622-3001975</f>
        <v>18534226</v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</row>
    <row r="95" spans="1:73" s="125" customFormat="1" ht="59.25" customHeight="1" thickBot="1">
      <c r="A95" s="152" t="s">
        <v>444</v>
      </c>
      <c r="B95" s="274"/>
      <c r="C95" s="13"/>
      <c r="D95" s="280">
        <f>278000</f>
        <v>278000</v>
      </c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</row>
    <row r="96" spans="1:73" s="472" customFormat="1" ht="38.25" customHeight="1" thickBot="1">
      <c r="A96" s="469" t="s">
        <v>438</v>
      </c>
      <c r="B96" s="470"/>
      <c r="C96" s="13"/>
      <c r="D96" s="280">
        <f>7181000</f>
        <v>7181000</v>
      </c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1"/>
      <c r="R96" s="471"/>
      <c r="S96" s="471"/>
      <c r="T96" s="471"/>
      <c r="U96" s="471"/>
      <c r="V96" s="471"/>
      <c r="W96" s="471"/>
      <c r="X96" s="471"/>
      <c r="Y96" s="471"/>
      <c r="Z96" s="471"/>
      <c r="AA96" s="471"/>
      <c r="AB96" s="471"/>
      <c r="AC96" s="471"/>
      <c r="AD96" s="471"/>
      <c r="AE96" s="471"/>
      <c r="AF96" s="471"/>
      <c r="AG96" s="471"/>
      <c r="AH96" s="471"/>
      <c r="AI96" s="471"/>
      <c r="AJ96" s="471"/>
      <c r="AK96" s="471"/>
      <c r="AL96" s="471"/>
      <c r="AM96" s="471"/>
      <c r="AN96" s="471"/>
      <c r="AO96" s="471"/>
      <c r="AP96" s="471"/>
      <c r="AQ96" s="471"/>
      <c r="AR96" s="471"/>
      <c r="AS96" s="471"/>
      <c r="AT96" s="471"/>
      <c r="AU96" s="471"/>
      <c r="AV96" s="471"/>
      <c r="AW96" s="471"/>
      <c r="AX96" s="471"/>
      <c r="AY96" s="471"/>
      <c r="AZ96" s="471"/>
      <c r="BA96" s="471"/>
      <c r="BB96" s="471"/>
      <c r="BC96" s="471"/>
      <c r="BD96" s="471"/>
      <c r="BE96" s="471"/>
      <c r="BF96" s="471"/>
      <c r="BG96" s="471"/>
      <c r="BH96" s="471"/>
      <c r="BI96" s="471"/>
      <c r="BJ96" s="471"/>
      <c r="BK96" s="471"/>
      <c r="BL96" s="471"/>
      <c r="BM96" s="471"/>
      <c r="BN96" s="471"/>
      <c r="BO96" s="471"/>
      <c r="BP96" s="471"/>
      <c r="BQ96" s="471"/>
      <c r="BR96" s="471"/>
      <c r="BS96" s="471"/>
      <c r="BT96" s="471"/>
      <c r="BU96" s="471"/>
    </row>
    <row r="97" spans="1:73" s="125" customFormat="1" ht="38.25" customHeight="1" thickBot="1">
      <c r="A97" s="152" t="s">
        <v>432</v>
      </c>
      <c r="B97" s="274"/>
      <c r="C97" s="13"/>
      <c r="D97" s="280">
        <v>40000</v>
      </c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</row>
    <row r="98" spans="1:73" s="133" customFormat="1" ht="56.25" customHeight="1" thickBot="1">
      <c r="A98" s="152" t="s">
        <v>161</v>
      </c>
      <c r="B98" s="127"/>
      <c r="C98" s="13">
        <v>19050000</v>
      </c>
      <c r="D98" s="13">
        <f>SUM(C98)</f>
        <v>19050000</v>
      </c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</row>
    <row r="99" spans="1:73" s="12" customFormat="1" ht="39.75" customHeight="1" thickBot="1">
      <c r="A99" s="152" t="s">
        <v>127</v>
      </c>
      <c r="B99" s="127"/>
      <c r="C99" s="13">
        <v>100000000</v>
      </c>
      <c r="D99" s="13">
        <f>SUM(B100)</f>
        <v>125009957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:73" s="12" customFormat="1" ht="39.75" customHeight="1" thickBot="1">
      <c r="A100" s="128" t="s">
        <v>80</v>
      </c>
      <c r="B100" s="10">
        <f>100000000+10009957+15000000</f>
        <v>125009957</v>
      </c>
      <c r="C100" s="129"/>
      <c r="D100" s="129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:73" s="133" customFormat="1" ht="39.75" customHeight="1" thickBot="1">
      <c r="A101" s="152" t="s">
        <v>160</v>
      </c>
      <c r="B101" s="127"/>
      <c r="C101" s="13">
        <v>10000000</v>
      </c>
      <c r="D101" s="13">
        <f>SUM(C101)-10000000</f>
        <v>0</v>
      </c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</row>
    <row r="102" spans="1:73" s="12" customFormat="1" ht="27" customHeight="1" thickBot="1">
      <c r="A102" s="152" t="s">
        <v>51</v>
      </c>
      <c r="B102" s="10"/>
      <c r="C102" s="13">
        <v>3000000</v>
      </c>
      <c r="D102" s="13">
        <f>SUM(C102)</f>
        <v>3000000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:73" s="12" customFormat="1" ht="27.75" customHeight="1" thickBot="1">
      <c r="A103" s="152" t="s">
        <v>60</v>
      </c>
      <c r="B103" s="127"/>
      <c r="C103" s="13">
        <v>6050000</v>
      </c>
      <c r="D103" s="13">
        <f>SUM(B104:B106)</f>
        <v>6050000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:73" s="12" customFormat="1" ht="30" customHeight="1" thickBot="1">
      <c r="A104" s="128" t="s">
        <v>61</v>
      </c>
      <c r="B104" s="10">
        <v>2000000</v>
      </c>
      <c r="C104" s="13"/>
      <c r="D104" s="13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:73" s="12" customFormat="1" ht="19.5" thickBot="1">
      <c r="A105" s="128" t="s">
        <v>137</v>
      </c>
      <c r="B105" s="10">
        <v>50000</v>
      </c>
      <c r="C105" s="13"/>
      <c r="D105" s="13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:73" s="12" customFormat="1" ht="39.75" customHeight="1" thickBot="1">
      <c r="A106" s="128" t="s">
        <v>173</v>
      </c>
      <c r="B106" s="10">
        <v>4000000</v>
      </c>
      <c r="C106" s="13"/>
      <c r="D106" s="13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:73" s="133" customFormat="1" ht="29.25" customHeight="1" thickBot="1">
      <c r="A107" s="152" t="s">
        <v>140</v>
      </c>
      <c r="B107" s="127"/>
      <c r="C107" s="13">
        <f>SUM(B108:B109)</f>
        <v>2000000</v>
      </c>
      <c r="D107" s="13">
        <v>171000</v>
      </c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</row>
    <row r="108" spans="1:73" s="12" customFormat="1" ht="24.75" customHeight="1" thickBot="1">
      <c r="A108" s="128" t="s">
        <v>153</v>
      </c>
      <c r="B108" s="10">
        <v>1000000</v>
      </c>
      <c r="C108" s="13"/>
      <c r="D108" s="13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:73" s="12" customFormat="1" ht="24.75" customHeight="1" thickBot="1">
      <c r="A109" s="128" t="s">
        <v>154</v>
      </c>
      <c r="B109" s="10">
        <v>1000000</v>
      </c>
      <c r="C109" s="13"/>
      <c r="D109" s="13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:73" s="12" customFormat="1" ht="38.25" customHeight="1" thickBot="1">
      <c r="A110" s="152" t="s">
        <v>175</v>
      </c>
      <c r="B110" s="10"/>
      <c r="C110" s="13">
        <v>2000000</v>
      </c>
      <c r="D110" s="13">
        <v>2000000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:73" s="12" customFormat="1" ht="51" customHeight="1" thickBot="1">
      <c r="A111" s="152" t="s">
        <v>92</v>
      </c>
      <c r="B111" s="127"/>
      <c r="C111" s="13">
        <v>2000000</v>
      </c>
      <c r="D111" s="13">
        <f t="shared" ref="D111:D121" si="0">SUM(C111)</f>
        <v>2000000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:73" s="12" customFormat="1" ht="34.5" customHeight="1" thickBot="1">
      <c r="A112" s="152" t="s">
        <v>93</v>
      </c>
      <c r="B112" s="127"/>
      <c r="C112" s="13">
        <v>2000000</v>
      </c>
      <c r="D112" s="13">
        <f>SUM(C112)+774469</f>
        <v>2774469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:73" s="12" customFormat="1" ht="34.5" customHeight="1" thickBot="1">
      <c r="A113" s="152" t="s">
        <v>459</v>
      </c>
      <c r="B113" s="127"/>
      <c r="C113" s="13"/>
      <c r="D113" s="13">
        <v>1200000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:73" s="12" customFormat="1" ht="34.5" customHeight="1" thickBot="1">
      <c r="A114" s="152" t="s">
        <v>460</v>
      </c>
      <c r="B114" s="127"/>
      <c r="C114" s="13"/>
      <c r="D114" s="280">
        <v>50000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:73" s="12" customFormat="1" ht="38.25" thickBot="1">
      <c r="A115" s="152" t="s">
        <v>62</v>
      </c>
      <c r="B115" s="127"/>
      <c r="C115" s="13">
        <v>300000</v>
      </c>
      <c r="D115" s="13">
        <f t="shared" si="0"/>
        <v>300000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:73" s="133" customFormat="1" ht="26.25" customHeight="1" thickBot="1">
      <c r="A116" s="134" t="s">
        <v>138</v>
      </c>
      <c r="B116" s="135"/>
      <c r="C116" s="145">
        <v>1047000</v>
      </c>
      <c r="D116" s="13">
        <f t="shared" si="0"/>
        <v>1047000</v>
      </c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</row>
    <row r="117" spans="1:73" s="133" customFormat="1" ht="30.75" customHeight="1" thickBot="1">
      <c r="A117" s="134" t="s">
        <v>139</v>
      </c>
      <c r="B117" s="135"/>
      <c r="C117" s="145">
        <v>500000</v>
      </c>
      <c r="D117" s="13">
        <f t="shared" si="0"/>
        <v>500000</v>
      </c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</row>
    <row r="118" spans="1:73" s="12" customFormat="1" ht="32.25" customHeight="1" thickBot="1">
      <c r="A118" s="152" t="s">
        <v>169</v>
      </c>
      <c r="B118" s="127"/>
      <c r="C118" s="13">
        <v>5000000</v>
      </c>
      <c r="D118" s="13">
        <f>SUM(C118)+13424000</f>
        <v>18424000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:73" s="12" customFormat="1" ht="32.25" customHeight="1" thickBot="1">
      <c r="A119" s="152" t="s">
        <v>168</v>
      </c>
      <c r="B119" s="127"/>
      <c r="C119" s="13">
        <v>1875000</v>
      </c>
      <c r="D119" s="13">
        <f>SUM(C119)+1875000</f>
        <v>3750000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:73" s="12" customFormat="1" ht="32.25" customHeight="1" thickBot="1">
      <c r="A120" s="577" t="s">
        <v>437</v>
      </c>
      <c r="B120" s="578"/>
      <c r="C120" s="13"/>
      <c r="D120" s="280">
        <f>1371600</f>
        <v>1371600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:73" s="12" customFormat="1" ht="26.25" customHeight="1" thickBot="1">
      <c r="A121" s="152" t="s">
        <v>63</v>
      </c>
      <c r="B121" s="127"/>
      <c r="C121" s="13">
        <f>SUM(B122:B129)</f>
        <v>1438460</v>
      </c>
      <c r="D121" s="13">
        <f t="shared" si="0"/>
        <v>1438460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:73" s="12" customFormat="1" ht="19.5" thickBot="1">
      <c r="A122" s="128" t="s">
        <v>133</v>
      </c>
      <c r="B122" s="10">
        <v>718725</v>
      </c>
      <c r="C122" s="13"/>
      <c r="D122" s="13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:73" s="12" customFormat="1" ht="24" customHeight="1" thickBot="1">
      <c r="A123" s="128" t="s">
        <v>134</v>
      </c>
      <c r="B123" s="10">
        <v>50000</v>
      </c>
      <c r="C123" s="13"/>
      <c r="D123" s="13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:73" s="12" customFormat="1" ht="62.25" customHeight="1" thickBot="1">
      <c r="A124" s="128" t="s">
        <v>135</v>
      </c>
      <c r="B124" s="10">
        <v>543200</v>
      </c>
      <c r="C124" s="13"/>
      <c r="D124" s="13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:73" s="12" customFormat="1" ht="30.75" customHeight="1" thickBot="1">
      <c r="A125" s="128" t="s">
        <v>136</v>
      </c>
      <c r="B125" s="10">
        <v>20535</v>
      </c>
      <c r="C125" s="13"/>
      <c r="D125" s="1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:73" s="66" customFormat="1" ht="66.75" customHeight="1" thickBot="1">
      <c r="A126" s="109" t="s">
        <v>124</v>
      </c>
      <c r="B126" s="114"/>
      <c r="C126" s="111" t="s">
        <v>148</v>
      </c>
      <c r="D126" s="111" t="s">
        <v>149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</row>
    <row r="127" spans="1:73" s="12" customFormat="1" ht="37.5" customHeight="1" thickBot="1">
      <c r="A127" s="128" t="s">
        <v>64</v>
      </c>
      <c r="B127" s="10">
        <v>1000</v>
      </c>
      <c r="C127" s="13"/>
      <c r="D127" s="13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:73" s="12" customFormat="1" ht="24" customHeight="1" thickBot="1">
      <c r="A128" s="128" t="s">
        <v>65</v>
      </c>
      <c r="B128" s="10">
        <v>5000</v>
      </c>
      <c r="C128" s="13"/>
      <c r="D128" s="13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:73" s="149" customFormat="1" ht="27" customHeight="1" thickBot="1">
      <c r="A129" s="146" t="s">
        <v>174</v>
      </c>
      <c r="B129" s="147">
        <v>100000</v>
      </c>
      <c r="C129" s="148"/>
      <c r="D129" s="14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:73" s="12" customFormat="1" ht="27.75" customHeight="1" thickBot="1">
      <c r="A130" s="152" t="s">
        <v>128</v>
      </c>
      <c r="B130" s="127"/>
      <c r="C130" s="13">
        <v>9525000</v>
      </c>
      <c r="D130" s="13">
        <f>SUM(C130)</f>
        <v>9525000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:73" s="133" customFormat="1" ht="44.25" customHeight="1" thickBot="1">
      <c r="A131" s="152" t="s">
        <v>66</v>
      </c>
      <c r="B131" s="127"/>
      <c r="C131" s="13">
        <f>SUM(B132:B133)</f>
        <v>26795000</v>
      </c>
      <c r="D131" s="13">
        <f>SUM(C131)</f>
        <v>26795000</v>
      </c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</row>
    <row r="132" spans="1:73" s="12" customFormat="1" ht="24" customHeight="1" thickBot="1">
      <c r="A132" s="128" t="s">
        <v>67</v>
      </c>
      <c r="B132" s="10">
        <v>5617000</v>
      </c>
      <c r="C132" s="13"/>
      <c r="D132" s="13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:73" s="12" customFormat="1" ht="24" customHeight="1" thickBot="1">
      <c r="A133" s="128" t="s">
        <v>68</v>
      </c>
      <c r="B133" s="10">
        <v>21178000</v>
      </c>
      <c r="C133" s="13"/>
      <c r="D133" s="13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:73" s="12" customFormat="1" ht="42.75" customHeight="1" thickBot="1">
      <c r="A134" s="577" t="s">
        <v>55</v>
      </c>
      <c r="B134" s="578"/>
      <c r="C134" s="13">
        <v>9316195</v>
      </c>
      <c r="D134" s="13">
        <f>SUM(B135:B147)</f>
        <v>14708162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:73" s="12" customFormat="1" ht="22.5" customHeight="1" thickBot="1">
      <c r="A135" s="128" t="s">
        <v>69</v>
      </c>
      <c r="B135" s="10">
        <f>106440+42432</f>
        <v>148872</v>
      </c>
      <c r="C135" s="13"/>
      <c r="D135" s="13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:73" s="12" customFormat="1" ht="22.5" customHeight="1" thickBot="1">
      <c r="A136" s="128" t="s">
        <v>70</v>
      </c>
      <c r="B136" s="10">
        <f>132000+33000</f>
        <v>165000</v>
      </c>
      <c r="C136" s="13"/>
      <c r="D136" s="13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:73" s="12" customFormat="1" ht="22.5" customHeight="1" thickBot="1">
      <c r="A137" s="128" t="s">
        <v>181</v>
      </c>
      <c r="B137" s="10">
        <v>2000000</v>
      </c>
      <c r="C137" s="13"/>
      <c r="D137" s="13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:73" s="12" customFormat="1" ht="22.5" customHeight="1" thickBot="1">
      <c r="A138" s="128" t="s">
        <v>71</v>
      </c>
      <c r="B138" s="10">
        <v>457200</v>
      </c>
      <c r="C138" s="13"/>
      <c r="D138" s="13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:73" s="12" customFormat="1" ht="22.5" customHeight="1" thickBot="1">
      <c r="A139" s="128" t="s">
        <v>172</v>
      </c>
      <c r="B139" s="10">
        <v>825500</v>
      </c>
      <c r="C139" s="13"/>
      <c r="D139" s="13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:73" s="12" customFormat="1" ht="22.5" customHeight="1" thickBot="1">
      <c r="A140" s="128" t="s">
        <v>87</v>
      </c>
      <c r="B140" s="10">
        <v>47088</v>
      </c>
      <c r="C140" s="13"/>
      <c r="D140" s="13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:73" s="12" customFormat="1" ht="22.5" customHeight="1" thickBot="1">
      <c r="A141" s="128" t="s">
        <v>88</v>
      </c>
      <c r="B141" s="10">
        <v>392465</v>
      </c>
      <c r="C141" s="13"/>
      <c r="D141" s="13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:73" s="12" customFormat="1" ht="22.5" customHeight="1" thickBot="1">
      <c r="A142" s="128" t="s">
        <v>89</v>
      </c>
      <c r="B142" s="10">
        <v>322890</v>
      </c>
      <c r="C142" s="13"/>
      <c r="D142" s="13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:73" s="12" customFormat="1" ht="21.75" customHeight="1" thickBot="1">
      <c r="A143" s="130" t="s">
        <v>155</v>
      </c>
      <c r="B143" s="131">
        <v>2000000</v>
      </c>
      <c r="C143" s="144"/>
      <c r="D143" s="144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:73" s="12" customFormat="1" ht="22.5" customHeight="1" thickBot="1">
      <c r="A144" s="128" t="s">
        <v>439</v>
      </c>
      <c r="B144" s="10">
        <f>693000+297180+1746625+1300000</f>
        <v>4036805</v>
      </c>
      <c r="C144" s="144"/>
      <c r="D144" s="144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:73" s="12" customFormat="1" ht="22.5" customHeight="1" thickBot="1">
      <c r="A145" s="130" t="s">
        <v>441</v>
      </c>
      <c r="B145" s="131">
        <v>2273542</v>
      </c>
      <c r="C145" s="144"/>
      <c r="D145" s="144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:73" s="12" customFormat="1" ht="21.75" customHeight="1" thickBot="1">
      <c r="A146" s="130" t="s">
        <v>466</v>
      </c>
      <c r="B146" s="131">
        <v>38800</v>
      </c>
      <c r="C146" s="144"/>
      <c r="D146" s="28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:73" s="12" customFormat="1" ht="19.5" thickBot="1">
      <c r="A147" s="130" t="s">
        <v>142</v>
      </c>
      <c r="B147" s="131">
        <v>2000000</v>
      </c>
      <c r="C147" s="13"/>
      <c r="D147" s="13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:73" s="133" customFormat="1" ht="35.25" customHeight="1" thickBot="1">
      <c r="A148" s="134" t="s">
        <v>164</v>
      </c>
      <c r="B148" s="135"/>
      <c r="C148" s="13">
        <v>5000000</v>
      </c>
      <c r="D148" s="13">
        <f>SUM(C148)-5000000</f>
        <v>0</v>
      </c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</row>
    <row r="149" spans="1:73" s="133" customFormat="1" ht="35.25" customHeight="1" thickBot="1">
      <c r="A149" s="134" t="s">
        <v>200</v>
      </c>
      <c r="B149" s="135"/>
      <c r="C149" s="13">
        <v>5000000</v>
      </c>
      <c r="D149" s="13">
        <f>SUM(C149)</f>
        <v>5000000</v>
      </c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2"/>
      <c r="BD149" s="132"/>
      <c r="BE149" s="132"/>
      <c r="BF149" s="132"/>
      <c r="BG149" s="132"/>
      <c r="BH149" s="132"/>
      <c r="BI149" s="132"/>
      <c r="BJ149" s="132"/>
      <c r="BK149" s="132"/>
      <c r="BL149" s="132"/>
      <c r="BM149" s="132"/>
      <c r="BN149" s="132"/>
      <c r="BO149" s="132"/>
      <c r="BP149" s="132"/>
      <c r="BQ149" s="132"/>
      <c r="BR149" s="132"/>
      <c r="BS149" s="132"/>
      <c r="BT149" s="132"/>
      <c r="BU149" s="132"/>
    </row>
    <row r="150" spans="1:73" s="133" customFormat="1" ht="35.25" customHeight="1" thickBot="1">
      <c r="A150" s="577" t="s">
        <v>131</v>
      </c>
      <c r="B150" s="578"/>
      <c r="C150" s="13">
        <v>16000000</v>
      </c>
      <c r="D150" s="13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E150" s="132"/>
      <c r="BF150" s="132"/>
      <c r="BG150" s="132"/>
      <c r="BH150" s="132"/>
      <c r="BI150" s="132"/>
      <c r="BJ150" s="132"/>
      <c r="BK150" s="132"/>
      <c r="BL150" s="132"/>
      <c r="BM150" s="132"/>
      <c r="BN150" s="132"/>
      <c r="BO150" s="132"/>
      <c r="BP150" s="132"/>
      <c r="BQ150" s="132"/>
      <c r="BR150" s="132"/>
      <c r="BS150" s="132"/>
      <c r="BT150" s="132"/>
      <c r="BU150" s="132"/>
    </row>
    <row r="151" spans="1:73" s="133" customFormat="1" ht="33.75" customHeight="1" thickBot="1">
      <c r="A151" s="152" t="s">
        <v>72</v>
      </c>
      <c r="B151" s="127"/>
      <c r="C151" s="13">
        <v>2000000</v>
      </c>
      <c r="D151" s="13">
        <f>SUM(C151)+1600000-300000+31658+300000</f>
        <v>3631658</v>
      </c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132"/>
      <c r="BN151" s="132"/>
      <c r="BO151" s="132"/>
      <c r="BP151" s="132"/>
      <c r="BQ151" s="132"/>
      <c r="BR151" s="132"/>
      <c r="BS151" s="132"/>
      <c r="BT151" s="132"/>
      <c r="BU151" s="132"/>
    </row>
    <row r="152" spans="1:73" s="96" customFormat="1" ht="33" customHeight="1" thickBot="1">
      <c r="A152" s="90" t="s">
        <v>73</v>
      </c>
      <c r="B152" s="93"/>
      <c r="C152" s="94">
        <f>SUM(C72:C151)</f>
        <v>2257707742</v>
      </c>
      <c r="D152" s="94">
        <f>SUM(D71:D151)</f>
        <v>2764384820</v>
      </c>
      <c r="E152" s="69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</row>
    <row r="153" spans="1:73" s="77" customFormat="1" ht="31.5" customHeight="1" thickBot="1">
      <c r="A153" s="116" t="s">
        <v>74</v>
      </c>
      <c r="B153" s="117"/>
      <c r="C153" s="118">
        <f>SUM(C69+C152)</f>
        <v>3193783011</v>
      </c>
      <c r="D153" s="118">
        <f>SUM(D69+D152)</f>
        <v>3904015500.3199997</v>
      </c>
      <c r="E153" s="119">
        <f>SUM(D153-C153)</f>
        <v>710232489.31999969</v>
      </c>
      <c r="F153" s="119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</row>
    <row r="154" spans="1:73" s="96" customFormat="1" ht="47.25" customHeight="1" thickBot="1">
      <c r="A154" s="90" t="s">
        <v>75</v>
      </c>
      <c r="B154" s="93"/>
      <c r="C154" s="94">
        <v>1296649872</v>
      </c>
      <c r="D154" s="144">
        <f>SUM(C154)+70455096+20291059-3633448+85000000+18110464</f>
        <v>1486873043</v>
      </c>
      <c r="E154" s="119">
        <f>SUM(D154-C154)</f>
        <v>190223171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</row>
    <row r="155" spans="1:73" s="97" customFormat="1" ht="38.25" customHeight="1" thickBot="1">
      <c r="A155" s="90" t="s">
        <v>84</v>
      </c>
      <c r="B155" s="93"/>
      <c r="C155" s="94">
        <v>200000000</v>
      </c>
      <c r="D155" s="94">
        <f>SUM(C155)-128247366-27978764-4237227-35598025-300000</f>
        <v>3638618</v>
      </c>
      <c r="E155" s="119">
        <f>SUM(D155-C155)</f>
        <v>-196361382</v>
      </c>
      <c r="F155" s="69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</row>
    <row r="156" spans="1:73" s="97" customFormat="1" ht="38.25" customHeight="1" thickBot="1">
      <c r="A156" s="20" t="s">
        <v>85</v>
      </c>
      <c r="B156" s="156"/>
      <c r="C156" s="98">
        <v>783410294</v>
      </c>
      <c r="D156" s="145">
        <f>SUM(B157+B158+B160+B161+B165+B166+B167+B169+B170+B171+B172+B181+B175+B177+B179+B173)</f>
        <v>1339409099</v>
      </c>
      <c r="E156" s="69"/>
      <c r="F156" s="95"/>
      <c r="G156" s="69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</row>
    <row r="157" spans="1:73" s="97" customFormat="1" ht="38.25" customHeight="1" thickBot="1">
      <c r="A157" s="152" t="s">
        <v>158</v>
      </c>
      <c r="B157" s="10">
        <v>3000000</v>
      </c>
      <c r="C157" s="13"/>
      <c r="D157" s="98"/>
      <c r="E157" s="69"/>
      <c r="F157" s="95"/>
      <c r="G157" s="69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</row>
    <row r="158" spans="1:73" s="12" customFormat="1" ht="44.25" customHeight="1" thickBot="1">
      <c r="A158" s="152" t="s">
        <v>182</v>
      </c>
      <c r="B158" s="10">
        <f>3875000-73+8870741+307517</f>
        <v>13053185</v>
      </c>
      <c r="C158" s="13"/>
      <c r="D158" s="13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:73" s="133" customFormat="1" ht="38.25" customHeight="1" thickBot="1">
      <c r="A159" s="152" t="s">
        <v>86</v>
      </c>
      <c r="B159" s="127"/>
      <c r="C159" s="13"/>
      <c r="D159" s="13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132"/>
      <c r="BR159" s="132"/>
      <c r="BS159" s="132"/>
      <c r="BT159" s="132"/>
      <c r="BU159" s="132"/>
    </row>
    <row r="160" spans="1:73" s="12" customFormat="1" ht="59.25" customHeight="1" thickBot="1">
      <c r="A160" s="128" t="s">
        <v>83</v>
      </c>
      <c r="B160" s="10">
        <v>12148581</v>
      </c>
      <c r="C160" s="13"/>
      <c r="D160" s="13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:73" s="12" customFormat="1" ht="38.25" thickBot="1">
      <c r="A161" s="152" t="s">
        <v>50</v>
      </c>
      <c r="B161" s="10">
        <f>SUM(B163:B164)</f>
        <v>211140184</v>
      </c>
      <c r="C161" s="13"/>
      <c r="D161" s="13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:73" s="12" customFormat="1" ht="22.5" customHeight="1" thickBot="1">
      <c r="A162" s="128" t="s">
        <v>17</v>
      </c>
      <c r="B162" s="10"/>
      <c r="C162" s="13"/>
      <c r="D162" s="13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:73" s="12" customFormat="1" ht="22.5" customHeight="1" thickBot="1">
      <c r="A163" s="128" t="s">
        <v>183</v>
      </c>
      <c r="B163" s="10">
        <v>49950000</v>
      </c>
      <c r="C163" s="13"/>
      <c r="D163" s="13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:73" s="12" customFormat="1" ht="37.5" customHeight="1" thickBot="1">
      <c r="A164" s="128" t="s">
        <v>184</v>
      </c>
      <c r="B164" s="10">
        <f>164375993-3185809</f>
        <v>161190184</v>
      </c>
      <c r="C164" s="13"/>
      <c r="D164" s="13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:73" s="133" customFormat="1" ht="58.5" customHeight="1" thickBot="1">
      <c r="A165" s="134" t="s">
        <v>152</v>
      </c>
      <c r="B165" s="10">
        <f>200700259-3733800</f>
        <v>196966459</v>
      </c>
      <c r="C165" s="13"/>
      <c r="D165" s="13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</row>
    <row r="166" spans="1:73" s="125" customFormat="1" ht="38.25" customHeight="1" thickBot="1">
      <c r="A166" s="153" t="s">
        <v>189</v>
      </c>
      <c r="B166" s="10">
        <f>94177093-385100</f>
        <v>93791993</v>
      </c>
      <c r="C166" s="13"/>
      <c r="D166" s="13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124"/>
      <c r="BD166" s="124"/>
      <c r="BE166" s="124"/>
      <c r="BF166" s="124"/>
      <c r="BG166" s="124"/>
      <c r="BH166" s="124"/>
      <c r="BI166" s="124"/>
      <c r="BJ166" s="124"/>
      <c r="BK166" s="124"/>
      <c r="BL166" s="124"/>
      <c r="BM166" s="124"/>
      <c r="BN166" s="124"/>
      <c r="BO166" s="124"/>
      <c r="BP166" s="124"/>
      <c r="BQ166" s="124"/>
      <c r="BR166" s="124"/>
      <c r="BS166" s="124"/>
      <c r="BT166" s="124"/>
      <c r="BU166" s="124"/>
    </row>
    <row r="167" spans="1:73" s="126" customFormat="1" ht="64.5" customHeight="1" thickBot="1">
      <c r="A167" s="152" t="s">
        <v>191</v>
      </c>
      <c r="B167" s="10">
        <f>23945785-3016366-4437637</f>
        <v>16491782</v>
      </c>
      <c r="C167" s="13"/>
      <c r="D167" s="13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4"/>
      <c r="AW167" s="124"/>
      <c r="AX167" s="124"/>
      <c r="AY167" s="124"/>
      <c r="AZ167" s="124"/>
      <c r="BA167" s="124"/>
      <c r="BB167" s="124"/>
      <c r="BC167" s="124"/>
      <c r="BD167" s="124"/>
      <c r="BE167" s="124"/>
      <c r="BF167" s="124"/>
      <c r="BG167" s="124"/>
      <c r="BH167" s="124"/>
      <c r="BI167" s="124"/>
      <c r="BJ167" s="124"/>
      <c r="BK167" s="124"/>
      <c r="BL167" s="124"/>
      <c r="BM167" s="124"/>
      <c r="BN167" s="124"/>
      <c r="BO167" s="124"/>
      <c r="BP167" s="124"/>
      <c r="BQ167" s="124"/>
      <c r="BR167" s="124"/>
      <c r="BS167" s="124"/>
      <c r="BT167" s="124"/>
      <c r="BU167" s="124"/>
    </row>
    <row r="168" spans="1:73" s="66" customFormat="1" ht="66.75" customHeight="1" thickBot="1">
      <c r="A168" s="109" t="s">
        <v>124</v>
      </c>
      <c r="B168" s="114"/>
      <c r="C168" s="111" t="s">
        <v>148</v>
      </c>
      <c r="D168" s="111" t="s">
        <v>149</v>
      </c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</row>
    <row r="169" spans="1:73" s="126" customFormat="1" ht="37.5" customHeight="1" thickBot="1">
      <c r="A169" s="154" t="s">
        <v>192</v>
      </c>
      <c r="B169" s="10">
        <v>2409098</v>
      </c>
      <c r="C169" s="144"/>
      <c r="D169" s="14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  <c r="AV169" s="124"/>
      <c r="AW169" s="124"/>
      <c r="AX169" s="124"/>
      <c r="AY169" s="124"/>
      <c r="AZ169" s="124"/>
      <c r="BA169" s="124"/>
      <c r="BB169" s="124"/>
      <c r="BC169" s="124"/>
      <c r="BD169" s="124"/>
      <c r="BE169" s="124"/>
      <c r="BF169" s="124"/>
      <c r="BG169" s="124"/>
      <c r="BH169" s="124"/>
      <c r="BI169" s="124"/>
      <c r="BJ169" s="124"/>
      <c r="BK169" s="124"/>
      <c r="BL169" s="124"/>
      <c r="BM169" s="124"/>
      <c r="BN169" s="124"/>
      <c r="BO169" s="124"/>
      <c r="BP169" s="124"/>
      <c r="BQ169" s="124"/>
      <c r="BR169" s="124"/>
      <c r="BS169" s="124"/>
      <c r="BT169" s="124"/>
      <c r="BU169" s="124"/>
    </row>
    <row r="170" spans="1:73" s="125" customFormat="1" ht="52.5" customHeight="1" thickBot="1">
      <c r="A170" s="152" t="s">
        <v>193</v>
      </c>
      <c r="B170" s="10">
        <v>104737609</v>
      </c>
      <c r="C170" s="13"/>
      <c r="D170" s="13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4"/>
      <c r="BC170" s="124"/>
      <c r="BD170" s="124"/>
      <c r="BE170" s="124"/>
      <c r="BF170" s="124"/>
      <c r="BG170" s="124"/>
      <c r="BH170" s="124"/>
      <c r="BI170" s="124"/>
      <c r="BJ170" s="124"/>
      <c r="BK170" s="124"/>
      <c r="BL170" s="124"/>
      <c r="BM170" s="124"/>
      <c r="BN170" s="124"/>
      <c r="BO170" s="124"/>
      <c r="BP170" s="124"/>
      <c r="BQ170" s="124"/>
      <c r="BR170" s="124"/>
      <c r="BS170" s="124"/>
      <c r="BT170" s="124"/>
      <c r="BU170" s="124"/>
    </row>
    <row r="171" spans="1:73" s="133" customFormat="1" ht="52.5" customHeight="1" thickBot="1">
      <c r="A171" s="134" t="s">
        <v>195</v>
      </c>
      <c r="B171" s="10">
        <v>3730208</v>
      </c>
      <c r="C171" s="13"/>
      <c r="D171" s="13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  <c r="BT171" s="132"/>
      <c r="BU171" s="132"/>
    </row>
    <row r="172" spans="1:73" s="133" customFormat="1" ht="52.5" customHeight="1" thickBot="1">
      <c r="A172" s="134" t="s">
        <v>196</v>
      </c>
      <c r="B172" s="10">
        <v>111490000</v>
      </c>
      <c r="C172" s="13"/>
      <c r="D172" s="13"/>
      <c r="E172" s="79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</row>
    <row r="173" spans="1:73" s="133" customFormat="1" ht="52.5" customHeight="1" thickBot="1">
      <c r="A173" s="134" t="s">
        <v>477</v>
      </c>
      <c r="B173" s="10">
        <v>554050000</v>
      </c>
      <c r="C173" s="13"/>
      <c r="D173" s="13"/>
      <c r="E173" s="79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</row>
    <row r="174" spans="1:73" s="133" customFormat="1" ht="29.25" customHeight="1" thickBot="1">
      <c r="A174" s="152" t="s">
        <v>140</v>
      </c>
      <c r="B174" s="127"/>
      <c r="C174" s="13"/>
      <c r="D174" s="13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</row>
    <row r="175" spans="1:73" s="12" customFormat="1" ht="24.75" customHeight="1" thickBot="1">
      <c r="A175" s="128" t="s">
        <v>153</v>
      </c>
      <c r="B175" s="10">
        <f>1000000-1000000</f>
        <v>0</v>
      </c>
      <c r="C175" s="13"/>
      <c r="D175" s="13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:73" s="12" customFormat="1" ht="24.75" customHeight="1" thickBot="1">
      <c r="A176" s="128" t="s">
        <v>154</v>
      </c>
      <c r="B176" s="10">
        <f>1000000-1000000</f>
        <v>0</v>
      </c>
      <c r="C176" s="13"/>
      <c r="D176" s="13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:73" s="133" customFormat="1" ht="35.25" customHeight="1" thickBot="1">
      <c r="A177" s="153" t="s">
        <v>131</v>
      </c>
      <c r="B177" s="487">
        <v>16000000</v>
      </c>
      <c r="C177" s="13"/>
      <c r="D177" s="13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</row>
    <row r="178" spans="1:73" s="133" customFormat="1" ht="29.25" hidden="1" customHeight="1" thickBot="1">
      <c r="A178" s="152"/>
      <c r="B178" s="127"/>
      <c r="C178" s="13"/>
      <c r="D178" s="13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2"/>
    </row>
    <row r="179" spans="1:73" s="12" customFormat="1" ht="24.75" hidden="1" customHeight="1" thickBot="1">
      <c r="A179" s="128"/>
      <c r="B179" s="10"/>
      <c r="C179" s="13"/>
      <c r="D179" s="13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:73" s="12" customFormat="1" ht="24.75" hidden="1" customHeight="1" thickBot="1">
      <c r="A180" s="128"/>
      <c r="B180" s="10"/>
      <c r="C180" s="13"/>
      <c r="D180" s="13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:73" s="475" customFormat="1" ht="52.5" customHeight="1" thickBot="1">
      <c r="A181" s="20" t="s">
        <v>72</v>
      </c>
      <c r="B181" s="474">
        <f>-1600000+2000000</f>
        <v>400000</v>
      </c>
      <c r="C181" s="98"/>
      <c r="D181" s="144"/>
      <c r="E181" s="79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/>
      <c r="BT181" s="132"/>
      <c r="BU181" s="132"/>
    </row>
    <row r="182" spans="1:73" s="97" customFormat="1" ht="38.25" customHeight="1" thickBot="1">
      <c r="A182" s="90" t="s">
        <v>76</v>
      </c>
      <c r="B182" s="93"/>
      <c r="C182" s="94">
        <f>SUM(B183)</f>
        <v>58439181</v>
      </c>
      <c r="D182" s="94">
        <f>SUM(B183:B184)</f>
        <v>216790419</v>
      </c>
      <c r="E182" s="69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</row>
    <row r="183" spans="1:73" s="97" customFormat="1" ht="38.25" customHeight="1" thickBot="1">
      <c r="A183" s="90" t="s">
        <v>185</v>
      </c>
      <c r="B183" s="150">
        <v>58439181</v>
      </c>
      <c r="C183" s="94"/>
      <c r="D183" s="94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</row>
    <row r="184" spans="1:73" s="97" customFormat="1" ht="38.25" customHeight="1" thickBot="1">
      <c r="A184" s="90" t="s">
        <v>469</v>
      </c>
      <c r="B184" s="486">
        <f>100000000+58351238</f>
        <v>158351238</v>
      </c>
      <c r="C184" s="94"/>
      <c r="D184" s="283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</row>
    <row r="185" spans="1:73" s="78" customFormat="1" ht="33" customHeight="1" thickBot="1">
      <c r="A185" s="120" t="s">
        <v>77</v>
      </c>
      <c r="B185" s="121"/>
      <c r="C185" s="118">
        <f>SUM(C153:C182)</f>
        <v>5532282358</v>
      </c>
      <c r="D185" s="118">
        <f>SUM(D153:D182)</f>
        <v>6950726679.3199997</v>
      </c>
      <c r="E185" s="119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</row>
    <row r="186" spans="1:73" s="11" customFormat="1" ht="93" customHeight="1" thickBot="1">
      <c r="A186" s="75"/>
      <c r="B186" s="75"/>
      <c r="C186" s="79"/>
      <c r="D186" s="79">
        <f>SUM(D185-D154-'5. sz. melléklet'!Y18)</f>
        <v>0</v>
      </c>
    </row>
    <row r="187" spans="1:73" s="84" customFormat="1" ht="33" customHeight="1" thickBot="1">
      <c r="A187" s="80"/>
      <c r="B187" s="81"/>
      <c r="C187" s="82"/>
      <c r="D187" s="82"/>
      <c r="E187" s="83"/>
      <c r="F187" s="83"/>
      <c r="G187" s="83"/>
      <c r="H187" s="83"/>
      <c r="I187" s="83"/>
      <c r="J187" s="83"/>
      <c r="K187" s="95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</row>
    <row r="188" spans="1:73" s="84" customFormat="1" ht="30.75" customHeight="1" thickBot="1">
      <c r="A188" s="85"/>
      <c r="B188" s="86"/>
      <c r="C188" s="82"/>
      <c r="D188" s="82"/>
      <c r="E188" s="83"/>
      <c r="F188" s="83"/>
      <c r="G188" s="83"/>
      <c r="H188" s="83"/>
      <c r="I188" s="83"/>
      <c r="J188" s="83"/>
      <c r="K188" s="95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</row>
    <row r="189" spans="1:73" s="84" customFormat="1" ht="34.5" customHeight="1" thickBot="1">
      <c r="A189" s="80"/>
      <c r="B189" s="87"/>
      <c r="C189" s="88"/>
      <c r="D189" s="88"/>
      <c r="E189" s="494">
        <f>SUM(K191-D186)</f>
        <v>0</v>
      </c>
      <c r="F189" s="83"/>
      <c r="G189" s="83"/>
      <c r="H189" s="83"/>
      <c r="I189" s="83"/>
      <c r="J189" s="83"/>
      <c r="K189" s="95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</row>
    <row r="190" spans="1:73" s="84" customFormat="1" ht="15.75" customHeight="1" thickBot="1">
      <c r="A190" s="85"/>
      <c r="B190" s="86"/>
      <c r="C190" s="88"/>
      <c r="D190" s="88"/>
      <c r="E190" s="83"/>
      <c r="F190" s="83"/>
      <c r="G190" s="83"/>
      <c r="H190" s="83"/>
      <c r="I190" s="83"/>
      <c r="J190" s="83"/>
      <c r="K190" s="95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</row>
    <row r="191" spans="1:73" s="84" customFormat="1" ht="15.75" customHeight="1" thickBot="1">
      <c r="A191" s="85"/>
      <c r="B191" s="86"/>
      <c r="C191" s="88"/>
      <c r="D191" s="88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</row>
    <row r="192" spans="1:73" s="84" customFormat="1" ht="15.75" customHeight="1" thickBot="1">
      <c r="A192" s="85"/>
      <c r="B192" s="86"/>
      <c r="C192" s="88"/>
      <c r="D192" s="88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</row>
    <row r="193" spans="1:73" s="84" customFormat="1" ht="15.75" customHeight="1" thickBot="1">
      <c r="A193" s="85"/>
      <c r="B193" s="85"/>
      <c r="C193" s="88"/>
      <c r="D193" s="88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</row>
    <row r="194" spans="1:73" s="84" customFormat="1" ht="15.75" customHeight="1" thickBot="1">
      <c r="A194" s="85"/>
      <c r="B194" s="85"/>
      <c r="C194" s="88"/>
      <c r="D194" s="88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</row>
    <row r="195" spans="1:73" s="84" customFormat="1" ht="15.75" customHeight="1" thickBot="1">
      <c r="A195" s="85"/>
      <c r="B195" s="85"/>
      <c r="C195" s="88"/>
      <c r="D195" s="88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</row>
    <row r="196" spans="1:73" s="84" customFormat="1" ht="15.75" customHeight="1" thickBot="1">
      <c r="A196" s="85"/>
      <c r="B196" s="85"/>
      <c r="C196" s="88"/>
      <c r="D196" s="88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</row>
    <row r="197" spans="1:73" s="84" customFormat="1" ht="15.75" customHeight="1" thickBot="1">
      <c r="A197" s="85"/>
      <c r="B197" s="85"/>
      <c r="C197" s="88"/>
      <c r="D197" s="88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</row>
    <row r="198" spans="1:73" s="84" customFormat="1" ht="15.75" customHeight="1" thickBot="1">
      <c r="A198" s="85"/>
      <c r="B198" s="85"/>
      <c r="C198" s="88"/>
      <c r="D198" s="88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</row>
    <row r="199" spans="1:73" s="84" customFormat="1" ht="15.75" customHeight="1" thickBot="1">
      <c r="A199" s="85"/>
      <c r="B199" s="85"/>
      <c r="C199" s="88"/>
      <c r="D199" s="88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</row>
    <row r="200" spans="1:73" s="84" customFormat="1" ht="15.75" customHeight="1" thickBot="1">
      <c r="A200" s="85"/>
      <c r="B200" s="85"/>
      <c r="C200" s="88"/>
      <c r="D200" s="88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</row>
    <row r="201" spans="1:73" s="84" customFormat="1" ht="15.75" customHeight="1" thickBot="1">
      <c r="A201" s="85"/>
      <c r="B201" s="85"/>
      <c r="C201" s="88"/>
      <c r="D201" s="88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</row>
    <row r="202" spans="1:73" s="84" customFormat="1" ht="15.75" customHeight="1" thickBot="1">
      <c r="A202" s="85"/>
      <c r="B202" s="85"/>
      <c r="C202" s="88"/>
      <c r="D202" s="88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</row>
    <row r="203" spans="1:73" s="84" customFormat="1" ht="15.75" customHeight="1" thickBot="1">
      <c r="A203" s="85"/>
      <c r="B203" s="85"/>
      <c r="C203" s="88"/>
      <c r="D203" s="88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</row>
    <row r="204" spans="1:73" s="84" customFormat="1" ht="15.75" customHeight="1" thickBot="1">
      <c r="A204" s="85"/>
      <c r="B204" s="85"/>
      <c r="C204" s="88"/>
      <c r="D204" s="88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</row>
    <row r="205" spans="1:73" s="84" customFormat="1" ht="15.75" customHeight="1" thickBot="1">
      <c r="A205" s="85"/>
      <c r="B205" s="85"/>
      <c r="C205" s="88"/>
      <c r="D205" s="88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</row>
    <row r="206" spans="1:73" s="84" customFormat="1" ht="15.75" customHeight="1" thickBot="1">
      <c r="A206" s="85"/>
      <c r="B206" s="85"/>
      <c r="C206" s="88"/>
      <c r="D206" s="88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</row>
    <row r="207" spans="1:73" s="84" customFormat="1" ht="15.75" customHeight="1" thickBot="1">
      <c r="A207" s="85"/>
      <c r="B207" s="85"/>
      <c r="C207" s="88"/>
      <c r="D207" s="88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</row>
    <row r="208" spans="1:73" s="84" customFormat="1" ht="15.75" customHeight="1" thickBot="1">
      <c r="A208" s="85"/>
      <c r="B208" s="85"/>
      <c r="C208" s="88"/>
      <c r="D208" s="88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</row>
    <row r="209" spans="1:73" s="84" customFormat="1" ht="15.75" customHeight="1" thickBot="1">
      <c r="A209" s="85"/>
      <c r="B209" s="85"/>
      <c r="C209" s="88"/>
      <c r="D209" s="88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</row>
    <row r="210" spans="1:73" s="84" customFormat="1" ht="15.75" customHeight="1" thickBot="1">
      <c r="A210" s="85"/>
      <c r="B210" s="85"/>
      <c r="C210" s="88"/>
      <c r="D210" s="88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</row>
    <row r="211" spans="1:73" s="84" customFormat="1" ht="15.75" customHeight="1" thickBot="1">
      <c r="A211" s="85"/>
      <c r="B211" s="85"/>
      <c r="C211" s="88"/>
      <c r="D211" s="88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</row>
    <row r="212" spans="1:73" s="84" customFormat="1" ht="15.75" customHeight="1" thickBot="1">
      <c r="A212" s="85"/>
      <c r="B212" s="85"/>
      <c r="C212" s="88"/>
      <c r="D212" s="88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</row>
    <row r="213" spans="1:73" s="84" customFormat="1" ht="15.75" customHeight="1" thickBot="1">
      <c r="A213" s="85"/>
      <c r="B213" s="85"/>
      <c r="C213" s="88"/>
      <c r="D213" s="88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</row>
    <row r="214" spans="1:73" s="84" customFormat="1" ht="15.75" customHeight="1" thickBot="1">
      <c r="A214" s="85"/>
      <c r="B214" s="85"/>
      <c r="C214" s="88"/>
      <c r="D214" s="88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</row>
    <row r="215" spans="1:73" s="84" customFormat="1" ht="15.75" customHeight="1" thickBot="1">
      <c r="A215" s="85"/>
      <c r="B215" s="85"/>
      <c r="C215" s="88"/>
      <c r="D215" s="88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</row>
    <row r="216" spans="1:73" s="84" customFormat="1" ht="15.75" customHeight="1" thickBot="1">
      <c r="A216" s="85"/>
      <c r="B216" s="85"/>
      <c r="C216" s="88"/>
      <c r="D216" s="88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</row>
    <row r="217" spans="1:73" s="84" customFormat="1" ht="15.75" customHeight="1" thickBot="1">
      <c r="A217" s="85"/>
      <c r="B217" s="85"/>
      <c r="C217" s="88"/>
      <c r="D217" s="88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</row>
    <row r="218" spans="1:73" s="84" customFormat="1" ht="15.75" customHeight="1" thickBot="1">
      <c r="A218" s="85"/>
      <c r="B218" s="85"/>
      <c r="C218" s="88"/>
      <c r="D218" s="88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</row>
    <row r="219" spans="1:73" s="84" customFormat="1" ht="15.75" customHeight="1" thickBot="1">
      <c r="A219" s="85"/>
      <c r="B219" s="85"/>
      <c r="C219" s="88"/>
      <c r="D219" s="88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</row>
    <row r="220" spans="1:73" s="84" customFormat="1" ht="15.75" customHeight="1" thickBot="1">
      <c r="A220" s="85"/>
      <c r="B220" s="85"/>
      <c r="C220" s="88"/>
      <c r="D220" s="88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</row>
    <row r="221" spans="1:73" s="84" customFormat="1" ht="15.75" customHeight="1" thickBot="1">
      <c r="A221" s="85"/>
      <c r="B221" s="85"/>
      <c r="C221" s="88"/>
      <c r="D221" s="88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</row>
    <row r="222" spans="1:73" s="84" customFormat="1" ht="15.75" customHeight="1" thickBot="1">
      <c r="A222" s="85"/>
      <c r="B222" s="85"/>
      <c r="C222" s="88"/>
      <c r="D222" s="88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</row>
    <row r="223" spans="1:73" s="84" customFormat="1" ht="15.75" customHeight="1" thickBot="1">
      <c r="A223" s="85"/>
      <c r="B223" s="85"/>
      <c r="C223" s="88"/>
      <c r="D223" s="88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</row>
    <row r="224" spans="1:73" s="84" customFormat="1" ht="15.75" customHeight="1" thickBot="1">
      <c r="A224" s="85"/>
      <c r="B224" s="85"/>
      <c r="C224" s="88"/>
      <c r="D224" s="88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</row>
    <row r="225" spans="1:73" s="84" customFormat="1" ht="15.75" customHeight="1" thickBot="1">
      <c r="A225" s="85"/>
      <c r="B225" s="85"/>
      <c r="C225" s="88"/>
      <c r="D225" s="88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</row>
    <row r="226" spans="1:73" s="84" customFormat="1" ht="15.75" customHeight="1" thickBot="1">
      <c r="A226" s="85"/>
      <c r="B226" s="85"/>
      <c r="C226" s="88"/>
      <c r="D226" s="88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</row>
    <row r="227" spans="1:73" s="84" customFormat="1" ht="15.75" customHeight="1" thickBot="1">
      <c r="A227" s="85"/>
      <c r="B227" s="85"/>
      <c r="C227" s="88"/>
      <c r="D227" s="88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</row>
    <row r="228" spans="1:73" s="84" customFormat="1" ht="15.75" customHeight="1" thickBot="1">
      <c r="A228" s="85"/>
      <c r="B228" s="85"/>
      <c r="C228" s="88"/>
      <c r="D228" s="88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</row>
    <row r="229" spans="1:73" s="84" customFormat="1" ht="15.75" customHeight="1" thickBot="1">
      <c r="A229" s="85"/>
      <c r="B229" s="85"/>
      <c r="C229" s="88"/>
      <c r="D229" s="88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</row>
    <row r="230" spans="1:73" s="84" customFormat="1" ht="15.75" customHeight="1" thickBot="1">
      <c r="A230" s="85"/>
      <c r="B230" s="85"/>
      <c r="C230" s="88"/>
      <c r="D230" s="88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</row>
    <row r="231" spans="1:73" s="84" customFormat="1" ht="15.75" customHeight="1" thickBot="1">
      <c r="A231" s="85"/>
      <c r="B231" s="85"/>
      <c r="C231" s="88"/>
      <c r="D231" s="88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</row>
    <row r="232" spans="1:73" s="84" customFormat="1" ht="15.75" customHeight="1" thickBot="1">
      <c r="A232" s="85"/>
      <c r="B232" s="85"/>
      <c r="C232" s="88"/>
      <c r="D232" s="88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</row>
    <row r="233" spans="1:73" s="84" customFormat="1" ht="15.75" customHeight="1" thickBot="1">
      <c r="A233" s="85"/>
      <c r="B233" s="85"/>
      <c r="C233" s="88"/>
      <c r="D233" s="88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</row>
    <row r="234" spans="1:73" s="84" customFormat="1" ht="15.75" customHeight="1" thickBot="1">
      <c r="A234" s="85"/>
      <c r="B234" s="85"/>
      <c r="C234" s="88"/>
      <c r="D234" s="88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</row>
    <row r="235" spans="1:73" s="84" customFormat="1" ht="15.75" customHeight="1" thickBot="1">
      <c r="A235" s="85"/>
      <c r="B235" s="85"/>
      <c r="C235" s="88"/>
      <c r="D235" s="88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</row>
    <row r="236" spans="1:73" s="84" customFormat="1" ht="15.75" customHeight="1" thickBot="1">
      <c r="A236" s="85"/>
      <c r="B236" s="85"/>
      <c r="C236" s="88"/>
      <c r="D236" s="88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</row>
    <row r="237" spans="1:73" s="84" customFormat="1" ht="15.75" customHeight="1" thickBot="1">
      <c r="A237" s="85"/>
      <c r="B237" s="85"/>
      <c r="C237" s="88"/>
      <c r="D237" s="88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</row>
    <row r="238" spans="1:73" s="84" customFormat="1" ht="15.75" customHeight="1" thickBot="1">
      <c r="A238" s="85"/>
      <c r="B238" s="85"/>
      <c r="C238" s="88"/>
      <c r="D238" s="88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</row>
    <row r="239" spans="1:73" s="84" customFormat="1" ht="15.75" customHeight="1" thickBot="1">
      <c r="A239" s="85"/>
      <c r="B239" s="85"/>
      <c r="C239" s="88"/>
      <c r="D239" s="88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</row>
    <row r="240" spans="1:73" s="84" customFormat="1" ht="15.75" customHeight="1" thickBot="1">
      <c r="A240" s="85"/>
      <c r="B240" s="85"/>
      <c r="C240" s="88"/>
      <c r="D240" s="88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</row>
    <row r="241" spans="1:73" s="84" customFormat="1" ht="15.75" customHeight="1" thickBot="1">
      <c r="A241" s="85"/>
      <c r="B241" s="85"/>
      <c r="C241" s="88"/>
      <c r="D241" s="88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</row>
    <row r="242" spans="1:73" s="84" customFormat="1" ht="15.75" customHeight="1" thickBot="1">
      <c r="A242" s="85"/>
      <c r="B242" s="85"/>
      <c r="C242" s="88"/>
      <c r="D242" s="88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</row>
    <row r="243" spans="1:73" s="84" customFormat="1" ht="15.75" customHeight="1" thickBot="1">
      <c r="A243" s="85"/>
      <c r="B243" s="85"/>
      <c r="C243" s="88"/>
      <c r="D243" s="88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</row>
    <row r="244" spans="1:73" s="84" customFormat="1" ht="15.75" customHeight="1" thickBot="1">
      <c r="A244" s="85"/>
      <c r="B244" s="85"/>
      <c r="C244" s="88"/>
      <c r="D244" s="88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</row>
    <row r="245" spans="1:73" s="84" customFormat="1" ht="15.75" customHeight="1" thickBot="1">
      <c r="A245" s="85"/>
      <c r="B245" s="85"/>
      <c r="C245" s="88"/>
      <c r="D245" s="88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</row>
    <row r="246" spans="1:73" s="84" customFormat="1" ht="15.75" customHeight="1" thickBot="1">
      <c r="A246" s="85"/>
      <c r="B246" s="85"/>
      <c r="C246" s="88"/>
      <c r="D246" s="88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</row>
    <row r="247" spans="1:73" s="84" customFormat="1" ht="15.75" customHeight="1" thickBot="1">
      <c r="A247" s="85"/>
      <c r="B247" s="85"/>
      <c r="C247" s="88"/>
      <c r="D247" s="88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</row>
    <row r="248" spans="1:73" s="84" customFormat="1" ht="15.75" customHeight="1" thickBot="1">
      <c r="A248" s="85"/>
      <c r="B248" s="85"/>
      <c r="C248" s="88"/>
      <c r="D248" s="88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</row>
    <row r="249" spans="1:73" s="84" customFormat="1" ht="15.75" customHeight="1" thickBot="1">
      <c r="A249" s="85"/>
      <c r="B249" s="85"/>
      <c r="C249" s="88"/>
      <c r="D249" s="88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</row>
    <row r="250" spans="1:73" s="84" customFormat="1" ht="15.75" customHeight="1" thickBot="1">
      <c r="A250" s="85"/>
      <c r="B250" s="85"/>
      <c r="C250" s="88"/>
      <c r="D250" s="88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</row>
    <row r="251" spans="1:73" s="84" customFormat="1" ht="15.75" customHeight="1" thickBot="1">
      <c r="A251" s="85"/>
      <c r="B251" s="85"/>
      <c r="C251" s="88"/>
      <c r="D251" s="88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</row>
    <row r="252" spans="1:73" s="84" customFormat="1" ht="15.75" customHeight="1" thickBot="1">
      <c r="A252" s="85"/>
      <c r="B252" s="85"/>
      <c r="C252" s="88"/>
      <c r="D252" s="88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</row>
    <row r="253" spans="1:73" s="84" customFormat="1" ht="15.75" customHeight="1" thickBot="1">
      <c r="A253" s="85"/>
      <c r="B253" s="85"/>
      <c r="C253" s="88"/>
      <c r="D253" s="88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</row>
    <row r="254" spans="1:73" s="84" customFormat="1" ht="15.75" customHeight="1" thickBot="1">
      <c r="A254" s="85"/>
      <c r="B254" s="85"/>
      <c r="C254" s="88"/>
      <c r="D254" s="88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</row>
    <row r="255" spans="1:73" s="84" customFormat="1" ht="15.75" customHeight="1" thickBot="1">
      <c r="A255" s="85"/>
      <c r="B255" s="85"/>
      <c r="C255" s="88"/>
      <c r="D255" s="88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</row>
    <row r="256" spans="1:73" ht="15.75" customHeight="1" thickBot="1">
      <c r="A256" s="14"/>
      <c r="B256" s="14"/>
      <c r="C256" s="8"/>
      <c r="D256" s="8"/>
    </row>
    <row r="257" spans="1:73" ht="15.75" customHeight="1" thickBot="1">
      <c r="A257" s="14"/>
      <c r="B257" s="14"/>
      <c r="C257" s="8"/>
      <c r="D257" s="8"/>
    </row>
    <row r="258" spans="1:73" ht="15.75" customHeight="1" thickBot="1">
      <c r="A258" s="14"/>
      <c r="B258" s="14"/>
      <c r="C258" s="8"/>
      <c r="D258" s="8"/>
    </row>
    <row r="259" spans="1:73" ht="15.75" customHeight="1" thickBot="1">
      <c r="A259" s="14"/>
      <c r="B259" s="14"/>
      <c r="C259" s="8"/>
      <c r="D259" s="8"/>
    </row>
    <row r="260" spans="1:73" ht="15.75" customHeight="1" thickBot="1">
      <c r="A260" s="14"/>
      <c r="B260" s="14"/>
      <c r="C260" s="8"/>
      <c r="D260" s="8"/>
    </row>
    <row r="261" spans="1:73" ht="15.75" customHeight="1" thickBot="1">
      <c r="A261" s="14"/>
      <c r="B261" s="14"/>
      <c r="C261" s="8"/>
      <c r="D261" s="8"/>
    </row>
    <row r="262" spans="1:73" ht="15.75" customHeight="1" thickBot="1">
      <c r="A262" s="14"/>
      <c r="B262" s="14"/>
      <c r="C262" s="8"/>
      <c r="D262" s="8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</row>
    <row r="263" spans="1:73" ht="15.75" customHeight="1" thickBot="1">
      <c r="A263" s="14"/>
      <c r="B263" s="14"/>
      <c r="C263" s="8"/>
      <c r="D263" s="8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</row>
    <row r="264" spans="1:73" ht="15.75" customHeight="1" thickBot="1">
      <c r="A264" s="14"/>
      <c r="B264" s="14"/>
      <c r="C264" s="8"/>
      <c r="D264" s="8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</row>
    <row r="265" spans="1:73" ht="15.75" customHeight="1" thickBot="1">
      <c r="A265" s="14"/>
      <c r="B265" s="14"/>
      <c r="C265" s="8"/>
      <c r="D265" s="8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</row>
    <row r="266" spans="1:73" ht="15.75" customHeight="1" thickBot="1">
      <c r="A266" s="14"/>
      <c r="B266" s="14"/>
      <c r="C266" s="8"/>
      <c r="D266" s="8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</row>
    <row r="267" spans="1:73" ht="15.75" customHeight="1" thickBot="1">
      <c r="A267" s="14"/>
      <c r="B267" s="14"/>
      <c r="C267" s="8"/>
      <c r="D267" s="8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</row>
    <row r="268" spans="1:73" ht="15.75" customHeight="1" thickBot="1">
      <c r="A268" s="14"/>
      <c r="B268" s="14"/>
      <c r="C268" s="8"/>
      <c r="D268" s="8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</row>
    <row r="269" spans="1:73" ht="15.75" customHeight="1" thickBot="1">
      <c r="A269" s="14"/>
      <c r="B269" s="14"/>
      <c r="C269" s="8"/>
      <c r="D269" s="8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</row>
    <row r="270" spans="1:73" ht="15.75" customHeight="1" thickBot="1">
      <c r="A270" s="14"/>
      <c r="B270" s="14"/>
      <c r="C270" s="8"/>
      <c r="D270" s="8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</row>
    <row r="271" spans="1:73" ht="15.75" customHeight="1" thickBot="1">
      <c r="A271" s="14"/>
      <c r="B271" s="14"/>
      <c r="C271" s="8"/>
      <c r="D271" s="8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</row>
    <row r="272" spans="1:73" ht="15.75" customHeight="1" thickBot="1">
      <c r="A272" s="14"/>
      <c r="B272" s="14"/>
      <c r="C272" s="8"/>
      <c r="D272" s="8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</row>
    <row r="273" spans="1:73" ht="15.75" customHeight="1" thickBot="1">
      <c r="A273" s="14"/>
      <c r="B273" s="14"/>
      <c r="C273" s="8"/>
      <c r="D273" s="8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</row>
    <row r="274" spans="1:73" ht="15.75" customHeight="1" thickBot="1">
      <c r="A274" s="14"/>
      <c r="B274" s="14"/>
      <c r="C274" s="8"/>
      <c r="D274" s="8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</row>
    <row r="275" spans="1:73" ht="15.75" customHeight="1" thickBot="1">
      <c r="A275" s="14"/>
      <c r="B275" s="14"/>
      <c r="C275" s="8"/>
      <c r="D275" s="8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</row>
    <row r="276" spans="1:73" ht="15.75" customHeight="1" thickBot="1">
      <c r="A276" s="14"/>
      <c r="B276" s="14"/>
      <c r="C276" s="8"/>
      <c r="D276" s="8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</row>
    <row r="277" spans="1:73" ht="15.75" customHeight="1" thickBot="1">
      <c r="A277" s="14"/>
      <c r="B277" s="14"/>
      <c r="C277" s="8"/>
      <c r="D277" s="8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</row>
    <row r="278" spans="1:73" ht="15.75" customHeight="1" thickBot="1">
      <c r="A278" s="14"/>
      <c r="B278" s="14"/>
      <c r="C278" s="8"/>
      <c r="D278" s="8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</row>
    <row r="279" spans="1:73" ht="15.75" customHeight="1" thickBot="1">
      <c r="A279" s="14"/>
      <c r="B279" s="14"/>
      <c r="C279" s="8"/>
      <c r="D279" s="8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</row>
    <row r="280" spans="1:73" ht="15.75" customHeight="1" thickBot="1">
      <c r="A280" s="14"/>
      <c r="B280" s="14"/>
      <c r="C280" s="8"/>
      <c r="D280" s="8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</row>
    <row r="281" spans="1:73" ht="15.75" customHeight="1" thickBot="1">
      <c r="A281" s="14"/>
      <c r="B281" s="14"/>
      <c r="C281" s="8"/>
      <c r="D281" s="8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</row>
    <row r="282" spans="1:73" ht="15.75" customHeight="1" thickBot="1">
      <c r="A282" s="14"/>
      <c r="B282" s="14"/>
      <c r="C282" s="8"/>
      <c r="D282" s="8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</row>
    <row r="283" spans="1:73" ht="15.75" customHeight="1" thickBot="1">
      <c r="A283" s="14"/>
      <c r="B283" s="14"/>
      <c r="C283" s="8"/>
      <c r="D283" s="8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</row>
    <row r="284" spans="1:73" ht="15.75" customHeight="1" thickBot="1">
      <c r="A284" s="14"/>
      <c r="B284" s="14"/>
      <c r="C284" s="8"/>
      <c r="D284" s="8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</row>
    <row r="285" spans="1:73" ht="15.75" customHeight="1" thickBot="1">
      <c r="A285" s="14"/>
      <c r="B285" s="14"/>
      <c r="C285" s="8"/>
      <c r="D285" s="8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</row>
    <row r="286" spans="1:73" ht="15.75" customHeight="1" thickBot="1">
      <c r="A286" s="14"/>
      <c r="B286" s="14"/>
      <c r="C286" s="8"/>
      <c r="D286" s="8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</row>
    <row r="287" spans="1:73" ht="15.75" customHeight="1" thickBot="1">
      <c r="A287" s="14"/>
      <c r="B287" s="14"/>
      <c r="C287" s="8"/>
      <c r="D287" s="8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</row>
    <row r="288" spans="1:73" ht="15.75" customHeight="1" thickBot="1">
      <c r="A288" s="14"/>
      <c r="B288" s="14"/>
      <c r="C288" s="8"/>
      <c r="D288" s="8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</row>
    <row r="289" spans="1:73" ht="15.75" customHeight="1" thickBot="1">
      <c r="A289" s="14"/>
      <c r="B289" s="14"/>
      <c r="C289" s="8"/>
      <c r="D289" s="8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</row>
    <row r="290" spans="1:73" ht="15.75" customHeight="1" thickBot="1">
      <c r="A290" s="14"/>
      <c r="B290" s="14"/>
      <c r="C290" s="8"/>
      <c r="D290" s="8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</row>
    <row r="291" spans="1:73" ht="15.75" customHeight="1" thickBot="1">
      <c r="A291" s="14"/>
      <c r="B291" s="14"/>
      <c r="C291" s="8"/>
      <c r="D291" s="8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</row>
    <row r="292" spans="1:73" ht="15.75" customHeight="1" thickBot="1">
      <c r="A292" s="14"/>
      <c r="B292" s="14"/>
      <c r="C292" s="8"/>
      <c r="D292" s="8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</row>
    <row r="293" spans="1:73" ht="15.75" customHeight="1" thickBot="1">
      <c r="A293" s="14"/>
      <c r="B293" s="14"/>
      <c r="C293" s="8"/>
      <c r="D293" s="8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</row>
    <row r="294" spans="1:73" ht="15.75" customHeight="1" thickBot="1">
      <c r="A294" s="14"/>
      <c r="B294" s="14"/>
      <c r="C294" s="8"/>
      <c r="D294" s="8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</row>
    <row r="295" spans="1:73" ht="15.75" customHeight="1" thickBot="1">
      <c r="A295" s="14"/>
      <c r="B295" s="14"/>
      <c r="C295" s="8"/>
      <c r="D295" s="8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</row>
    <row r="296" spans="1:73" ht="15.75" customHeight="1" thickBot="1">
      <c r="A296" s="14"/>
      <c r="B296" s="14"/>
      <c r="C296" s="8"/>
      <c r="D296" s="8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</row>
    <row r="297" spans="1:73" ht="15.75" customHeight="1" thickBot="1">
      <c r="A297" s="14"/>
      <c r="B297" s="14"/>
      <c r="C297" s="8"/>
      <c r="D297" s="8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</row>
    <row r="298" spans="1:73" ht="15.75" customHeight="1" thickBot="1">
      <c r="A298" s="14"/>
      <c r="B298" s="14"/>
      <c r="C298" s="8"/>
      <c r="D298" s="8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</row>
    <row r="299" spans="1:73" ht="15.75" customHeight="1" thickBot="1">
      <c r="A299" s="14"/>
      <c r="B299" s="14"/>
      <c r="C299" s="8"/>
      <c r="D299" s="8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</row>
    <row r="300" spans="1:73" ht="15.75" customHeight="1" thickBot="1">
      <c r="A300" s="14"/>
      <c r="B300" s="14"/>
      <c r="C300" s="8"/>
      <c r="D300" s="8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</row>
    <row r="301" spans="1:73" ht="15.75" customHeight="1" thickBot="1">
      <c r="A301" s="14"/>
      <c r="B301" s="14"/>
      <c r="C301" s="8"/>
      <c r="D301" s="8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</row>
    <row r="302" spans="1:73" ht="15.75" customHeight="1" thickBot="1">
      <c r="A302" s="14"/>
      <c r="B302" s="14"/>
      <c r="C302" s="8"/>
      <c r="D302" s="8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</row>
    <row r="303" spans="1:73" ht="15.75" customHeight="1" thickBot="1">
      <c r="A303" s="14"/>
      <c r="B303" s="14"/>
      <c r="C303" s="8"/>
      <c r="D303" s="8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</row>
    <row r="304" spans="1:73" ht="15.75" customHeight="1" thickBot="1">
      <c r="A304" s="14"/>
      <c r="B304" s="14"/>
      <c r="C304" s="8"/>
      <c r="D304" s="8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</row>
    <row r="305" spans="1:73" ht="15.75" customHeight="1" thickBot="1">
      <c r="A305" s="14"/>
      <c r="B305" s="14"/>
      <c r="C305" s="8"/>
      <c r="D305" s="8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</row>
    <row r="306" spans="1:73" ht="15.75" customHeight="1" thickBot="1">
      <c r="A306" s="14"/>
      <c r="B306" s="14"/>
      <c r="C306" s="8"/>
      <c r="D306" s="8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</row>
    <row r="307" spans="1:73" ht="15.75" customHeight="1" thickBot="1">
      <c r="A307" s="14"/>
      <c r="B307" s="14"/>
      <c r="C307" s="8"/>
      <c r="D307" s="8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</row>
    <row r="308" spans="1:73" ht="15.75" customHeight="1" thickBot="1">
      <c r="A308" s="14"/>
      <c r="B308" s="14"/>
      <c r="C308" s="8"/>
      <c r="D308" s="8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</row>
    <row r="309" spans="1:73" ht="15.75" customHeight="1" thickBot="1">
      <c r="A309" s="14"/>
      <c r="B309" s="14"/>
      <c r="C309" s="8"/>
      <c r="D309" s="8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</row>
    <row r="310" spans="1:73" ht="15.75" customHeight="1" thickBot="1">
      <c r="A310" s="14"/>
      <c r="B310" s="14"/>
      <c r="C310" s="8"/>
      <c r="D310" s="8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</row>
    <row r="311" spans="1:73" ht="15.75" customHeight="1" thickBot="1">
      <c r="A311" s="14"/>
      <c r="B311" s="14"/>
      <c r="C311" s="8"/>
      <c r="D311" s="8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</row>
    <row r="312" spans="1:73" ht="15.75" customHeight="1" thickBot="1">
      <c r="A312" s="14"/>
      <c r="B312" s="14"/>
      <c r="C312" s="8"/>
      <c r="D312" s="8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</row>
    <row r="313" spans="1:73" ht="15.75" customHeight="1" thickBot="1">
      <c r="A313" s="14"/>
      <c r="B313" s="14"/>
      <c r="C313" s="8"/>
      <c r="D313" s="8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</row>
    <row r="314" spans="1:73" ht="15.75" customHeight="1" thickBot="1">
      <c r="A314" s="14"/>
      <c r="B314" s="14"/>
      <c r="C314" s="8"/>
      <c r="D314" s="8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</row>
    <row r="315" spans="1:73" ht="15.75" customHeight="1" thickBot="1">
      <c r="A315" s="14"/>
      <c r="B315" s="14"/>
      <c r="C315" s="8"/>
      <c r="D315" s="8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</row>
    <row r="316" spans="1:73" ht="15.75" customHeight="1" thickBot="1">
      <c r="A316" s="14"/>
      <c r="B316" s="14"/>
      <c r="C316" s="8"/>
      <c r="D316" s="8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</row>
    <row r="317" spans="1:73" ht="15.75" customHeight="1" thickBot="1">
      <c r="A317" s="14"/>
      <c r="B317" s="14"/>
      <c r="C317" s="8"/>
      <c r="D317" s="8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</row>
    <row r="318" spans="1:73" ht="15.75" customHeight="1" thickBot="1">
      <c r="A318" s="14"/>
      <c r="B318" s="14"/>
      <c r="C318" s="8"/>
      <c r="D318" s="8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</row>
    <row r="319" spans="1:73" ht="15.75" customHeight="1" thickBot="1">
      <c r="A319" s="14"/>
      <c r="B319" s="14"/>
      <c r="C319" s="8"/>
      <c r="D319" s="8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</row>
    <row r="320" spans="1:73" ht="15.75" customHeight="1" thickBot="1">
      <c r="A320" s="14"/>
      <c r="B320" s="14"/>
      <c r="C320" s="8"/>
      <c r="D320" s="8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</row>
    <row r="321" spans="1:73" ht="15.75" customHeight="1" thickBot="1">
      <c r="A321" s="14"/>
      <c r="B321" s="14"/>
      <c r="C321" s="8"/>
      <c r="D321" s="8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</row>
    <row r="322" spans="1:73" ht="15.75" customHeight="1" thickBot="1">
      <c r="A322" s="14"/>
      <c r="B322" s="14"/>
      <c r="C322" s="8"/>
      <c r="D322" s="8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</row>
    <row r="323" spans="1:73" ht="15.75" customHeight="1" thickBot="1">
      <c r="A323" s="14"/>
      <c r="B323" s="14"/>
      <c r="C323" s="8"/>
      <c r="D323" s="8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</row>
    <row r="324" spans="1:73" ht="15.75" customHeight="1" thickBot="1">
      <c r="A324" s="14"/>
      <c r="B324" s="14"/>
      <c r="C324" s="8"/>
      <c r="D324" s="8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</row>
    <row r="325" spans="1:73" ht="15.75" customHeight="1" thickBot="1">
      <c r="A325" s="14"/>
      <c r="B325" s="14"/>
      <c r="C325" s="8"/>
      <c r="D325" s="8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</row>
    <row r="326" spans="1:73" ht="15.75" customHeight="1" thickBot="1">
      <c r="A326" s="14"/>
      <c r="B326" s="14"/>
      <c r="C326" s="8"/>
      <c r="D326" s="8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</row>
    <row r="327" spans="1:73" ht="15.75" customHeight="1" thickBot="1">
      <c r="A327" s="14"/>
      <c r="B327" s="14"/>
      <c r="C327" s="8"/>
      <c r="D327" s="8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</row>
    <row r="328" spans="1:73" ht="15.75" customHeight="1" thickBot="1">
      <c r="A328" s="14"/>
      <c r="B328" s="14"/>
      <c r="C328" s="8"/>
      <c r="D328" s="8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</row>
    <row r="329" spans="1:73" ht="15.75" customHeight="1" thickBot="1">
      <c r="A329" s="14"/>
      <c r="B329" s="14"/>
      <c r="C329" s="8"/>
      <c r="D329" s="8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</row>
    <row r="330" spans="1:73" ht="15.75" customHeight="1" thickBot="1">
      <c r="A330" s="14"/>
      <c r="B330" s="14"/>
      <c r="C330" s="8"/>
      <c r="D330" s="8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</row>
    <row r="331" spans="1:73" ht="15.75" customHeight="1" thickBot="1">
      <c r="A331" s="14"/>
      <c r="B331" s="14"/>
      <c r="C331" s="8"/>
      <c r="D331" s="8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</row>
    <row r="332" spans="1:73" ht="15.75" customHeight="1" thickBot="1">
      <c r="A332" s="14"/>
      <c r="B332" s="14"/>
      <c r="C332" s="8"/>
      <c r="D332" s="8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</row>
    <row r="333" spans="1:73" ht="15.75" customHeight="1" thickBot="1">
      <c r="A333" s="14"/>
      <c r="B333" s="14"/>
      <c r="C333" s="8"/>
      <c r="D333" s="8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</row>
    <row r="334" spans="1:73" ht="15.75" customHeight="1" thickBot="1">
      <c r="A334" s="14"/>
      <c r="B334" s="14"/>
      <c r="C334" s="8"/>
      <c r="D334" s="8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</row>
    <row r="335" spans="1:73" ht="15.75" customHeight="1" thickBot="1">
      <c r="A335" s="14"/>
      <c r="B335" s="14"/>
      <c r="C335" s="8"/>
      <c r="D335" s="8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</row>
    <row r="336" spans="1:73" ht="15.75" customHeight="1" thickBot="1">
      <c r="A336" s="14"/>
      <c r="B336" s="14"/>
      <c r="C336" s="8"/>
      <c r="D336" s="8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</row>
    <row r="337" spans="1:73" ht="15.75" customHeight="1" thickBot="1">
      <c r="A337" s="14"/>
      <c r="B337" s="14"/>
      <c r="C337" s="8"/>
      <c r="D337" s="8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</row>
    <row r="338" spans="1:73" ht="15.75" customHeight="1" thickBot="1">
      <c r="A338" s="14"/>
      <c r="B338" s="14"/>
      <c r="C338" s="8"/>
      <c r="D338" s="8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</row>
    <row r="339" spans="1:73" ht="15.75" customHeight="1" thickBot="1">
      <c r="A339" s="14"/>
      <c r="B339" s="14"/>
      <c r="C339" s="8"/>
      <c r="D339" s="8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</row>
    <row r="340" spans="1:73" ht="15.75" customHeight="1" thickBot="1">
      <c r="A340" s="14"/>
      <c r="B340" s="14"/>
      <c r="C340" s="8"/>
      <c r="D340" s="8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</row>
    <row r="341" spans="1:73" ht="15.75" customHeight="1" thickBot="1">
      <c r="A341" s="14"/>
      <c r="B341" s="14"/>
      <c r="C341" s="8"/>
      <c r="D341" s="8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</row>
    <row r="342" spans="1:73" ht="15.75" customHeight="1" thickBot="1">
      <c r="A342" s="14"/>
      <c r="B342" s="14"/>
      <c r="C342" s="8"/>
      <c r="D342" s="8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</row>
    <row r="343" spans="1:73" ht="15.75" customHeight="1" thickBot="1">
      <c r="A343" s="14"/>
      <c r="B343" s="14"/>
      <c r="C343" s="8"/>
      <c r="D343" s="8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</row>
    <row r="344" spans="1:73" ht="15.75" customHeight="1" thickBot="1">
      <c r="A344" s="14"/>
      <c r="B344" s="14"/>
      <c r="C344" s="8"/>
      <c r="D344" s="8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</row>
    <row r="345" spans="1:73" ht="15.75" customHeight="1" thickBot="1">
      <c r="A345" s="14"/>
      <c r="B345" s="14"/>
      <c r="C345" s="8"/>
      <c r="D345" s="8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</row>
    <row r="346" spans="1:73" ht="15.75" customHeight="1" thickBot="1">
      <c r="A346" s="14"/>
      <c r="B346" s="14"/>
      <c r="C346" s="8"/>
      <c r="D346" s="8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</row>
    <row r="347" spans="1:73" ht="15.75" customHeight="1" thickBot="1">
      <c r="A347" s="14"/>
      <c r="B347" s="14"/>
      <c r="C347" s="8"/>
      <c r="D347" s="8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</row>
    <row r="348" spans="1:73" ht="15.75" customHeight="1" thickBot="1">
      <c r="A348" s="14"/>
      <c r="B348" s="14"/>
      <c r="C348" s="8"/>
      <c r="D348" s="8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</row>
    <row r="349" spans="1:73" ht="15.75" customHeight="1" thickBot="1">
      <c r="A349" s="14"/>
      <c r="B349" s="14"/>
      <c r="C349" s="8"/>
      <c r="D349" s="8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</row>
    <row r="350" spans="1:73" ht="15.75" customHeight="1" thickBot="1">
      <c r="A350" s="14"/>
      <c r="B350" s="14"/>
      <c r="C350" s="8"/>
      <c r="D350" s="8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</row>
    <row r="351" spans="1:73" ht="15.75" customHeight="1" thickBot="1">
      <c r="A351" s="14"/>
      <c r="B351" s="14"/>
      <c r="C351" s="8"/>
      <c r="D351" s="8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</row>
    <row r="352" spans="1:73" ht="15.75" customHeight="1" thickBot="1">
      <c r="A352" s="14"/>
      <c r="B352" s="14"/>
      <c r="C352" s="8"/>
      <c r="D352" s="8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</row>
    <row r="353" spans="1:73" ht="15.75" customHeight="1" thickBot="1">
      <c r="A353" s="14"/>
      <c r="B353" s="14"/>
      <c r="C353" s="8"/>
      <c r="D353" s="8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</row>
    <row r="354" spans="1:73" ht="15.75" customHeight="1" thickBot="1">
      <c r="A354" s="14"/>
      <c r="B354" s="14"/>
      <c r="C354" s="8"/>
      <c r="D354" s="8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</row>
    <row r="355" spans="1:73" ht="15.75" customHeight="1" thickBot="1">
      <c r="A355" s="14"/>
      <c r="B355" s="14"/>
      <c r="C355" s="8"/>
      <c r="D355" s="8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</row>
    <row r="356" spans="1:73" ht="15.75" customHeight="1" thickBot="1">
      <c r="A356" s="14"/>
      <c r="B356" s="14"/>
      <c r="C356" s="8"/>
      <c r="D356" s="8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</row>
    <row r="357" spans="1:73" ht="15.75" customHeight="1" thickBot="1">
      <c r="A357" s="14"/>
      <c r="B357" s="14"/>
      <c r="C357" s="8"/>
      <c r="D357" s="8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</row>
    <row r="358" spans="1:73" ht="15.75" customHeight="1" thickBot="1">
      <c r="A358" s="14"/>
      <c r="B358" s="14"/>
      <c r="C358" s="8"/>
      <c r="D358" s="8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</row>
    <row r="359" spans="1:73" ht="15.75" customHeight="1" thickBot="1">
      <c r="A359" s="14"/>
      <c r="B359" s="14"/>
      <c r="C359" s="8"/>
      <c r="D359" s="8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</row>
    <row r="360" spans="1:73" ht="15.75" customHeight="1" thickBot="1">
      <c r="A360" s="14"/>
      <c r="B360" s="14"/>
      <c r="C360" s="8"/>
      <c r="D360" s="8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</row>
    <row r="361" spans="1:73" ht="15.75" customHeight="1" thickBot="1">
      <c r="A361" s="14"/>
      <c r="B361" s="14"/>
      <c r="C361" s="8"/>
      <c r="D361" s="8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</row>
    <row r="362" spans="1:73" ht="15.75" customHeight="1" thickBot="1">
      <c r="A362" s="14"/>
      <c r="B362" s="14"/>
      <c r="C362" s="8"/>
      <c r="D362" s="8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</row>
    <row r="363" spans="1:73" ht="15.75" customHeight="1" thickBot="1">
      <c r="A363" s="14"/>
      <c r="B363" s="14"/>
      <c r="C363" s="8"/>
      <c r="D363" s="8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</row>
    <row r="364" spans="1:73" ht="15.75" customHeight="1" thickBot="1">
      <c r="A364" s="14"/>
      <c r="B364" s="14"/>
      <c r="C364" s="8"/>
      <c r="D364" s="8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</row>
    <row r="365" spans="1:73" ht="15.75" customHeight="1" thickBot="1">
      <c r="A365" s="14"/>
      <c r="B365" s="14"/>
      <c r="C365" s="8"/>
      <c r="D365" s="8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</row>
    <row r="366" spans="1:73" ht="15.75" customHeight="1" thickBot="1">
      <c r="A366" s="14"/>
      <c r="B366" s="14"/>
      <c r="C366" s="8"/>
      <c r="D366" s="8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</row>
    <row r="367" spans="1:73" ht="15.75" customHeight="1" thickBot="1">
      <c r="A367" s="14"/>
      <c r="B367" s="14"/>
      <c r="C367" s="8"/>
      <c r="D367" s="8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</row>
    <row r="368" spans="1:73" ht="15.75" customHeight="1" thickBot="1">
      <c r="A368" s="14"/>
      <c r="B368" s="14"/>
      <c r="C368" s="8"/>
      <c r="D368" s="8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</row>
    <row r="369" spans="1:73" ht="15.75" customHeight="1" thickBot="1">
      <c r="A369" s="14"/>
      <c r="B369" s="14"/>
      <c r="C369" s="8"/>
      <c r="D369" s="8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</row>
    <row r="370" spans="1:73" ht="15.75" customHeight="1" thickBot="1">
      <c r="A370" s="14"/>
      <c r="B370" s="14"/>
      <c r="C370" s="8"/>
      <c r="D370" s="8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</row>
    <row r="371" spans="1:73" ht="15.75" customHeight="1" thickBot="1">
      <c r="A371" s="14"/>
      <c r="B371" s="14"/>
      <c r="C371" s="8"/>
      <c r="D371" s="8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</row>
    <row r="372" spans="1:73" ht="15.75" customHeight="1" thickBot="1">
      <c r="A372" s="14"/>
      <c r="B372" s="14"/>
      <c r="C372" s="8"/>
      <c r="D372" s="8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</row>
    <row r="373" spans="1:73" ht="15.75" customHeight="1" thickBot="1">
      <c r="A373" s="14"/>
      <c r="B373" s="14"/>
      <c r="C373" s="8"/>
      <c r="D373" s="8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</row>
    <row r="374" spans="1:73" ht="15.75" customHeight="1" thickBot="1">
      <c r="A374" s="14"/>
      <c r="B374" s="14"/>
      <c r="C374" s="8"/>
      <c r="D374" s="8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</row>
    <row r="375" spans="1:73" ht="15.75" customHeight="1" thickBot="1">
      <c r="A375" s="14"/>
      <c r="B375" s="14"/>
      <c r="C375" s="8"/>
      <c r="D375" s="8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</row>
    <row r="376" spans="1:73" ht="15.75" customHeight="1" thickBot="1">
      <c r="A376" s="14"/>
      <c r="B376" s="14"/>
      <c r="C376" s="8"/>
      <c r="D376" s="8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</row>
    <row r="377" spans="1:73" ht="15.75" customHeight="1" thickBot="1">
      <c r="A377" s="14"/>
      <c r="B377" s="14"/>
      <c r="C377" s="8"/>
      <c r="D377" s="8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</row>
    <row r="378" spans="1:73" ht="15.75" customHeight="1" thickBot="1">
      <c r="A378" s="14"/>
      <c r="B378" s="14"/>
      <c r="C378" s="8"/>
      <c r="D378" s="8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</row>
    <row r="379" spans="1:73" ht="15.75" customHeight="1" thickBot="1">
      <c r="A379" s="14"/>
      <c r="B379" s="14"/>
      <c r="C379" s="8"/>
      <c r="D379" s="8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</row>
    <row r="380" spans="1:73" ht="15.75" customHeight="1" thickBot="1">
      <c r="A380" s="14"/>
      <c r="B380" s="14"/>
      <c r="C380" s="8"/>
      <c r="D380" s="8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</row>
    <row r="381" spans="1:73" ht="15.75" customHeight="1" thickBot="1">
      <c r="A381" s="14"/>
      <c r="B381" s="14"/>
      <c r="C381" s="8"/>
      <c r="D381" s="8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</row>
    <row r="382" spans="1:73" ht="15.75" customHeight="1" thickBot="1">
      <c r="A382" s="14"/>
      <c r="B382" s="14"/>
      <c r="C382" s="8"/>
      <c r="D382" s="8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</row>
    <row r="383" spans="1:73" ht="15.75" customHeight="1" thickBot="1">
      <c r="A383" s="14"/>
      <c r="B383" s="14"/>
      <c r="C383" s="8"/>
      <c r="D383" s="8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</row>
    <row r="384" spans="1:73" ht="15.75" customHeight="1" thickBot="1">
      <c r="A384" s="14"/>
      <c r="B384" s="14"/>
      <c r="C384" s="8"/>
      <c r="D384" s="8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</row>
    <row r="385" spans="1:73" ht="15.75" customHeight="1" thickBot="1">
      <c r="A385" s="14"/>
      <c r="B385" s="14"/>
      <c r="C385" s="8"/>
      <c r="D385" s="8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</row>
    <row r="386" spans="1:73" ht="15.75" customHeight="1" thickBot="1">
      <c r="A386" s="14"/>
      <c r="B386" s="14"/>
      <c r="C386" s="8"/>
      <c r="D386" s="8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</row>
    <row r="387" spans="1:73" ht="15.75" customHeight="1" thickBot="1">
      <c r="A387" s="14"/>
      <c r="B387" s="14"/>
      <c r="C387" s="8"/>
      <c r="D387" s="8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</row>
    <row r="388" spans="1:73" ht="15.75" customHeight="1" thickBot="1">
      <c r="A388" s="14"/>
      <c r="B388" s="14"/>
      <c r="C388" s="8"/>
      <c r="D388" s="3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</row>
    <row r="389" spans="1:73" ht="15.75" customHeight="1" thickBot="1">
      <c r="A389" s="14"/>
      <c r="B389" s="14"/>
      <c r="C389" s="8"/>
      <c r="D389" s="3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</row>
    <row r="390" spans="1:73" ht="15.75" customHeight="1" thickBot="1">
      <c r="A390" s="14"/>
      <c r="B390" s="14"/>
      <c r="C390" s="8"/>
      <c r="D390" s="3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</row>
    <row r="391" spans="1:73" ht="15.75" customHeight="1" thickBot="1">
      <c r="A391" s="14"/>
      <c r="B391" s="14"/>
      <c r="C391" s="8"/>
      <c r="D391" s="3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</row>
    <row r="392" spans="1:73" ht="15.75" customHeight="1" thickBot="1">
      <c r="A392" s="14"/>
      <c r="B392" s="14"/>
      <c r="C392" s="8"/>
      <c r="D392" s="3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</row>
    <row r="393" spans="1:73" ht="15.75" customHeight="1" thickBot="1">
      <c r="A393" s="14"/>
      <c r="B393" s="14"/>
      <c r="C393" s="8"/>
      <c r="D393" s="3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</row>
    <row r="394" spans="1:73" ht="15.75" customHeight="1" thickBot="1">
      <c r="A394" s="14"/>
      <c r="B394" s="14"/>
      <c r="C394" s="8"/>
      <c r="D394" s="3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</row>
    <row r="395" spans="1:73" ht="15.75" customHeight="1" thickBot="1">
      <c r="A395" s="14"/>
      <c r="B395" s="14"/>
      <c r="C395" s="8"/>
      <c r="D395" s="3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</row>
    <row r="396" spans="1:73" ht="15.75" customHeight="1" thickBot="1">
      <c r="A396" s="14"/>
      <c r="B396" s="14"/>
      <c r="C396" s="8"/>
      <c r="D396" s="3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</row>
    <row r="397" spans="1:73" ht="15.75" customHeight="1" thickBot="1">
      <c r="A397" s="14"/>
      <c r="B397" s="14"/>
      <c r="C397" s="8"/>
      <c r="D397" s="3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</row>
    <row r="398" spans="1:73" ht="15.75" customHeight="1" thickBot="1">
      <c r="A398" s="14"/>
      <c r="B398" s="14"/>
      <c r="C398" s="8"/>
      <c r="D398" s="3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</row>
    <row r="399" spans="1:73" ht="15.75" customHeight="1" thickBot="1">
      <c r="A399" s="14"/>
      <c r="B399" s="14"/>
      <c r="C399" s="8"/>
      <c r="D399" s="3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</row>
    <row r="400" spans="1:73" ht="15.75" customHeight="1" thickBot="1">
      <c r="A400" s="14"/>
      <c r="B400" s="14"/>
      <c r="C400" s="8"/>
      <c r="D400" s="3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</row>
    <row r="401" spans="1:73" ht="15.75" customHeight="1" thickBot="1">
      <c r="A401" s="14"/>
      <c r="B401" s="14"/>
      <c r="C401" s="8"/>
      <c r="D401" s="3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</row>
    <row r="402" spans="1:73" ht="15.75" customHeight="1" thickBot="1">
      <c r="A402" s="14"/>
      <c r="B402" s="14"/>
      <c r="C402" s="8"/>
      <c r="D402" s="3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</row>
    <row r="403" spans="1:73" ht="15.75" customHeight="1" thickBot="1">
      <c r="A403" s="14"/>
      <c r="B403" s="14"/>
      <c r="C403" s="8"/>
      <c r="D403" s="3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</row>
    <row r="404" spans="1:73" ht="15.75" customHeight="1" thickBot="1">
      <c r="A404" s="14"/>
      <c r="B404" s="14"/>
      <c r="C404" s="8"/>
      <c r="D404" s="3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</row>
    <row r="405" spans="1:73" ht="15.75" customHeight="1" thickBot="1">
      <c r="A405" s="14"/>
      <c r="B405" s="14"/>
      <c r="C405" s="8"/>
      <c r="D405" s="3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</row>
    <row r="406" spans="1:73" ht="15.75" customHeight="1" thickBot="1">
      <c r="A406" s="14"/>
      <c r="B406" s="14"/>
      <c r="C406" s="8"/>
      <c r="D406" s="3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</row>
    <row r="407" spans="1:73" ht="15.75" customHeight="1" thickBot="1">
      <c r="A407" s="14"/>
      <c r="B407" s="14"/>
      <c r="C407" s="8"/>
      <c r="D407" s="3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</row>
    <row r="408" spans="1:73" ht="15.75" customHeight="1" thickBot="1">
      <c r="A408" s="14"/>
      <c r="B408" s="14"/>
      <c r="C408" s="8"/>
      <c r="D408" s="3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</row>
    <row r="409" spans="1:73" ht="15.75" customHeight="1" thickBot="1">
      <c r="A409" s="14"/>
      <c r="B409" s="14"/>
      <c r="C409" s="8"/>
      <c r="D409" s="3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</row>
    <row r="410" spans="1:73" ht="15.75" customHeight="1" thickBot="1">
      <c r="A410" s="14"/>
      <c r="B410" s="14"/>
      <c r="C410" s="8"/>
      <c r="D410" s="3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</row>
    <row r="411" spans="1:73" ht="15.75" customHeight="1" thickBot="1">
      <c r="A411" s="14"/>
      <c r="B411" s="14"/>
      <c r="C411" s="8"/>
      <c r="D411" s="3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</row>
    <row r="412" spans="1:73" ht="15.75" customHeight="1" thickBot="1">
      <c r="A412" s="14"/>
      <c r="B412" s="14"/>
      <c r="C412" s="8"/>
      <c r="D412" s="3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</row>
    <row r="413" spans="1:73" ht="15.75" customHeight="1" thickBot="1">
      <c r="A413" s="14"/>
      <c r="B413" s="14"/>
      <c r="C413" s="8"/>
      <c r="D413" s="3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</row>
    <row r="414" spans="1:73" ht="15.75" customHeight="1" thickBot="1">
      <c r="A414" s="14"/>
      <c r="B414" s="14"/>
      <c r="C414" s="8"/>
      <c r="D414" s="3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</row>
    <row r="415" spans="1:73" ht="15.75" customHeight="1" thickBot="1">
      <c r="A415" s="14"/>
      <c r="B415" s="14"/>
      <c r="C415" s="8"/>
      <c r="D415" s="3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</row>
    <row r="416" spans="1:73" ht="15.75" customHeight="1" thickBot="1">
      <c r="A416" s="14"/>
      <c r="B416" s="14"/>
      <c r="C416" s="8"/>
      <c r="D416" s="3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</row>
    <row r="417" spans="1:73" ht="15.75" customHeight="1" thickBot="1">
      <c r="A417" s="14"/>
      <c r="B417" s="14"/>
      <c r="C417" s="8"/>
      <c r="D417" s="3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</row>
    <row r="418" spans="1:73" ht="15.75" customHeight="1" thickBot="1">
      <c r="A418" s="14"/>
      <c r="B418" s="14"/>
      <c r="C418" s="8"/>
      <c r="D418" s="3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</row>
    <row r="419" spans="1:73" ht="15.75" customHeight="1" thickBot="1">
      <c r="A419" s="14"/>
      <c r="B419" s="14"/>
      <c r="C419" s="8"/>
      <c r="D419" s="3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</row>
    <row r="420" spans="1:73" ht="15.75" customHeight="1" thickBot="1">
      <c r="A420" s="14"/>
      <c r="B420" s="14"/>
      <c r="C420" s="8"/>
      <c r="D420" s="3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</row>
    <row r="421" spans="1:73" ht="15.75" customHeight="1" thickBot="1">
      <c r="A421" s="14"/>
      <c r="B421" s="14"/>
      <c r="C421" s="8"/>
      <c r="D421" s="3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</row>
    <row r="422" spans="1:73" ht="15.75" customHeight="1" thickBot="1">
      <c r="A422" s="14"/>
      <c r="B422" s="14"/>
      <c r="C422" s="8"/>
      <c r="D422" s="3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</row>
    <row r="423" spans="1:73" ht="15.75" customHeight="1" thickBot="1">
      <c r="A423" s="14"/>
      <c r="B423" s="14"/>
      <c r="C423" s="8"/>
      <c r="D423" s="3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</row>
    <row r="424" spans="1:73" ht="15.75" customHeight="1" thickBot="1">
      <c r="A424" s="14"/>
      <c r="B424" s="14"/>
      <c r="C424" s="8"/>
      <c r="D424" s="3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</row>
    <row r="425" spans="1:73" ht="15.75" customHeight="1" thickBot="1">
      <c r="A425" s="14"/>
      <c r="B425" s="14"/>
      <c r="C425" s="8"/>
      <c r="D425" s="3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</row>
    <row r="426" spans="1:73" ht="15.75" customHeight="1" thickBot="1">
      <c r="A426" s="14"/>
      <c r="B426" s="14"/>
      <c r="C426" s="8"/>
      <c r="D426" s="3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</row>
    <row r="427" spans="1:73" ht="15.75" customHeight="1" thickBot="1">
      <c r="A427" s="14"/>
      <c r="B427" s="14"/>
      <c r="C427" s="8"/>
      <c r="D427" s="3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</row>
    <row r="428" spans="1:73" ht="15.75" customHeight="1" thickBot="1">
      <c r="A428" s="14"/>
      <c r="B428" s="14"/>
      <c r="C428" s="8"/>
      <c r="D428" s="3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</row>
    <row r="429" spans="1:73" ht="15.75" customHeight="1" thickBot="1">
      <c r="A429" s="14"/>
      <c r="B429" s="14"/>
      <c r="C429" s="8"/>
      <c r="D429" s="3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</row>
    <row r="430" spans="1:73" ht="15.75" customHeight="1" thickBot="1">
      <c r="A430" s="14"/>
      <c r="B430" s="14"/>
      <c r="C430" s="8"/>
      <c r="D430" s="3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</row>
    <row r="431" spans="1:73" ht="15.75" customHeight="1" thickBot="1">
      <c r="A431" s="14"/>
      <c r="B431" s="14"/>
      <c r="C431" s="8"/>
      <c r="D431" s="3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</row>
    <row r="432" spans="1:73" ht="15.75" customHeight="1" thickBot="1">
      <c r="A432" s="14"/>
      <c r="B432" s="14"/>
      <c r="C432" s="8"/>
      <c r="D432" s="3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</row>
    <row r="433" spans="1:73" ht="15.75" customHeight="1" thickBot="1">
      <c r="A433" s="14"/>
      <c r="B433" s="14"/>
      <c r="C433" s="8"/>
      <c r="D433" s="3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</row>
    <row r="434" spans="1:73" ht="15.75" customHeight="1" thickBot="1">
      <c r="A434" s="14"/>
      <c r="B434" s="14"/>
      <c r="C434" s="8"/>
      <c r="D434" s="3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</row>
    <row r="435" spans="1:73" ht="15.75" customHeight="1" thickBot="1">
      <c r="A435" s="14"/>
      <c r="B435" s="14"/>
      <c r="C435" s="8"/>
      <c r="D435" s="3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</row>
    <row r="436" spans="1:73" ht="15.75" customHeight="1" thickBot="1">
      <c r="A436" s="14"/>
      <c r="B436" s="14"/>
      <c r="C436" s="8"/>
      <c r="D436" s="3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</row>
    <row r="437" spans="1:73" ht="15.75" customHeight="1" thickBot="1">
      <c r="A437" s="14"/>
      <c r="B437" s="14"/>
      <c r="C437" s="8"/>
      <c r="D437" s="3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</row>
    <row r="438" spans="1:73" ht="15.75" customHeight="1" thickBot="1">
      <c r="A438" s="14"/>
      <c r="B438" s="14"/>
      <c r="C438" s="8"/>
      <c r="D438" s="3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</row>
    <row r="439" spans="1:73" ht="15.75" customHeight="1" thickBot="1">
      <c r="A439" s="14"/>
      <c r="B439" s="14"/>
      <c r="C439" s="8"/>
      <c r="D439" s="3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</row>
    <row r="440" spans="1:73" ht="15.75" customHeight="1" thickBot="1">
      <c r="A440" s="14"/>
      <c r="B440" s="14"/>
      <c r="C440" s="8"/>
      <c r="D440" s="3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</row>
    <row r="441" spans="1:73" ht="15.75" customHeight="1" thickBot="1">
      <c r="A441" s="14"/>
      <c r="B441" s="14"/>
      <c r="C441" s="8"/>
      <c r="D441" s="3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</row>
    <row r="442" spans="1:73" ht="15.75" customHeight="1" thickBot="1">
      <c r="A442" s="14"/>
      <c r="B442" s="14"/>
      <c r="C442" s="8"/>
      <c r="D442" s="3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</row>
    <row r="443" spans="1:73" ht="15.75" customHeight="1" thickBot="1">
      <c r="A443" s="14"/>
      <c r="B443" s="14"/>
      <c r="C443" s="8"/>
      <c r="D443" s="3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</row>
    <row r="444" spans="1:73" ht="15.75" customHeight="1" thickBot="1">
      <c r="A444" s="14"/>
      <c r="B444" s="14"/>
      <c r="C444" s="8"/>
      <c r="D444" s="3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</row>
    <row r="445" spans="1:73" ht="15.75" customHeight="1" thickBot="1">
      <c r="A445" s="14"/>
      <c r="B445" s="14"/>
      <c r="C445" s="8"/>
      <c r="D445" s="3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</row>
    <row r="446" spans="1:73" ht="15.75" customHeight="1" thickBot="1">
      <c r="A446" s="14"/>
      <c r="B446" s="14"/>
      <c r="C446" s="8"/>
      <c r="D446" s="3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</row>
    <row r="447" spans="1:73" ht="15.75" customHeight="1" thickBot="1">
      <c r="A447" s="14"/>
      <c r="B447" s="14"/>
      <c r="C447" s="8"/>
      <c r="D447" s="3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</row>
    <row r="448" spans="1:73" ht="15.75" customHeight="1" thickBot="1">
      <c r="A448" s="14"/>
      <c r="B448" s="14"/>
      <c r="C448" s="8"/>
      <c r="D448" s="3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</row>
    <row r="449" spans="1:73" ht="15.75" customHeight="1" thickBot="1">
      <c r="A449" s="14"/>
      <c r="B449" s="14"/>
      <c r="C449" s="8"/>
      <c r="D449" s="3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</row>
    <row r="450" spans="1:73" ht="15.75" customHeight="1" thickBot="1">
      <c r="A450" s="14"/>
      <c r="B450" s="14"/>
      <c r="C450" s="8"/>
      <c r="D450" s="3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</row>
    <row r="451" spans="1:73" ht="15.75" customHeight="1" thickBot="1">
      <c r="A451" s="14"/>
      <c r="B451" s="14"/>
      <c r="C451" s="8"/>
      <c r="D451" s="3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</row>
    <row r="452" spans="1:73" ht="15.75" customHeight="1" thickBot="1">
      <c r="A452" s="14"/>
      <c r="B452" s="14"/>
      <c r="C452" s="8"/>
      <c r="D452" s="3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</row>
    <row r="453" spans="1:73" ht="15.75" customHeight="1" thickBot="1">
      <c r="A453" s="14"/>
      <c r="B453" s="14"/>
      <c r="C453" s="8"/>
      <c r="D453" s="3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</row>
    <row r="454" spans="1:73" ht="15.75" customHeight="1" thickBot="1">
      <c r="A454" s="14"/>
      <c r="B454" s="14"/>
      <c r="C454" s="8"/>
      <c r="D454" s="3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</row>
    <row r="455" spans="1:73" ht="15.75" customHeight="1" thickBot="1">
      <c r="A455" s="14"/>
      <c r="B455" s="14"/>
      <c r="C455" s="8"/>
      <c r="D455" s="3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</row>
    <row r="456" spans="1:73" ht="15.75" customHeight="1" thickBot="1">
      <c r="A456" s="14"/>
      <c r="B456" s="14"/>
      <c r="C456" s="8"/>
      <c r="D456" s="3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</row>
    <row r="457" spans="1:73" ht="15.75" customHeight="1" thickBot="1">
      <c r="A457" s="14"/>
      <c r="B457" s="14"/>
      <c r="C457" s="8"/>
      <c r="D457" s="3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</row>
    <row r="458" spans="1:73" ht="15.75" customHeight="1" thickBot="1">
      <c r="A458" s="14"/>
      <c r="B458" s="14"/>
      <c r="C458" s="8"/>
      <c r="D458" s="3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</row>
    <row r="459" spans="1:73" ht="15.75" customHeight="1" thickBot="1">
      <c r="A459" s="14"/>
      <c r="B459" s="14"/>
      <c r="C459" s="8"/>
      <c r="D459" s="3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</row>
    <row r="460" spans="1:73" ht="15.75" customHeight="1" thickBot="1">
      <c r="A460" s="14"/>
      <c r="B460" s="14"/>
      <c r="C460" s="8"/>
      <c r="D460" s="3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</row>
    <row r="461" spans="1:73" ht="15.75" customHeight="1" thickBot="1">
      <c r="A461" s="14"/>
      <c r="B461" s="14"/>
      <c r="C461" s="8"/>
      <c r="D461" s="3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</row>
    <row r="462" spans="1:73" ht="15.75" customHeight="1" thickBot="1">
      <c r="A462" s="14"/>
      <c r="B462" s="14"/>
      <c r="C462" s="8"/>
      <c r="D462" s="3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</row>
    <row r="463" spans="1:73" ht="15.75" customHeight="1" thickBot="1">
      <c r="A463" s="14"/>
      <c r="B463" s="14"/>
      <c r="C463" s="8"/>
      <c r="D463" s="3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</row>
    <row r="464" spans="1:73" ht="15.75" customHeight="1" thickBot="1">
      <c r="A464" s="14"/>
      <c r="B464" s="14"/>
      <c r="C464" s="8"/>
      <c r="D464" s="3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</row>
    <row r="465" spans="1:73" ht="15.75" customHeight="1" thickBot="1">
      <c r="A465" s="14"/>
      <c r="B465" s="14"/>
      <c r="C465" s="8"/>
      <c r="D465" s="3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</row>
    <row r="466" spans="1:73" ht="15.75" customHeight="1" thickBot="1">
      <c r="A466" s="14"/>
      <c r="B466" s="14"/>
      <c r="C466" s="8"/>
      <c r="D466" s="3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</row>
    <row r="467" spans="1:73" ht="15.75" customHeight="1" thickBot="1">
      <c r="A467" s="14"/>
      <c r="B467" s="14"/>
      <c r="C467" s="8"/>
      <c r="D467" s="3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</row>
    <row r="468" spans="1:73" ht="15.75" customHeight="1" thickBot="1">
      <c r="A468" s="14"/>
      <c r="B468" s="14"/>
      <c r="C468" s="8"/>
      <c r="D468" s="3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</row>
    <row r="469" spans="1:73" ht="15.75" customHeight="1" thickBot="1">
      <c r="A469" s="14"/>
      <c r="B469" s="14"/>
      <c r="C469" s="8"/>
      <c r="D469" s="3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</row>
    <row r="470" spans="1:73" ht="15.75" customHeight="1" thickBot="1">
      <c r="A470" s="14"/>
      <c r="B470" s="14"/>
      <c r="C470" s="8"/>
      <c r="D470" s="3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</row>
    <row r="471" spans="1:73" ht="15.75" customHeight="1" thickBot="1">
      <c r="A471" s="14"/>
      <c r="B471" s="14"/>
      <c r="C471" s="8"/>
      <c r="D471" s="3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</row>
    <row r="472" spans="1:73" ht="15.75" customHeight="1" thickBot="1">
      <c r="A472" s="14"/>
      <c r="B472" s="14"/>
      <c r="C472" s="8"/>
      <c r="D472" s="3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</row>
    <row r="473" spans="1:73" ht="15.75" customHeight="1" thickBot="1">
      <c r="A473" s="14"/>
      <c r="B473" s="14"/>
      <c r="C473" s="8"/>
      <c r="D473" s="3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</row>
    <row r="474" spans="1:73" ht="15.75" customHeight="1" thickBot="1">
      <c r="A474" s="14"/>
      <c r="B474" s="14"/>
      <c r="C474" s="8"/>
      <c r="D474" s="3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</row>
    <row r="475" spans="1:73" ht="15.75" customHeight="1" thickBot="1">
      <c r="A475" s="14"/>
      <c r="B475" s="14"/>
      <c r="C475" s="8"/>
      <c r="D475" s="3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</row>
    <row r="476" spans="1:73" ht="15.75" customHeight="1" thickBot="1">
      <c r="A476" s="14"/>
      <c r="B476" s="14"/>
      <c r="C476" s="8"/>
      <c r="D476" s="3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</row>
    <row r="477" spans="1:73" ht="15.75" customHeight="1" thickBot="1">
      <c r="A477" s="14"/>
      <c r="B477" s="14"/>
      <c r="C477" s="8"/>
      <c r="D477" s="3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</row>
    <row r="478" spans="1:73" ht="15.75" customHeight="1" thickBot="1">
      <c r="A478" s="14"/>
      <c r="B478" s="14"/>
      <c r="C478" s="8"/>
      <c r="D478" s="3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</row>
    <row r="479" spans="1:73" ht="15.75" customHeight="1" thickBot="1">
      <c r="A479" s="14"/>
      <c r="B479" s="14"/>
      <c r="C479" s="8"/>
      <c r="D479" s="3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</row>
    <row r="480" spans="1:73" ht="15.75" customHeight="1" thickBot="1">
      <c r="A480" s="14"/>
      <c r="B480" s="14"/>
      <c r="C480" s="8"/>
      <c r="D480" s="3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</row>
    <row r="481" spans="1:73" ht="15.75" customHeight="1" thickBot="1">
      <c r="A481" s="14"/>
      <c r="B481" s="14"/>
      <c r="C481" s="8"/>
      <c r="D481" s="3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</row>
    <row r="482" spans="1:73" ht="15.75" customHeight="1" thickBot="1">
      <c r="A482" s="14"/>
      <c r="B482" s="14"/>
      <c r="C482" s="8"/>
      <c r="D482" s="3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</row>
    <row r="483" spans="1:73" ht="15.75" customHeight="1" thickBot="1">
      <c r="A483" s="14"/>
      <c r="B483" s="14"/>
      <c r="C483" s="8"/>
      <c r="D483" s="3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</row>
    <row r="484" spans="1:73" ht="15.75" customHeight="1" thickBot="1">
      <c r="A484" s="14"/>
      <c r="B484" s="14"/>
      <c r="C484" s="8"/>
      <c r="D484" s="3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</row>
    <row r="485" spans="1:73" ht="15.75" customHeight="1" thickBot="1">
      <c r="A485" s="14"/>
      <c r="B485" s="14"/>
      <c r="C485" s="8"/>
      <c r="D485" s="3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</row>
    <row r="486" spans="1:73" ht="15.75" customHeight="1" thickBot="1">
      <c r="A486" s="14"/>
      <c r="B486" s="14"/>
      <c r="C486" s="8"/>
      <c r="D486" s="3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</row>
    <row r="487" spans="1:73" ht="15.75" customHeight="1" thickBot="1">
      <c r="A487" s="14"/>
      <c r="B487" s="14"/>
      <c r="C487" s="8"/>
      <c r="D487" s="3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</row>
    <row r="488" spans="1:73" ht="15.75" customHeight="1" thickBot="1">
      <c r="A488" s="14"/>
      <c r="B488" s="14"/>
      <c r="C488" s="8"/>
      <c r="D488" s="3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</row>
    <row r="489" spans="1:73" ht="15.75" customHeight="1" thickBot="1">
      <c r="A489" s="14"/>
      <c r="B489" s="14"/>
      <c r="C489" s="8"/>
      <c r="D489" s="3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</row>
    <row r="490" spans="1:73" ht="15.75" customHeight="1" thickBot="1">
      <c r="A490" s="14"/>
      <c r="B490" s="14"/>
      <c r="C490" s="8"/>
      <c r="D490" s="3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</row>
    <row r="491" spans="1:73" ht="15.75" customHeight="1" thickBot="1">
      <c r="A491" s="14"/>
      <c r="B491" s="14"/>
      <c r="C491" s="8"/>
      <c r="D491" s="3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</row>
    <row r="492" spans="1:73" ht="15.75" customHeight="1" thickBot="1">
      <c r="A492" s="14"/>
      <c r="B492" s="14"/>
      <c r="C492" s="8"/>
      <c r="D492" s="3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</row>
    <row r="493" spans="1:73" ht="15.75" customHeight="1" thickBot="1">
      <c r="A493" s="14"/>
      <c r="B493" s="14"/>
      <c r="C493" s="8"/>
      <c r="D493" s="3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</row>
    <row r="494" spans="1:73" ht="15.75" customHeight="1" thickBot="1">
      <c r="A494" s="14"/>
      <c r="B494" s="14"/>
      <c r="C494" s="8"/>
      <c r="D494" s="3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</row>
    <row r="495" spans="1:73" ht="15.75" customHeight="1" thickBot="1">
      <c r="A495" s="14"/>
      <c r="B495" s="14"/>
      <c r="C495" s="8"/>
      <c r="D495" s="3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</row>
    <row r="496" spans="1:73" ht="15.75" customHeight="1" thickBot="1">
      <c r="A496" s="14"/>
      <c r="B496" s="14"/>
      <c r="C496" s="8"/>
      <c r="D496" s="3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</row>
    <row r="497" spans="1:73" ht="15.75" customHeight="1" thickBot="1">
      <c r="A497" s="14"/>
      <c r="B497" s="14"/>
      <c r="C497" s="8"/>
      <c r="D497" s="3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</row>
    <row r="498" spans="1:73" ht="15.75" customHeight="1" thickBot="1">
      <c r="A498" s="14"/>
      <c r="B498" s="14"/>
      <c r="C498" s="8"/>
      <c r="D498" s="3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</row>
    <row r="499" spans="1:73" ht="15.75" customHeight="1" thickBot="1">
      <c r="A499" s="14"/>
      <c r="B499" s="14"/>
      <c r="C499" s="8"/>
      <c r="D499" s="3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</row>
    <row r="500" spans="1:73" ht="15.75" customHeight="1" thickBot="1">
      <c r="A500" s="14"/>
      <c r="B500" s="14"/>
      <c r="C500" s="8"/>
      <c r="D500" s="3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</row>
    <row r="501" spans="1:73" ht="15.75" customHeight="1" thickBot="1">
      <c r="A501" s="14"/>
      <c r="B501" s="14"/>
      <c r="C501" s="8"/>
      <c r="D501" s="3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</row>
    <row r="502" spans="1:73" ht="15.75" customHeight="1" thickBot="1">
      <c r="A502" s="14"/>
      <c r="B502" s="14"/>
      <c r="C502" s="8"/>
      <c r="D502" s="3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</row>
    <row r="503" spans="1:73" ht="15.75" customHeight="1" thickBot="1">
      <c r="A503" s="14"/>
      <c r="B503" s="14"/>
      <c r="C503" s="8"/>
      <c r="D503" s="3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</row>
    <row r="504" spans="1:73" ht="15.75" customHeight="1" thickBot="1">
      <c r="A504" s="14"/>
      <c r="B504" s="14"/>
      <c r="C504" s="8"/>
      <c r="D504" s="3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</row>
    <row r="505" spans="1:73" ht="15.75" customHeight="1" thickBot="1">
      <c r="A505" s="14"/>
      <c r="B505" s="14"/>
      <c r="C505" s="8"/>
      <c r="D505" s="3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</row>
    <row r="506" spans="1:73" ht="15.75" customHeight="1" thickBot="1">
      <c r="A506" s="14"/>
      <c r="B506" s="14"/>
      <c r="C506" s="8"/>
      <c r="D506" s="3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</row>
    <row r="507" spans="1:73" ht="15.75" customHeight="1" thickBot="1">
      <c r="A507" s="14"/>
      <c r="B507" s="14"/>
      <c r="C507" s="8"/>
      <c r="D507" s="3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</row>
    <row r="508" spans="1:73" ht="15.75" customHeight="1" thickBot="1">
      <c r="A508" s="14"/>
      <c r="B508" s="14"/>
      <c r="C508" s="8"/>
      <c r="D508" s="3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</row>
    <row r="509" spans="1:73" ht="15.75" customHeight="1" thickBot="1">
      <c r="A509" s="14"/>
      <c r="B509" s="14"/>
      <c r="C509" s="8"/>
      <c r="D509" s="3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</row>
    <row r="510" spans="1:73" ht="15.75" customHeight="1" thickBot="1">
      <c r="A510" s="14"/>
      <c r="B510" s="14"/>
      <c r="C510" s="8"/>
      <c r="D510" s="3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</row>
    <row r="511" spans="1:73" ht="15.75" customHeight="1" thickBot="1">
      <c r="A511" s="14"/>
      <c r="B511" s="14"/>
      <c r="C511" s="8"/>
      <c r="D511" s="3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</row>
    <row r="512" spans="1:73" ht="15.75" customHeight="1" thickBot="1">
      <c r="A512" s="14"/>
      <c r="B512" s="14"/>
      <c r="C512" s="8"/>
      <c r="D512" s="3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</row>
    <row r="513" spans="1:73" ht="15.75" customHeight="1" thickBot="1">
      <c r="A513" s="14"/>
      <c r="B513" s="14"/>
      <c r="C513" s="8"/>
      <c r="D513" s="3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</row>
    <row r="514" spans="1:73" ht="15.75" customHeight="1" thickBot="1">
      <c r="A514" s="14"/>
      <c r="B514" s="14"/>
      <c r="C514" s="8"/>
      <c r="D514" s="3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</row>
    <row r="515" spans="1:73" ht="15.75" customHeight="1" thickBot="1">
      <c r="A515" s="14"/>
      <c r="B515" s="14"/>
      <c r="C515" s="8"/>
      <c r="D515" s="3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</row>
    <row r="516" spans="1:73" ht="15.75" customHeight="1" thickBot="1">
      <c r="A516" s="14"/>
      <c r="B516" s="14"/>
      <c r="C516" s="8"/>
      <c r="D516" s="3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</row>
    <row r="517" spans="1:73" ht="15.75" customHeight="1" thickBot="1">
      <c r="A517" s="14"/>
      <c r="B517" s="14"/>
      <c r="C517" s="8"/>
      <c r="D517" s="3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</row>
    <row r="518" spans="1:73" ht="15.75" customHeight="1" thickBot="1">
      <c r="A518" s="14"/>
      <c r="B518" s="14"/>
      <c r="C518" s="8"/>
      <c r="D518" s="3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</row>
    <row r="519" spans="1:73" ht="15.75" customHeight="1" thickBot="1">
      <c r="A519" s="14"/>
      <c r="B519" s="14"/>
      <c r="C519" s="8"/>
      <c r="D519" s="3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</row>
    <row r="520" spans="1:73" ht="15.75" customHeight="1" thickBot="1">
      <c r="A520" s="14"/>
      <c r="B520" s="14"/>
      <c r="C520" s="8"/>
      <c r="D520" s="3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</row>
    <row r="521" spans="1:73" ht="15.75" customHeight="1" thickBot="1">
      <c r="A521" s="14"/>
      <c r="B521" s="14"/>
      <c r="C521" s="8"/>
      <c r="D521" s="3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</row>
    <row r="522" spans="1:73" ht="15.75" customHeight="1" thickBot="1">
      <c r="A522" s="14"/>
      <c r="B522" s="14"/>
      <c r="C522" s="8"/>
      <c r="D522" s="3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</row>
    <row r="523" spans="1:73" ht="15.75" customHeight="1" thickBot="1">
      <c r="A523" s="14"/>
      <c r="B523" s="14"/>
      <c r="C523" s="8"/>
      <c r="D523" s="3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</row>
    <row r="524" spans="1:73" ht="15.75" customHeight="1" thickBot="1">
      <c r="A524" s="14"/>
      <c r="B524" s="14"/>
      <c r="C524" s="8"/>
      <c r="D524" s="3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</row>
    <row r="525" spans="1:73" ht="15.75" customHeight="1" thickBot="1">
      <c r="A525" s="14"/>
      <c r="B525" s="14"/>
      <c r="C525" s="8"/>
      <c r="D525" s="3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</row>
    <row r="526" spans="1:73" ht="15.75" customHeight="1" thickBot="1">
      <c r="A526" s="14"/>
      <c r="B526" s="14"/>
      <c r="C526" s="8"/>
      <c r="D526" s="3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</row>
    <row r="527" spans="1:73" ht="15.75" customHeight="1" thickBot="1">
      <c r="A527" s="14"/>
      <c r="B527" s="14"/>
      <c r="C527" s="8"/>
      <c r="D527" s="3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</row>
    <row r="528" spans="1:73" ht="15.75" customHeight="1" thickBot="1">
      <c r="A528" s="14"/>
      <c r="B528" s="14"/>
      <c r="C528" s="8"/>
      <c r="D528" s="3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</row>
    <row r="529" spans="1:73" ht="15.75" customHeight="1" thickBot="1">
      <c r="A529" s="14"/>
      <c r="B529" s="14"/>
      <c r="C529" s="8"/>
      <c r="D529" s="3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</row>
    <row r="530" spans="1:73" ht="15.75" customHeight="1" thickBot="1">
      <c r="A530" s="14"/>
      <c r="B530" s="14"/>
      <c r="C530" s="8"/>
      <c r="D530" s="3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</row>
    <row r="531" spans="1:73" ht="15.75" customHeight="1" thickBot="1">
      <c r="A531" s="14"/>
      <c r="B531" s="14"/>
      <c r="C531" s="8"/>
      <c r="D531" s="3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</row>
    <row r="532" spans="1:73" ht="15.75" customHeight="1" thickBot="1">
      <c r="A532" s="14"/>
      <c r="B532" s="14"/>
      <c r="C532" s="8"/>
      <c r="D532" s="3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</row>
    <row r="533" spans="1:73" ht="15.75" customHeight="1" thickBot="1">
      <c r="A533" s="14"/>
      <c r="B533" s="14"/>
      <c r="C533" s="8"/>
      <c r="D533" s="3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</row>
    <row r="534" spans="1:73" ht="15.75" customHeight="1" thickBot="1">
      <c r="A534" s="14"/>
      <c r="B534" s="14"/>
      <c r="C534" s="8"/>
      <c r="D534" s="3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</row>
    <row r="535" spans="1:73" ht="15.75" customHeight="1" thickBot="1">
      <c r="A535" s="14"/>
      <c r="B535" s="14"/>
      <c r="C535" s="8"/>
      <c r="D535" s="3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</row>
    <row r="536" spans="1:73" ht="15.75" customHeight="1" thickBot="1">
      <c r="A536" s="14"/>
      <c r="B536" s="14"/>
      <c r="C536" s="8"/>
      <c r="D536" s="3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</row>
    <row r="537" spans="1:73" ht="15.75" customHeight="1" thickBot="1">
      <c r="A537" s="14"/>
      <c r="B537" s="14"/>
      <c r="C537" s="8"/>
      <c r="D537" s="3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</row>
    <row r="538" spans="1:73" ht="15.75" customHeight="1" thickBot="1">
      <c r="A538" s="14"/>
      <c r="B538" s="14"/>
      <c r="C538" s="8"/>
      <c r="D538" s="3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</row>
    <row r="539" spans="1:73" ht="15.75" customHeight="1" thickBot="1">
      <c r="A539" s="14"/>
      <c r="B539" s="14"/>
      <c r="C539" s="8"/>
      <c r="D539" s="3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</row>
    <row r="540" spans="1:73" ht="15.75" customHeight="1" thickBot="1">
      <c r="A540" s="14"/>
      <c r="B540" s="14"/>
      <c r="C540" s="8"/>
      <c r="D540" s="3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</row>
    <row r="541" spans="1:73" ht="15.75" customHeight="1" thickBot="1">
      <c r="A541" s="14"/>
      <c r="B541" s="14"/>
      <c r="C541" s="8"/>
      <c r="D541" s="3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</row>
    <row r="542" spans="1:73" ht="15.75" customHeight="1" thickBot="1">
      <c r="A542" s="14"/>
      <c r="B542" s="14"/>
      <c r="C542" s="8"/>
      <c r="D542" s="3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</row>
    <row r="543" spans="1:73" ht="15.75" customHeight="1" thickBot="1">
      <c r="A543" s="14"/>
      <c r="B543" s="14"/>
      <c r="C543" s="8"/>
      <c r="D543" s="3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</row>
    <row r="544" spans="1:73" ht="15.75" customHeight="1" thickBot="1">
      <c r="A544" s="14"/>
      <c r="B544" s="14"/>
      <c r="C544" s="8"/>
      <c r="D544" s="3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</row>
    <row r="545" spans="1:73" ht="15.75" customHeight="1" thickBot="1">
      <c r="A545" s="14"/>
      <c r="B545" s="14"/>
      <c r="C545" s="8"/>
      <c r="D545" s="3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</row>
    <row r="546" spans="1:73" ht="15.75" customHeight="1" thickBot="1">
      <c r="A546" s="14"/>
      <c r="B546" s="14"/>
      <c r="C546" s="8"/>
      <c r="D546" s="3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</row>
    <row r="547" spans="1:73" ht="15.75" customHeight="1" thickBot="1">
      <c r="A547" s="14"/>
      <c r="B547" s="14"/>
      <c r="C547" s="8"/>
      <c r="D547" s="3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</row>
    <row r="548" spans="1:73" ht="15.75" customHeight="1" thickBot="1">
      <c r="A548" s="14"/>
      <c r="B548" s="14"/>
      <c r="C548" s="8"/>
      <c r="D548" s="3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</row>
    <row r="549" spans="1:73" ht="15.75" customHeight="1" thickBot="1">
      <c r="A549" s="14"/>
      <c r="B549" s="14"/>
      <c r="C549" s="8"/>
      <c r="D549" s="3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</row>
    <row r="550" spans="1:73" ht="15.75" customHeight="1" thickBot="1">
      <c r="A550" s="14"/>
      <c r="B550" s="14"/>
      <c r="C550" s="8"/>
      <c r="D550" s="3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</row>
    <row r="551" spans="1:73" ht="15.75" customHeight="1" thickBot="1">
      <c r="A551" s="14"/>
      <c r="B551" s="14"/>
      <c r="C551" s="8"/>
      <c r="D551" s="3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</row>
    <row r="552" spans="1:73" ht="15.75" customHeight="1" thickBot="1">
      <c r="A552" s="14"/>
      <c r="B552" s="14"/>
      <c r="C552" s="8"/>
      <c r="D552" s="3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</row>
    <row r="553" spans="1:73" ht="15.75" customHeight="1" thickBot="1">
      <c r="A553" s="14"/>
      <c r="B553" s="14"/>
      <c r="C553" s="8"/>
      <c r="D553" s="3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</row>
    <row r="554" spans="1:73" ht="15.75" customHeight="1" thickBot="1">
      <c r="A554" s="14"/>
      <c r="B554" s="14"/>
      <c r="C554" s="8"/>
      <c r="D554" s="3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</row>
    <row r="555" spans="1:73" ht="15.75" customHeight="1" thickBot="1">
      <c r="A555" s="14"/>
      <c r="B555" s="14"/>
      <c r="C555" s="8"/>
      <c r="D555" s="3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</row>
    <row r="556" spans="1:73" ht="15.75" customHeight="1" thickBot="1">
      <c r="A556" s="14"/>
      <c r="B556" s="14"/>
      <c r="C556" s="8"/>
      <c r="D556" s="3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</row>
    <row r="557" spans="1:73" ht="15.75" customHeight="1" thickBot="1">
      <c r="A557" s="14"/>
      <c r="B557" s="14"/>
      <c r="C557" s="8"/>
      <c r="D557" s="3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</row>
    <row r="558" spans="1:73" ht="15.75" customHeight="1" thickBot="1">
      <c r="A558" s="14"/>
      <c r="B558" s="14"/>
      <c r="C558" s="8"/>
      <c r="D558" s="3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</row>
    <row r="559" spans="1:73" ht="15.75" customHeight="1" thickBot="1">
      <c r="A559" s="14"/>
      <c r="B559" s="14"/>
      <c r="C559" s="8"/>
      <c r="D559" s="3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</row>
    <row r="560" spans="1:73" ht="15.75" customHeight="1" thickBot="1">
      <c r="A560" s="14"/>
      <c r="B560" s="14"/>
      <c r="C560" s="8"/>
      <c r="D560" s="3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</row>
    <row r="561" spans="1:73" ht="15.75" customHeight="1" thickBot="1">
      <c r="A561" s="14"/>
      <c r="B561" s="14"/>
      <c r="C561" s="8"/>
      <c r="D561" s="3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</row>
    <row r="562" spans="1:73" ht="15.75" customHeight="1" thickBot="1">
      <c r="A562" s="14"/>
      <c r="B562" s="14"/>
      <c r="C562" s="8"/>
      <c r="D562" s="3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</row>
    <row r="563" spans="1:73" ht="15.75" customHeight="1" thickBot="1">
      <c r="A563" s="14"/>
      <c r="B563" s="14"/>
      <c r="C563" s="8"/>
      <c r="D563" s="3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</row>
    <row r="564" spans="1:73" ht="15.75" customHeight="1" thickBot="1">
      <c r="A564" s="14"/>
      <c r="B564" s="14"/>
      <c r="C564" s="8"/>
      <c r="D564" s="3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</row>
    <row r="565" spans="1:73" ht="15.75" customHeight="1" thickBot="1">
      <c r="A565" s="14"/>
      <c r="B565" s="14"/>
      <c r="C565" s="8"/>
      <c r="D565" s="3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</row>
    <row r="566" spans="1:73" ht="15.75" customHeight="1" thickBot="1">
      <c r="A566" s="14"/>
      <c r="B566" s="14"/>
      <c r="C566" s="8"/>
      <c r="D566" s="3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</row>
    <row r="567" spans="1:73" ht="15.75" customHeight="1" thickBot="1">
      <c r="A567" s="14"/>
      <c r="B567" s="14"/>
      <c r="C567" s="8"/>
      <c r="D567" s="3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</row>
    <row r="568" spans="1:73" ht="15.75" customHeight="1" thickBot="1">
      <c r="A568" s="14"/>
      <c r="B568" s="14"/>
      <c r="C568" s="8"/>
      <c r="D568" s="3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</row>
    <row r="569" spans="1:73" ht="15.75" customHeight="1" thickBot="1">
      <c r="A569" s="14"/>
      <c r="B569" s="14"/>
      <c r="C569" s="8"/>
      <c r="D569" s="3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</row>
    <row r="570" spans="1:73" ht="15.75" customHeight="1" thickBot="1">
      <c r="A570" s="14"/>
      <c r="B570" s="14"/>
      <c r="C570" s="8"/>
      <c r="D570" s="3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</row>
    <row r="571" spans="1:73" ht="15.75" customHeight="1" thickBot="1">
      <c r="A571" s="14"/>
      <c r="B571" s="14"/>
      <c r="C571" s="8"/>
      <c r="D571" s="3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</row>
    <row r="572" spans="1:73" ht="15.75" customHeight="1" thickBot="1">
      <c r="A572" s="14"/>
      <c r="B572" s="14"/>
      <c r="C572" s="8"/>
      <c r="D572" s="3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</row>
    <row r="573" spans="1:73" ht="15.75" customHeight="1" thickBot="1">
      <c r="A573" s="14"/>
      <c r="B573" s="14"/>
      <c r="C573" s="8"/>
      <c r="D573" s="3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</row>
    <row r="574" spans="1:73" ht="15.75" customHeight="1" thickBot="1">
      <c r="A574" s="14"/>
      <c r="B574" s="14"/>
      <c r="C574" s="8"/>
      <c r="D574" s="3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</row>
    <row r="575" spans="1:73" ht="15.75" customHeight="1" thickBot="1">
      <c r="A575" s="14"/>
      <c r="B575" s="14"/>
      <c r="C575" s="8"/>
      <c r="D575" s="3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</row>
    <row r="576" spans="1:73" ht="15.75" customHeight="1" thickBot="1">
      <c r="A576" s="14"/>
      <c r="B576" s="14"/>
      <c r="C576" s="8"/>
      <c r="D576" s="3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</row>
    <row r="577" spans="1:73" ht="15.75" customHeight="1" thickBot="1">
      <c r="A577" s="14"/>
      <c r="B577" s="14"/>
      <c r="C577" s="8"/>
      <c r="D577" s="3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</row>
    <row r="578" spans="1:73" ht="15.75" customHeight="1" thickBot="1">
      <c r="A578" s="14"/>
      <c r="B578" s="14"/>
      <c r="C578" s="8"/>
      <c r="D578" s="3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</row>
    <row r="579" spans="1:73" ht="15.75" customHeight="1" thickBot="1">
      <c r="A579" s="14"/>
      <c r="B579" s="14"/>
      <c r="C579" s="8"/>
      <c r="D579" s="3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</row>
    <row r="580" spans="1:73" ht="15.75" customHeight="1" thickBot="1">
      <c r="A580" s="14"/>
      <c r="B580" s="14"/>
      <c r="C580" s="8"/>
      <c r="D580" s="3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</row>
    <row r="581" spans="1:73" ht="15.75" customHeight="1" thickBot="1">
      <c r="A581" s="14"/>
      <c r="B581" s="14"/>
      <c r="C581" s="8"/>
      <c r="D581" s="3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</row>
    <row r="582" spans="1:73" ht="15.75" customHeight="1" thickBot="1">
      <c r="A582" s="14"/>
      <c r="B582" s="14"/>
      <c r="C582" s="8"/>
      <c r="D582" s="3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</row>
    <row r="583" spans="1:73" ht="15.75" customHeight="1" thickBot="1">
      <c r="A583" s="14"/>
      <c r="B583" s="14"/>
      <c r="C583" s="8"/>
      <c r="D583" s="3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</row>
    <row r="584" spans="1:73" ht="15.75" customHeight="1" thickBot="1">
      <c r="A584" s="14"/>
      <c r="B584" s="14"/>
      <c r="C584" s="8"/>
      <c r="D584" s="3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</row>
    <row r="585" spans="1:73" ht="15.75" customHeight="1" thickBot="1">
      <c r="A585" s="14"/>
      <c r="B585" s="14"/>
      <c r="C585" s="8"/>
      <c r="D585" s="3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</row>
    <row r="586" spans="1:73" ht="15.75" customHeight="1" thickBot="1">
      <c r="A586" s="14"/>
      <c r="B586" s="14"/>
      <c r="C586" s="8"/>
      <c r="D586" s="3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</row>
    <row r="587" spans="1:73" ht="15.75" customHeight="1" thickBot="1">
      <c r="A587" s="14"/>
      <c r="B587" s="14"/>
      <c r="C587" s="8"/>
      <c r="D587" s="3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</row>
    <row r="588" spans="1:73" ht="15.75" customHeight="1" thickBot="1">
      <c r="A588" s="14"/>
      <c r="B588" s="14"/>
      <c r="C588" s="8"/>
      <c r="D588" s="3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</row>
    <row r="589" spans="1:73" ht="15.75" customHeight="1" thickBot="1">
      <c r="A589" s="14"/>
      <c r="B589" s="14"/>
      <c r="C589" s="8"/>
      <c r="D589" s="3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</row>
    <row r="590" spans="1:73" ht="15.75" customHeight="1" thickBot="1">
      <c r="A590" s="14"/>
      <c r="B590" s="14"/>
      <c r="C590" s="8"/>
      <c r="D590" s="3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</row>
    <row r="591" spans="1:73" ht="15.75" customHeight="1" thickBot="1">
      <c r="A591" s="14"/>
      <c r="B591" s="14"/>
      <c r="C591" s="8"/>
      <c r="D591" s="3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</row>
    <row r="592" spans="1:73" ht="15.75" customHeight="1" thickBot="1">
      <c r="A592" s="14"/>
      <c r="B592" s="14"/>
      <c r="C592" s="8"/>
      <c r="D592" s="3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</row>
    <row r="593" spans="1:73" ht="15.75" customHeight="1" thickBot="1">
      <c r="A593" s="14"/>
      <c r="B593" s="14"/>
      <c r="C593" s="8"/>
      <c r="D593" s="3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</row>
    <row r="594" spans="1:73" ht="15.75" customHeight="1" thickBot="1">
      <c r="A594" s="14"/>
      <c r="B594" s="14"/>
      <c r="C594" s="8"/>
      <c r="D594" s="3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</row>
    <row r="595" spans="1:73" ht="15.75" customHeight="1" thickBot="1">
      <c r="A595" s="14"/>
      <c r="B595" s="14"/>
      <c r="C595" s="8"/>
      <c r="D595" s="3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</row>
    <row r="596" spans="1:73" ht="15.75" customHeight="1" thickBot="1">
      <c r="A596" s="14"/>
      <c r="B596" s="14"/>
      <c r="C596" s="8"/>
      <c r="D596" s="3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</row>
    <row r="597" spans="1:73" ht="15.75" customHeight="1" thickBot="1">
      <c r="A597" s="14"/>
      <c r="B597" s="14"/>
      <c r="C597" s="8"/>
      <c r="D597" s="3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</row>
    <row r="598" spans="1:73" ht="15.75" customHeight="1" thickBot="1">
      <c r="A598" s="14"/>
      <c r="B598" s="14"/>
      <c r="C598" s="8"/>
      <c r="D598" s="3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</row>
    <row r="599" spans="1:73" ht="15.75" customHeight="1" thickBot="1">
      <c r="A599" s="14"/>
      <c r="B599" s="14"/>
      <c r="C599" s="8"/>
      <c r="D599" s="3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</row>
    <row r="600" spans="1:73" ht="15.75" customHeight="1" thickBot="1">
      <c r="A600" s="14"/>
      <c r="B600" s="14"/>
      <c r="C600" s="8"/>
      <c r="D600" s="3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</row>
    <row r="601" spans="1:73" ht="15.75" customHeight="1" thickBot="1">
      <c r="A601" s="14"/>
      <c r="B601" s="14"/>
      <c r="C601" s="8"/>
      <c r="D601" s="3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</row>
    <row r="602" spans="1:73" ht="15.75" customHeight="1" thickBot="1">
      <c r="A602" s="14"/>
      <c r="B602" s="14"/>
      <c r="C602" s="8"/>
      <c r="D602" s="3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</row>
    <row r="603" spans="1:73" ht="15.75" customHeight="1" thickBot="1">
      <c r="A603" s="14"/>
      <c r="B603" s="14"/>
      <c r="C603" s="8"/>
      <c r="D603" s="3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</row>
    <row r="604" spans="1:73" ht="15.75" customHeight="1" thickBot="1">
      <c r="A604" s="14"/>
      <c r="B604" s="14"/>
      <c r="C604" s="8"/>
      <c r="D604" s="3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</row>
    <row r="605" spans="1:73" ht="15.75" customHeight="1" thickBot="1">
      <c r="A605" s="14"/>
      <c r="B605" s="14"/>
      <c r="C605" s="8"/>
      <c r="D605" s="3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</row>
    <row r="606" spans="1:73" ht="15.75" customHeight="1" thickBot="1">
      <c r="A606" s="14"/>
      <c r="B606" s="14"/>
      <c r="C606" s="8"/>
      <c r="D606" s="3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</row>
    <row r="607" spans="1:73" ht="15.75" customHeight="1" thickBot="1">
      <c r="A607" s="14"/>
      <c r="B607" s="14"/>
      <c r="C607" s="8"/>
      <c r="D607" s="3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</row>
    <row r="608" spans="1:73" ht="15.75" customHeight="1" thickBot="1">
      <c r="A608" s="14"/>
      <c r="B608" s="14"/>
      <c r="C608" s="8"/>
      <c r="D608" s="3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</row>
    <row r="609" spans="1:73" ht="15.75" customHeight="1" thickBot="1">
      <c r="A609" s="14"/>
      <c r="B609" s="14"/>
      <c r="C609" s="8"/>
      <c r="D609" s="3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</row>
    <row r="610" spans="1:73" ht="15.75" customHeight="1" thickBot="1">
      <c r="A610" s="14"/>
      <c r="B610" s="14"/>
      <c r="C610" s="8"/>
      <c r="D610" s="3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</row>
    <row r="611" spans="1:73" ht="15.75" customHeight="1" thickBot="1">
      <c r="A611" s="14"/>
      <c r="B611" s="14"/>
      <c r="C611" s="8"/>
      <c r="D611" s="3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</row>
    <row r="612" spans="1:73" ht="15.75" customHeight="1" thickBot="1">
      <c r="A612" s="14"/>
      <c r="B612" s="14"/>
      <c r="C612" s="8"/>
      <c r="D612" s="3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</row>
    <row r="613" spans="1:73" ht="15.75" customHeight="1" thickBot="1">
      <c r="A613" s="14"/>
      <c r="B613" s="14"/>
      <c r="C613" s="8"/>
      <c r="D613" s="3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</row>
    <row r="614" spans="1:73" ht="15.75" customHeight="1" thickBot="1">
      <c r="A614" s="14"/>
      <c r="B614" s="14"/>
      <c r="C614" s="8"/>
      <c r="D614" s="3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</row>
    <row r="615" spans="1:73" ht="15.75" customHeight="1" thickBot="1">
      <c r="A615" s="14"/>
      <c r="B615" s="14"/>
      <c r="C615" s="8"/>
      <c r="D615" s="3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</row>
    <row r="616" spans="1:73" ht="15.75" customHeight="1" thickBot="1">
      <c r="A616" s="14"/>
      <c r="B616" s="14"/>
      <c r="C616" s="8"/>
      <c r="D616" s="3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</row>
    <row r="617" spans="1:73" ht="15.75" customHeight="1" thickBot="1">
      <c r="A617" s="14"/>
      <c r="B617" s="14"/>
      <c r="C617" s="8"/>
      <c r="D617" s="3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</row>
    <row r="618" spans="1:73" ht="15.75" customHeight="1" thickBot="1">
      <c r="A618" s="14"/>
      <c r="B618" s="14"/>
      <c r="C618" s="8"/>
      <c r="D618" s="3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</row>
    <row r="619" spans="1:73" ht="15.75" customHeight="1" thickBot="1">
      <c r="A619" s="14"/>
      <c r="B619" s="14"/>
      <c r="C619" s="8"/>
      <c r="D619" s="3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</row>
    <row r="620" spans="1:73" ht="15.75" customHeight="1" thickBot="1">
      <c r="A620" s="14"/>
      <c r="B620" s="14"/>
      <c r="C620" s="8"/>
      <c r="D620" s="3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</row>
    <row r="621" spans="1:73" ht="15.75" customHeight="1" thickBot="1">
      <c r="A621" s="14"/>
      <c r="B621" s="14"/>
      <c r="C621" s="8"/>
      <c r="D621" s="3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</row>
    <row r="622" spans="1:73" ht="15.75" customHeight="1" thickBot="1">
      <c r="A622" s="14"/>
      <c r="B622" s="14"/>
      <c r="C622" s="8"/>
      <c r="D622" s="3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</row>
    <row r="623" spans="1:73" ht="15.75" customHeight="1" thickBot="1">
      <c r="A623" s="14"/>
      <c r="B623" s="14"/>
      <c r="C623" s="8"/>
      <c r="D623" s="3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</row>
    <row r="624" spans="1:73" ht="15.75" customHeight="1" thickBot="1">
      <c r="A624" s="14"/>
      <c r="B624" s="14"/>
      <c r="C624" s="8"/>
      <c r="D624" s="3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</row>
    <row r="625" spans="1:73" ht="15.75" customHeight="1" thickBot="1">
      <c r="A625" s="14"/>
      <c r="B625" s="14"/>
      <c r="C625" s="8"/>
      <c r="D625" s="3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</row>
    <row r="626" spans="1:73" ht="15.75" customHeight="1" thickBot="1">
      <c r="A626" s="14"/>
      <c r="B626" s="14"/>
      <c r="C626" s="8"/>
      <c r="D626" s="3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</row>
    <row r="627" spans="1:73" ht="15.75" customHeight="1" thickBot="1">
      <c r="A627" s="14"/>
      <c r="B627" s="14"/>
      <c r="C627" s="8"/>
      <c r="D627" s="3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</row>
    <row r="628" spans="1:73" ht="15.75" customHeight="1" thickBot="1">
      <c r="A628" s="14"/>
      <c r="B628" s="14"/>
      <c r="C628" s="8"/>
      <c r="D628" s="3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</row>
    <row r="629" spans="1:73" ht="15.75" customHeight="1" thickBot="1">
      <c r="A629" s="14"/>
      <c r="B629" s="14"/>
      <c r="C629" s="8"/>
      <c r="D629" s="3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</row>
    <row r="630" spans="1:73" ht="15.75" customHeight="1" thickBot="1">
      <c r="A630" s="14"/>
      <c r="B630" s="14"/>
      <c r="C630" s="8"/>
      <c r="D630" s="3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</row>
    <row r="631" spans="1:73" ht="15.75" customHeight="1" thickBot="1">
      <c r="A631" s="14"/>
      <c r="B631" s="14"/>
      <c r="C631" s="8"/>
      <c r="D631" s="3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</row>
    <row r="632" spans="1:73" ht="15.75" customHeight="1" thickBot="1">
      <c r="A632" s="14"/>
      <c r="B632" s="14"/>
      <c r="C632" s="8"/>
      <c r="D632" s="3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</row>
    <row r="633" spans="1:73" ht="15.75" customHeight="1" thickBot="1">
      <c r="A633" s="14"/>
      <c r="B633" s="14"/>
      <c r="C633" s="8"/>
      <c r="D633" s="3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</row>
    <row r="634" spans="1:73" ht="15.75" customHeight="1" thickBot="1">
      <c r="A634" s="14"/>
      <c r="B634" s="14"/>
      <c r="C634" s="8"/>
      <c r="D634" s="3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</row>
    <row r="635" spans="1:73" ht="15.75" customHeight="1" thickBot="1">
      <c r="A635" s="14"/>
      <c r="B635" s="14"/>
      <c r="C635" s="8"/>
      <c r="D635" s="3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</row>
    <row r="636" spans="1:73" ht="15.75" customHeight="1" thickBot="1">
      <c r="A636" s="14"/>
      <c r="B636" s="14"/>
      <c r="C636" s="8"/>
      <c r="D636" s="3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</row>
    <row r="637" spans="1:73" ht="15.75" customHeight="1" thickBot="1">
      <c r="A637" s="14"/>
      <c r="B637" s="14"/>
      <c r="C637" s="8"/>
      <c r="D637" s="3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</row>
    <row r="638" spans="1:73" ht="15.75" customHeight="1" thickBot="1">
      <c r="A638" s="14"/>
      <c r="B638" s="14"/>
      <c r="C638" s="8"/>
      <c r="D638" s="3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</row>
    <row r="639" spans="1:73" ht="15.75" customHeight="1" thickBot="1">
      <c r="A639" s="14"/>
      <c r="B639" s="14"/>
      <c r="C639" s="8"/>
      <c r="D639" s="3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</row>
    <row r="640" spans="1:73" ht="15.75" customHeight="1" thickBot="1">
      <c r="A640" s="14"/>
      <c r="B640" s="14"/>
      <c r="C640" s="8"/>
      <c r="D640" s="3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</row>
    <row r="641" spans="1:73" ht="15.75" customHeight="1" thickBot="1">
      <c r="A641" s="14"/>
      <c r="B641" s="14"/>
      <c r="C641" s="8"/>
      <c r="D641" s="3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</row>
    <row r="642" spans="1:73" ht="15.75" customHeight="1" thickBot="1">
      <c r="A642" s="14"/>
      <c r="B642" s="14"/>
      <c r="C642" s="8"/>
      <c r="D642" s="3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</row>
    <row r="643" spans="1:73" ht="15.75" customHeight="1" thickBot="1">
      <c r="A643" s="14"/>
      <c r="B643" s="14"/>
      <c r="C643" s="8"/>
      <c r="D643" s="3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</row>
    <row r="644" spans="1:73" ht="15.75" customHeight="1" thickBot="1">
      <c r="A644" s="14"/>
      <c r="B644" s="14"/>
      <c r="C644" s="8"/>
      <c r="D644" s="3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</row>
    <row r="645" spans="1:73" ht="15.75" customHeight="1" thickBot="1">
      <c r="A645" s="14"/>
      <c r="B645" s="14"/>
      <c r="C645" s="8"/>
      <c r="D645" s="3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</row>
    <row r="646" spans="1:73" ht="15.75" customHeight="1" thickBot="1">
      <c r="A646" s="14"/>
      <c r="B646" s="14"/>
      <c r="C646" s="8"/>
      <c r="D646" s="3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</row>
    <row r="647" spans="1:73" ht="15.75" customHeight="1" thickBot="1">
      <c r="A647" s="14"/>
      <c r="B647" s="14"/>
      <c r="C647" s="8"/>
      <c r="D647" s="3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</row>
    <row r="648" spans="1:73" ht="15.75" customHeight="1" thickBot="1">
      <c r="A648" s="14"/>
      <c r="B648" s="14"/>
      <c r="C648" s="8"/>
      <c r="D648" s="3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</row>
    <row r="649" spans="1:73" ht="15.75" customHeight="1" thickBot="1">
      <c r="A649" s="14"/>
      <c r="B649" s="14"/>
      <c r="C649" s="8"/>
      <c r="D649" s="3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</row>
    <row r="650" spans="1:73" ht="15.75" customHeight="1" thickBot="1">
      <c r="A650" s="14"/>
      <c r="B650" s="14"/>
      <c r="C650" s="8"/>
      <c r="D650" s="3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</row>
    <row r="651" spans="1:73" ht="15.75" customHeight="1" thickBot="1">
      <c r="A651" s="14"/>
      <c r="B651" s="14"/>
      <c r="C651" s="8"/>
      <c r="D651" s="3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</row>
    <row r="652" spans="1:73" ht="15.75" customHeight="1" thickBot="1">
      <c r="A652" s="14"/>
      <c r="B652" s="14"/>
      <c r="C652" s="8"/>
      <c r="D652" s="3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</row>
    <row r="653" spans="1:73" ht="15.75" customHeight="1" thickBot="1">
      <c r="A653" s="14"/>
      <c r="B653" s="14"/>
      <c r="C653" s="8"/>
      <c r="D653" s="3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</row>
    <row r="654" spans="1:73" ht="15.75" customHeight="1" thickBot="1">
      <c r="A654" s="14"/>
      <c r="B654" s="14"/>
      <c r="C654" s="8"/>
      <c r="D654" s="3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</row>
    <row r="655" spans="1:73" ht="15.75" customHeight="1" thickBot="1">
      <c r="A655" s="14"/>
      <c r="B655" s="14"/>
      <c r="C655" s="8"/>
      <c r="D655" s="3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</row>
    <row r="656" spans="1:73" ht="15.75" customHeight="1" thickBot="1">
      <c r="A656" s="14"/>
      <c r="B656" s="14"/>
      <c r="C656" s="8"/>
      <c r="D656" s="3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</row>
    <row r="657" spans="1:73" ht="15.75" customHeight="1" thickBot="1">
      <c r="A657" s="14"/>
      <c r="B657" s="14"/>
      <c r="C657" s="8"/>
      <c r="D657" s="3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</row>
    <row r="658" spans="1:73" ht="15.75" customHeight="1" thickBot="1">
      <c r="A658" s="14"/>
      <c r="B658" s="14"/>
      <c r="C658" s="8"/>
      <c r="D658" s="3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</row>
    <row r="659" spans="1:73" ht="15.75" customHeight="1" thickBot="1">
      <c r="A659" s="14"/>
      <c r="B659" s="14"/>
      <c r="C659" s="8"/>
      <c r="D659" s="3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</row>
    <row r="660" spans="1:73" ht="15.75" customHeight="1" thickBot="1">
      <c r="A660" s="14"/>
      <c r="B660" s="14"/>
      <c r="C660" s="8"/>
      <c r="D660" s="3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</row>
    <row r="661" spans="1:73" ht="15.75" customHeight="1" thickBot="1">
      <c r="A661" s="14"/>
      <c r="B661" s="14"/>
      <c r="C661" s="8"/>
      <c r="D661" s="3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</row>
    <row r="662" spans="1:73" ht="15.75" customHeight="1" thickBot="1">
      <c r="A662" s="14"/>
      <c r="B662" s="14"/>
      <c r="C662" s="8"/>
      <c r="D662" s="3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</row>
    <row r="663" spans="1:73" ht="15.75" customHeight="1" thickBot="1">
      <c r="A663" s="14"/>
      <c r="B663" s="14"/>
      <c r="C663" s="8"/>
      <c r="D663" s="3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</row>
    <row r="664" spans="1:73" ht="15.75" customHeight="1" thickBot="1">
      <c r="A664" s="14"/>
      <c r="B664" s="14"/>
      <c r="C664" s="8"/>
      <c r="D664" s="3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</row>
    <row r="665" spans="1:73" ht="15.75" customHeight="1" thickBot="1">
      <c r="A665" s="14"/>
      <c r="B665" s="14"/>
      <c r="C665" s="8"/>
      <c r="D665" s="3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</row>
    <row r="666" spans="1:73" ht="15.75" customHeight="1" thickBot="1">
      <c r="A666" s="14"/>
      <c r="B666" s="14"/>
      <c r="C666" s="8"/>
      <c r="D666" s="3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</row>
    <row r="667" spans="1:73" ht="15.75" customHeight="1" thickBot="1">
      <c r="A667" s="14"/>
      <c r="B667" s="14"/>
      <c r="C667" s="8"/>
      <c r="D667" s="3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</row>
    <row r="668" spans="1:73" ht="15.75" customHeight="1" thickBot="1">
      <c r="A668" s="14"/>
      <c r="B668" s="14"/>
      <c r="C668" s="8"/>
      <c r="D668" s="3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</row>
    <row r="669" spans="1:73" ht="15.75" customHeight="1" thickBot="1">
      <c r="A669" s="14"/>
      <c r="B669" s="14"/>
      <c r="C669" s="8"/>
      <c r="D669" s="3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</row>
    <row r="670" spans="1:73" ht="15.75" customHeight="1" thickBot="1">
      <c r="A670" s="14"/>
      <c r="B670" s="14"/>
      <c r="C670" s="8"/>
      <c r="D670" s="3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</row>
    <row r="671" spans="1:73" ht="15.75" customHeight="1" thickBot="1">
      <c r="A671" s="14"/>
      <c r="B671" s="14"/>
      <c r="C671" s="8"/>
      <c r="D671" s="3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</row>
    <row r="672" spans="1:73" ht="15.75" customHeight="1" thickBot="1">
      <c r="A672" s="14"/>
      <c r="B672" s="14"/>
      <c r="C672" s="8"/>
      <c r="D672" s="3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</row>
    <row r="673" spans="1:73" ht="15.75" customHeight="1" thickBot="1">
      <c r="A673" s="14"/>
      <c r="B673" s="14"/>
      <c r="C673" s="8"/>
      <c r="D673" s="3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</row>
    <row r="674" spans="1:73" ht="15.75" customHeight="1" thickBot="1">
      <c r="A674" s="14"/>
      <c r="B674" s="14"/>
      <c r="C674" s="8"/>
      <c r="D674" s="3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</row>
    <row r="675" spans="1:73" ht="15.75" customHeight="1" thickBot="1">
      <c r="A675" s="14"/>
      <c r="B675" s="14"/>
      <c r="C675" s="8"/>
      <c r="D675" s="3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</row>
    <row r="676" spans="1:73" ht="15.75" customHeight="1" thickBot="1">
      <c r="A676" s="14"/>
      <c r="B676" s="14"/>
      <c r="C676" s="8"/>
      <c r="D676" s="3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</row>
    <row r="677" spans="1:73" ht="15.75" customHeight="1" thickBot="1">
      <c r="A677" s="14"/>
      <c r="B677" s="14"/>
      <c r="C677" s="8"/>
      <c r="D677" s="3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</row>
    <row r="678" spans="1:73" ht="15.75" customHeight="1" thickBot="1">
      <c r="A678" s="14"/>
      <c r="B678" s="14"/>
      <c r="C678" s="8"/>
      <c r="D678" s="3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</row>
    <row r="679" spans="1:73" ht="15.75" customHeight="1" thickBot="1">
      <c r="A679" s="14"/>
      <c r="B679" s="14"/>
      <c r="C679" s="8"/>
      <c r="D679" s="3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</row>
    <row r="680" spans="1:73" ht="15.75" customHeight="1" thickBot="1">
      <c r="A680" s="14"/>
      <c r="B680" s="14"/>
      <c r="C680" s="8"/>
      <c r="D680" s="3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</row>
    <row r="681" spans="1:73" ht="15.75" customHeight="1" thickBot="1">
      <c r="A681" s="14"/>
      <c r="B681" s="14"/>
      <c r="C681" s="8"/>
      <c r="D681" s="3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</row>
    <row r="682" spans="1:73" ht="15.75" customHeight="1" thickBot="1">
      <c r="A682" s="14"/>
      <c r="B682" s="14"/>
      <c r="C682" s="8"/>
      <c r="D682" s="3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</row>
    <row r="683" spans="1:73" ht="15.75" customHeight="1" thickBot="1">
      <c r="A683" s="14"/>
      <c r="B683" s="14"/>
      <c r="C683" s="8"/>
      <c r="D683" s="3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</row>
    <row r="684" spans="1:73" ht="15.75" customHeight="1" thickBot="1">
      <c r="A684" s="14"/>
      <c r="B684" s="14"/>
      <c r="C684" s="8"/>
      <c r="D684" s="3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</row>
    <row r="685" spans="1:73" ht="15.75" customHeight="1" thickBot="1">
      <c r="A685" s="14"/>
      <c r="B685" s="14"/>
      <c r="C685" s="8"/>
      <c r="D685" s="3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</row>
    <row r="686" spans="1:73" ht="15.75" customHeight="1" thickBot="1">
      <c r="A686" s="14"/>
      <c r="B686" s="14"/>
      <c r="C686" s="8"/>
      <c r="D686" s="3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</row>
    <row r="687" spans="1:73" ht="15.75" customHeight="1" thickBot="1">
      <c r="A687" s="14"/>
      <c r="B687" s="14"/>
      <c r="C687" s="8"/>
      <c r="D687" s="3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</row>
    <row r="688" spans="1:73" ht="15.75" customHeight="1" thickBot="1">
      <c r="A688" s="14"/>
      <c r="B688" s="14"/>
      <c r="C688" s="8"/>
      <c r="D688" s="3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</row>
    <row r="689" spans="1:73" ht="15.75" customHeight="1" thickBot="1">
      <c r="A689" s="14"/>
      <c r="B689" s="14"/>
      <c r="C689" s="8"/>
      <c r="D689" s="3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</row>
    <row r="690" spans="1:73" ht="15.75" customHeight="1" thickBot="1">
      <c r="A690" s="14"/>
      <c r="B690" s="14"/>
      <c r="C690" s="8"/>
      <c r="D690" s="3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</row>
    <row r="691" spans="1:73" ht="15.75" customHeight="1" thickBot="1">
      <c r="A691" s="14"/>
      <c r="B691" s="14"/>
      <c r="C691" s="8"/>
      <c r="D691" s="3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</row>
    <row r="692" spans="1:73" ht="15.75" customHeight="1" thickBot="1">
      <c r="A692" s="14"/>
      <c r="B692" s="14"/>
      <c r="C692" s="8"/>
      <c r="D692" s="3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</row>
    <row r="693" spans="1:73" ht="15.75" customHeight="1" thickBot="1">
      <c r="A693" s="14"/>
      <c r="B693" s="14"/>
      <c r="C693" s="8"/>
      <c r="D693" s="3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</row>
    <row r="694" spans="1:73" ht="15.75" customHeight="1" thickBot="1">
      <c r="A694" s="14"/>
      <c r="B694" s="14"/>
      <c r="C694" s="8"/>
      <c r="D694" s="3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</row>
    <row r="695" spans="1:73" ht="15.75" customHeight="1" thickBot="1">
      <c r="A695" s="14"/>
      <c r="B695" s="14"/>
      <c r="C695" s="8"/>
      <c r="D695" s="3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</row>
    <row r="696" spans="1:73" ht="15.75" customHeight="1" thickBot="1">
      <c r="A696" s="14"/>
      <c r="B696" s="14"/>
      <c r="C696" s="8"/>
      <c r="D696" s="3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</row>
    <row r="697" spans="1:73" ht="15.75" customHeight="1" thickBot="1">
      <c r="A697" s="14"/>
      <c r="B697" s="14"/>
      <c r="C697" s="8"/>
      <c r="D697" s="3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</row>
    <row r="698" spans="1:73" ht="15.75" customHeight="1" thickBot="1">
      <c r="A698" s="14"/>
      <c r="B698" s="14"/>
      <c r="C698" s="8"/>
      <c r="D698" s="3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</row>
    <row r="699" spans="1:73" ht="15.75" customHeight="1" thickBot="1">
      <c r="A699" s="14"/>
      <c r="B699" s="14"/>
      <c r="C699" s="8"/>
      <c r="D699" s="3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</row>
    <row r="700" spans="1:73" ht="15.75" customHeight="1" thickBot="1">
      <c r="A700" s="14"/>
      <c r="B700" s="14"/>
      <c r="C700" s="8"/>
      <c r="D700" s="3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</row>
    <row r="701" spans="1:73" ht="15.75" customHeight="1" thickBot="1">
      <c r="A701" s="14"/>
      <c r="B701" s="14"/>
      <c r="C701" s="8"/>
      <c r="D701" s="3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</row>
    <row r="702" spans="1:73" ht="15.75" customHeight="1" thickBot="1">
      <c r="A702" s="14"/>
      <c r="B702" s="14"/>
      <c r="C702" s="8"/>
      <c r="D702" s="3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</row>
    <row r="703" spans="1:73" ht="15.75" customHeight="1" thickBot="1">
      <c r="A703" s="14"/>
      <c r="B703" s="14"/>
      <c r="C703" s="8"/>
      <c r="D703" s="3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</row>
    <row r="704" spans="1:73" ht="15.75" customHeight="1" thickBot="1">
      <c r="A704" s="14"/>
      <c r="B704" s="14"/>
      <c r="C704" s="8"/>
      <c r="D704" s="3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</row>
    <row r="705" spans="1:73" ht="15.75" customHeight="1" thickBot="1">
      <c r="A705" s="14"/>
      <c r="B705" s="14"/>
      <c r="C705" s="8"/>
      <c r="D705" s="3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</row>
    <row r="706" spans="1:73" ht="15.75" customHeight="1" thickBot="1">
      <c r="A706" s="14"/>
      <c r="B706" s="14"/>
      <c r="C706" s="8"/>
      <c r="D706" s="3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</row>
    <row r="707" spans="1:73" ht="15.75" customHeight="1" thickBot="1">
      <c r="A707" s="14"/>
      <c r="B707" s="14"/>
      <c r="C707" s="8"/>
      <c r="D707" s="3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</row>
    <row r="708" spans="1:73" ht="15.75" customHeight="1" thickBot="1">
      <c r="A708" s="14"/>
      <c r="B708" s="14"/>
      <c r="C708" s="8"/>
      <c r="D708" s="3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</row>
    <row r="709" spans="1:73" ht="15.75" customHeight="1" thickBot="1">
      <c r="A709" s="14"/>
      <c r="B709" s="14"/>
      <c r="C709" s="8"/>
      <c r="D709" s="3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</row>
    <row r="710" spans="1:73" ht="15.75" customHeight="1" thickBot="1">
      <c r="A710" s="14"/>
      <c r="B710" s="14"/>
      <c r="C710" s="8"/>
      <c r="D710" s="3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</row>
    <row r="711" spans="1:73" ht="15.75" customHeight="1" thickBot="1">
      <c r="A711" s="14"/>
      <c r="B711" s="14"/>
      <c r="C711" s="8"/>
      <c r="D711" s="3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</row>
    <row r="712" spans="1:73" ht="15.75" customHeight="1" thickBot="1">
      <c r="A712" s="14"/>
      <c r="B712" s="14"/>
      <c r="C712" s="8"/>
      <c r="D712" s="3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</row>
    <row r="713" spans="1:73" ht="15.75" customHeight="1" thickBot="1">
      <c r="A713" s="14"/>
      <c r="B713" s="14"/>
      <c r="C713" s="8"/>
      <c r="D713" s="3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</row>
    <row r="714" spans="1:73" ht="15.75" customHeight="1" thickBot="1">
      <c r="A714" s="14"/>
      <c r="B714" s="14"/>
      <c r="C714" s="8"/>
      <c r="D714" s="3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</row>
    <row r="715" spans="1:73" ht="15.75" customHeight="1" thickBot="1">
      <c r="A715" s="14"/>
      <c r="B715" s="14"/>
      <c r="C715" s="8"/>
      <c r="D715" s="3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</row>
    <row r="716" spans="1:73" ht="15.75" customHeight="1" thickBot="1">
      <c r="A716" s="14"/>
      <c r="B716" s="14"/>
      <c r="C716" s="8"/>
      <c r="D716" s="3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</row>
    <row r="717" spans="1:73" ht="15.75" customHeight="1" thickBot="1">
      <c r="A717" s="14"/>
      <c r="B717" s="14"/>
      <c r="C717" s="8"/>
      <c r="D717" s="3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</row>
    <row r="718" spans="1:73" ht="15.75" customHeight="1" thickBot="1">
      <c r="A718" s="14"/>
      <c r="B718" s="14"/>
      <c r="C718" s="8"/>
      <c r="D718" s="3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</row>
    <row r="719" spans="1:73" ht="15.75" customHeight="1" thickBot="1">
      <c r="A719" s="14"/>
      <c r="B719" s="14"/>
      <c r="C719" s="8"/>
      <c r="D719" s="3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</row>
    <row r="720" spans="1:73" ht="15.75" customHeight="1" thickBot="1">
      <c r="A720" s="14"/>
      <c r="B720" s="14"/>
      <c r="C720" s="8"/>
      <c r="D720" s="3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</row>
    <row r="721" spans="1:73" ht="15.75" customHeight="1" thickBot="1">
      <c r="A721" s="14"/>
      <c r="B721" s="14"/>
      <c r="C721" s="8"/>
      <c r="D721" s="3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</row>
    <row r="722" spans="1:73" ht="15.75" customHeight="1" thickBot="1">
      <c r="A722" s="14"/>
      <c r="B722" s="14"/>
      <c r="C722" s="8"/>
      <c r="D722" s="3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</row>
    <row r="723" spans="1:73" ht="15.75" customHeight="1" thickBot="1">
      <c r="A723" s="14"/>
      <c r="B723" s="14"/>
      <c r="C723" s="8"/>
      <c r="D723" s="3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</row>
    <row r="724" spans="1:73" ht="15.75" customHeight="1" thickBot="1">
      <c r="A724" s="14"/>
      <c r="B724" s="14"/>
      <c r="C724" s="8"/>
      <c r="D724" s="3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</row>
    <row r="725" spans="1:73" ht="15.75" customHeight="1" thickBot="1">
      <c r="A725" s="14"/>
      <c r="B725" s="14"/>
      <c r="C725" s="8"/>
      <c r="D725" s="3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</row>
    <row r="726" spans="1:73" ht="15.75" customHeight="1" thickBot="1">
      <c r="A726" s="14"/>
      <c r="B726" s="14"/>
      <c r="C726" s="8"/>
      <c r="D726" s="3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</row>
    <row r="727" spans="1:73" ht="15.75" customHeight="1" thickBot="1">
      <c r="A727" s="14"/>
      <c r="B727" s="14"/>
      <c r="C727" s="8"/>
      <c r="D727" s="3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</row>
    <row r="728" spans="1:73" ht="15.75" customHeight="1" thickBot="1">
      <c r="A728" s="14"/>
      <c r="B728" s="14"/>
      <c r="C728" s="8"/>
      <c r="D728" s="3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</row>
    <row r="729" spans="1:73" ht="15.75" customHeight="1" thickBot="1">
      <c r="A729" s="14"/>
      <c r="B729" s="14"/>
      <c r="C729" s="8"/>
      <c r="D729" s="3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</row>
    <row r="730" spans="1:73" ht="15.75" customHeight="1" thickBot="1">
      <c r="A730" s="14"/>
      <c r="B730" s="14"/>
      <c r="C730" s="8"/>
      <c r="D730" s="3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</row>
    <row r="731" spans="1:73" ht="15.75" customHeight="1" thickBot="1">
      <c r="A731" s="14"/>
      <c r="B731" s="14"/>
      <c r="C731" s="8"/>
      <c r="D731" s="3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</row>
    <row r="732" spans="1:73" ht="15.75" customHeight="1" thickBot="1">
      <c r="A732" s="14"/>
      <c r="B732" s="14"/>
      <c r="C732" s="8"/>
      <c r="D732" s="3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</row>
    <row r="733" spans="1:73" ht="15.75" customHeight="1" thickBot="1">
      <c r="A733" s="14"/>
      <c r="B733" s="14"/>
      <c r="C733" s="8"/>
      <c r="D733" s="3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</row>
    <row r="734" spans="1:73" ht="15.75" customHeight="1" thickBot="1">
      <c r="A734" s="14"/>
      <c r="B734" s="14"/>
      <c r="C734" s="8"/>
      <c r="D734" s="3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</row>
    <row r="735" spans="1:73" ht="15.75" customHeight="1" thickBot="1">
      <c r="A735" s="14"/>
      <c r="B735" s="14"/>
      <c r="C735" s="8"/>
      <c r="D735" s="3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</row>
    <row r="736" spans="1:73" ht="15.75" customHeight="1" thickBot="1">
      <c r="A736" s="14"/>
      <c r="B736" s="14"/>
      <c r="C736" s="8"/>
      <c r="D736" s="3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</row>
    <row r="737" spans="1:73" ht="15.75" customHeight="1" thickBot="1">
      <c r="A737" s="14"/>
      <c r="B737" s="14"/>
      <c r="C737" s="8"/>
      <c r="D737" s="3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</row>
    <row r="738" spans="1:73" ht="15.75" customHeight="1" thickBot="1">
      <c r="A738" s="14"/>
      <c r="B738" s="14"/>
      <c r="C738" s="8"/>
      <c r="D738" s="3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</row>
    <row r="739" spans="1:73" ht="15.75" customHeight="1" thickBot="1">
      <c r="A739" s="14"/>
      <c r="B739" s="14"/>
      <c r="C739" s="8"/>
      <c r="D739" s="3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</row>
    <row r="740" spans="1:73" ht="15.75" customHeight="1" thickBot="1">
      <c r="A740" s="14"/>
      <c r="B740" s="14"/>
      <c r="C740" s="8"/>
      <c r="D740" s="3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</row>
    <row r="741" spans="1:73" ht="15.75" customHeight="1" thickBot="1">
      <c r="A741" s="14"/>
      <c r="B741" s="14"/>
      <c r="C741" s="8"/>
      <c r="D741" s="3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</row>
    <row r="742" spans="1:73" ht="15.75" customHeight="1" thickBot="1">
      <c r="A742" s="14"/>
      <c r="B742" s="14"/>
      <c r="C742" s="8"/>
      <c r="D742" s="3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</row>
    <row r="743" spans="1:73" ht="15.75" customHeight="1" thickBot="1">
      <c r="A743" s="14"/>
      <c r="B743" s="14"/>
      <c r="C743" s="8"/>
      <c r="D743" s="3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</row>
    <row r="744" spans="1:73" ht="15.75" customHeight="1" thickBot="1">
      <c r="A744" s="14"/>
      <c r="B744" s="14"/>
      <c r="C744" s="8"/>
      <c r="D744" s="3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</row>
    <row r="745" spans="1:73" ht="15.75" customHeight="1" thickBot="1">
      <c r="A745" s="14"/>
      <c r="B745" s="14"/>
      <c r="C745" s="8"/>
      <c r="D745" s="3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</row>
    <row r="746" spans="1:73" ht="15.75" customHeight="1" thickBot="1">
      <c r="A746" s="14"/>
      <c r="B746" s="14"/>
      <c r="C746" s="8"/>
      <c r="D746" s="3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</row>
    <row r="747" spans="1:73" ht="15.75" customHeight="1" thickBot="1">
      <c r="A747" s="14"/>
      <c r="B747" s="14"/>
      <c r="C747" s="8"/>
      <c r="D747" s="3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</row>
    <row r="748" spans="1:73" ht="15.75" customHeight="1" thickBot="1">
      <c r="A748" s="14"/>
      <c r="B748" s="14"/>
      <c r="C748" s="8"/>
      <c r="D748" s="3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</row>
    <row r="749" spans="1:73" ht="15.75" customHeight="1" thickBot="1">
      <c r="A749" s="14"/>
      <c r="B749" s="14"/>
      <c r="C749" s="8"/>
      <c r="D749" s="3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</row>
    <row r="750" spans="1:73" ht="15.75" customHeight="1" thickBot="1">
      <c r="A750" s="14"/>
      <c r="B750" s="14"/>
      <c r="C750" s="8"/>
      <c r="D750" s="3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</row>
    <row r="751" spans="1:73" ht="15.75" customHeight="1" thickBot="1">
      <c r="A751" s="14"/>
      <c r="B751" s="14"/>
      <c r="C751" s="8"/>
      <c r="D751" s="3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</row>
    <row r="752" spans="1:73" ht="15.75" customHeight="1" thickBot="1">
      <c r="A752" s="14"/>
      <c r="B752" s="14"/>
      <c r="C752" s="8"/>
      <c r="D752" s="3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</row>
    <row r="753" spans="1:73" ht="15.75" customHeight="1" thickBot="1">
      <c r="A753" s="14"/>
      <c r="B753" s="14"/>
      <c r="C753" s="8"/>
      <c r="D753" s="3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</row>
    <row r="754" spans="1:73" ht="15.75" customHeight="1" thickBot="1">
      <c r="A754" s="14"/>
      <c r="B754" s="14"/>
      <c r="C754" s="8"/>
      <c r="D754" s="3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</row>
    <row r="755" spans="1:73" ht="15.75" customHeight="1" thickBot="1">
      <c r="A755" s="14"/>
      <c r="B755" s="14"/>
      <c r="C755" s="8"/>
      <c r="D755" s="3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</row>
    <row r="756" spans="1:73" ht="15.75" customHeight="1" thickBot="1">
      <c r="A756" s="14"/>
      <c r="B756" s="14"/>
      <c r="C756" s="8"/>
      <c r="D756" s="3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</row>
    <row r="757" spans="1:73" ht="15.75" customHeight="1" thickBot="1">
      <c r="A757" s="14"/>
      <c r="B757" s="14"/>
      <c r="C757" s="8"/>
      <c r="D757" s="3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</row>
    <row r="758" spans="1:73" ht="15.75" customHeight="1" thickBot="1">
      <c r="A758" s="14"/>
      <c r="B758" s="14"/>
      <c r="C758" s="8"/>
      <c r="D758" s="3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</row>
    <row r="759" spans="1:73" ht="15.75" customHeight="1" thickBot="1">
      <c r="A759" s="14"/>
      <c r="B759" s="14"/>
      <c r="C759" s="8"/>
      <c r="D759" s="3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</row>
    <row r="760" spans="1:73" ht="15.75" customHeight="1" thickBot="1">
      <c r="A760" s="14"/>
      <c r="B760" s="14"/>
      <c r="C760" s="8"/>
      <c r="D760" s="3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</row>
    <row r="761" spans="1:73" ht="15.75" customHeight="1" thickBot="1">
      <c r="A761" s="14"/>
      <c r="B761" s="14"/>
      <c r="C761" s="8"/>
      <c r="D761" s="3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</row>
    <row r="762" spans="1:73" ht="15.75" customHeight="1" thickBot="1">
      <c r="A762" s="14"/>
      <c r="B762" s="14"/>
      <c r="C762" s="8"/>
      <c r="D762" s="3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</row>
    <row r="763" spans="1:73" ht="15.75" customHeight="1" thickBot="1">
      <c r="A763" s="14"/>
      <c r="B763" s="14"/>
      <c r="C763" s="8"/>
      <c r="D763" s="3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</row>
    <row r="764" spans="1:73" ht="15.75" customHeight="1" thickBot="1">
      <c r="A764" s="14"/>
      <c r="B764" s="14"/>
      <c r="C764" s="8"/>
      <c r="D764" s="3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</row>
    <row r="765" spans="1:73" ht="15.75" customHeight="1" thickBot="1">
      <c r="A765" s="14"/>
      <c r="B765" s="14"/>
      <c r="C765" s="8"/>
      <c r="D765" s="3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</row>
    <row r="766" spans="1:73" ht="15.75" customHeight="1" thickBot="1">
      <c r="A766" s="14"/>
      <c r="B766" s="14"/>
      <c r="C766" s="8"/>
      <c r="D766" s="3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</row>
    <row r="767" spans="1:73" ht="15.75" customHeight="1" thickBot="1">
      <c r="A767" s="14"/>
      <c r="B767" s="14"/>
      <c r="C767" s="8"/>
      <c r="D767" s="3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</row>
    <row r="768" spans="1:73" ht="15.75" customHeight="1" thickBot="1">
      <c r="A768" s="14"/>
      <c r="B768" s="14"/>
      <c r="C768" s="8"/>
      <c r="D768" s="3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</row>
    <row r="769" spans="1:73" ht="15.75" customHeight="1" thickBot="1">
      <c r="A769" s="14"/>
      <c r="B769" s="14"/>
      <c r="C769" s="8"/>
      <c r="D769" s="3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</row>
    <row r="770" spans="1:73" ht="15.75" customHeight="1" thickBot="1">
      <c r="A770" s="14"/>
      <c r="B770" s="14"/>
      <c r="C770" s="8"/>
      <c r="D770" s="3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</row>
    <row r="771" spans="1:73" ht="15.75" customHeight="1" thickBot="1">
      <c r="A771" s="14"/>
      <c r="B771" s="14"/>
      <c r="C771" s="8"/>
      <c r="D771" s="3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</row>
    <row r="772" spans="1:73" ht="15.75" customHeight="1" thickBot="1">
      <c r="A772" s="14"/>
      <c r="B772" s="14"/>
      <c r="C772" s="8"/>
      <c r="D772" s="3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</row>
    <row r="773" spans="1:73" ht="15.75" customHeight="1" thickBot="1">
      <c r="A773" s="14"/>
      <c r="B773" s="14"/>
      <c r="C773" s="8"/>
      <c r="D773" s="3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</row>
    <row r="774" spans="1:73" ht="15.75" customHeight="1" thickBot="1">
      <c r="A774" s="14"/>
      <c r="B774" s="14"/>
      <c r="C774" s="8"/>
      <c r="D774" s="3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</row>
    <row r="775" spans="1:73" ht="15.75" customHeight="1" thickBot="1">
      <c r="A775" s="14"/>
      <c r="B775" s="14"/>
      <c r="C775" s="8"/>
      <c r="D775" s="3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</row>
    <row r="776" spans="1:73" ht="15.75" customHeight="1" thickBot="1">
      <c r="A776" s="14"/>
      <c r="B776" s="14"/>
      <c r="C776" s="8"/>
      <c r="D776" s="3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</row>
    <row r="777" spans="1:73" ht="15.75" customHeight="1" thickBot="1">
      <c r="A777" s="14"/>
      <c r="B777" s="14"/>
      <c r="C777" s="8"/>
      <c r="D777" s="3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</row>
    <row r="778" spans="1:73" ht="15.75" customHeight="1" thickBot="1">
      <c r="A778" s="14"/>
      <c r="B778" s="14"/>
      <c r="C778" s="8"/>
      <c r="D778" s="3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</row>
    <row r="779" spans="1:73" ht="15.75" customHeight="1" thickBot="1">
      <c r="A779" s="14"/>
      <c r="B779" s="14"/>
      <c r="C779" s="8"/>
      <c r="D779" s="3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</row>
    <row r="780" spans="1:73" ht="15.75" customHeight="1" thickBot="1">
      <c r="A780" s="14"/>
      <c r="B780" s="14"/>
      <c r="C780" s="8"/>
      <c r="D780" s="3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</row>
    <row r="781" spans="1:73" ht="15.75" customHeight="1" thickBot="1">
      <c r="A781" s="14"/>
      <c r="B781" s="14"/>
      <c r="C781" s="8"/>
      <c r="D781" s="3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</row>
    <row r="782" spans="1:73" ht="15.75" customHeight="1" thickBot="1">
      <c r="A782" s="14"/>
      <c r="B782" s="14"/>
      <c r="C782" s="8"/>
      <c r="D782" s="3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</row>
    <row r="783" spans="1:73" ht="15.75" customHeight="1" thickBot="1">
      <c r="A783" s="14"/>
      <c r="B783" s="14"/>
      <c r="C783" s="8"/>
      <c r="D783" s="3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</row>
    <row r="784" spans="1:73" ht="15.75" customHeight="1" thickBot="1">
      <c r="A784" s="14"/>
      <c r="B784" s="14"/>
      <c r="C784" s="8"/>
      <c r="D784" s="3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</row>
    <row r="785" spans="1:73" ht="15.75" customHeight="1" thickBot="1">
      <c r="A785" s="14"/>
      <c r="B785" s="14"/>
      <c r="C785" s="8"/>
      <c r="D785" s="3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</row>
    <row r="786" spans="1:73" ht="15.75" customHeight="1" thickBot="1">
      <c r="A786" s="14"/>
      <c r="B786" s="14"/>
      <c r="C786" s="8"/>
      <c r="D786" s="3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</row>
    <row r="787" spans="1:73" ht="15.75" customHeight="1" thickBot="1">
      <c r="A787" s="14"/>
      <c r="B787" s="14"/>
      <c r="C787" s="8"/>
      <c r="D787" s="3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</row>
    <row r="788" spans="1:73" ht="15.75" customHeight="1" thickBot="1">
      <c r="A788" s="14"/>
      <c r="B788" s="14"/>
      <c r="C788" s="8"/>
      <c r="D788" s="3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</row>
    <row r="789" spans="1:73" ht="15.75" customHeight="1" thickBot="1">
      <c r="A789" s="14"/>
      <c r="B789" s="14"/>
      <c r="C789" s="8"/>
      <c r="D789" s="3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</row>
    <row r="790" spans="1:73" ht="15.75" customHeight="1" thickBot="1">
      <c r="A790" s="14"/>
      <c r="B790" s="14"/>
      <c r="C790" s="8"/>
      <c r="D790" s="3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</row>
    <row r="791" spans="1:73" ht="15.75" customHeight="1" thickBot="1">
      <c r="A791" s="14"/>
      <c r="B791" s="14"/>
      <c r="C791" s="8"/>
      <c r="D791" s="3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</row>
    <row r="792" spans="1:73" ht="15.75" customHeight="1" thickBot="1">
      <c r="A792" s="14"/>
      <c r="B792" s="14"/>
      <c r="C792" s="8"/>
      <c r="D792" s="3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</row>
    <row r="793" spans="1:73" ht="15.75" customHeight="1" thickBot="1">
      <c r="A793" s="14"/>
      <c r="B793" s="14"/>
      <c r="C793" s="8"/>
      <c r="D793" s="3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</row>
    <row r="794" spans="1:73" ht="15.75" customHeight="1" thickBot="1">
      <c r="A794" s="14"/>
      <c r="B794" s="14"/>
      <c r="C794" s="8"/>
      <c r="D794" s="3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</row>
    <row r="795" spans="1:73" ht="15.75" customHeight="1" thickBot="1">
      <c r="A795" s="14"/>
      <c r="B795" s="14"/>
      <c r="C795" s="8"/>
      <c r="D795" s="3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</row>
    <row r="796" spans="1:73" ht="15.75" customHeight="1" thickBot="1">
      <c r="A796" s="14"/>
      <c r="B796" s="14"/>
      <c r="C796" s="8"/>
      <c r="D796" s="3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</row>
    <row r="797" spans="1:73" ht="15.75" customHeight="1" thickBot="1">
      <c r="A797" s="14"/>
      <c r="B797" s="14"/>
      <c r="C797" s="8"/>
      <c r="D797" s="3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</row>
    <row r="798" spans="1:73" ht="15.75" customHeight="1" thickBot="1">
      <c r="A798" s="14"/>
      <c r="B798" s="14"/>
      <c r="C798" s="8"/>
      <c r="D798" s="3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</row>
    <row r="799" spans="1:73" ht="15.75" customHeight="1" thickBot="1">
      <c r="A799" s="14"/>
      <c r="B799" s="14"/>
      <c r="C799" s="8"/>
      <c r="D799" s="3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</row>
    <row r="800" spans="1:73" ht="15.75" customHeight="1" thickBot="1">
      <c r="A800" s="14"/>
      <c r="B800" s="14"/>
      <c r="C800" s="8"/>
      <c r="D800" s="3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</row>
    <row r="801" spans="1:73" ht="15.75" customHeight="1" thickBot="1">
      <c r="A801" s="14"/>
      <c r="B801" s="14"/>
      <c r="C801" s="8"/>
      <c r="D801" s="3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</row>
    <row r="802" spans="1:73" ht="15.75" customHeight="1" thickBot="1">
      <c r="A802" s="14"/>
      <c r="B802" s="14"/>
      <c r="C802" s="8"/>
      <c r="D802" s="3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</row>
    <row r="803" spans="1:73" ht="15"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</row>
    <row r="804" spans="1:73" ht="15"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</row>
    <row r="805" spans="1:73" ht="15"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</row>
    <row r="806" spans="1:73" ht="15">
      <c r="A806" s="15"/>
      <c r="B806" s="15"/>
      <c r="C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</row>
    <row r="807" spans="1:73" ht="15">
      <c r="A807" s="15"/>
      <c r="B807" s="15"/>
      <c r="C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</row>
    <row r="808" spans="1:73" ht="15">
      <c r="A808" s="15"/>
      <c r="B808" s="15"/>
      <c r="C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</row>
    <row r="809" spans="1:73" ht="15">
      <c r="A809" s="15"/>
      <c r="B809" s="15"/>
      <c r="C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</row>
    <row r="810" spans="1:73" ht="15">
      <c r="A810" s="15"/>
      <c r="B810" s="15"/>
      <c r="C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</row>
    <row r="811" spans="1:73" ht="15">
      <c r="A811" s="15"/>
      <c r="B811" s="15"/>
      <c r="C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</row>
    <row r="812" spans="1:73" ht="15">
      <c r="A812" s="15"/>
      <c r="B812" s="15"/>
      <c r="C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</row>
    <row r="813" spans="1:73" ht="15">
      <c r="A813" s="15"/>
      <c r="B813" s="15"/>
      <c r="C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</row>
    <row r="814" spans="1:73" ht="15">
      <c r="A814" s="15"/>
      <c r="B814" s="15"/>
      <c r="C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</row>
    <row r="815" spans="1:73" ht="15">
      <c r="A815" s="15"/>
      <c r="B815" s="15"/>
      <c r="C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</row>
    <row r="816" spans="1:73" ht="15">
      <c r="A816" s="15"/>
      <c r="B816" s="15"/>
      <c r="C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</row>
    <row r="817" spans="1:73" ht="15">
      <c r="A817" s="15"/>
      <c r="B817" s="15"/>
      <c r="C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</row>
    <row r="818" spans="1:73" ht="15">
      <c r="A818" s="15"/>
      <c r="B818" s="15"/>
      <c r="C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</row>
    <row r="819" spans="1:73" ht="15">
      <c r="A819" s="15"/>
      <c r="B819" s="15"/>
      <c r="C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</row>
    <row r="820" spans="1:73" ht="15"/>
    <row r="821" spans="1:73" ht="15"/>
    <row r="822" spans="1:73" ht="15"/>
    <row r="823" spans="1:73" ht="15"/>
    <row r="824" spans="1:73" ht="15"/>
    <row r="825" spans="1:73" ht="15"/>
    <row r="826" spans="1:73" ht="15"/>
    <row r="827" spans="1:73" ht="15"/>
    <row r="828" spans="1:73" ht="15"/>
    <row r="829" spans="1:73" ht="15"/>
    <row r="830" spans="1:73" ht="15"/>
    <row r="831" spans="1:73" ht="15"/>
    <row r="832" spans="1:73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</sheetData>
  <mergeCells count="9">
    <mergeCell ref="A134:B134"/>
    <mergeCell ref="A150:B150"/>
    <mergeCell ref="A3:D3"/>
    <mergeCell ref="A31:B31"/>
    <mergeCell ref="A36:B36"/>
    <mergeCell ref="A72:B72"/>
    <mergeCell ref="A74:B74"/>
    <mergeCell ref="A73:B73"/>
    <mergeCell ref="A120:B120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48" orientation="portrait" horizontalDpi="300" verticalDpi="300" r:id="rId1"/>
  <rowBreaks count="4" manualBreakCount="4">
    <brk id="51" max="3" man="1"/>
    <brk id="85" max="3" man="1"/>
    <brk id="125" max="3" man="1"/>
    <brk id="167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U1074"/>
  <sheetViews>
    <sheetView view="pageBreakPreview" zoomScale="82" zoomScaleSheetLayoutView="82" workbookViewId="0"/>
  </sheetViews>
  <sheetFormatPr defaultRowHeight="15.75" thickBottom="1"/>
  <cols>
    <col min="1" max="1" width="100" style="16" customWidth="1"/>
    <col min="2" max="2" width="27.85546875" style="16" customWidth="1"/>
    <col min="3" max="3" width="27.42578125" style="17" customWidth="1"/>
    <col min="4" max="4" width="27.42578125" style="15" customWidth="1"/>
    <col min="5" max="5" width="19.42578125" style="3" customWidth="1"/>
    <col min="6" max="7" width="15.7109375" style="3" bestFit="1" customWidth="1"/>
    <col min="8" max="73" width="9.140625" style="3"/>
    <col min="74" max="16384" width="9.140625" style="15"/>
  </cols>
  <sheetData>
    <row r="1" spans="1:73" s="7" customFormat="1" ht="15.75" customHeight="1">
      <c r="A1" s="107" t="s">
        <v>485</v>
      </c>
      <c r="B1" s="5"/>
      <c r="C1" s="6"/>
    </row>
    <row r="2" spans="1:73" s="3" customFormat="1" ht="15" customHeight="1">
      <c r="A2" s="64"/>
      <c r="B2" s="5"/>
      <c r="C2" s="8"/>
    </row>
    <row r="3" spans="1:73" s="3" customFormat="1" ht="42" customHeight="1">
      <c r="A3" s="579" t="s">
        <v>156</v>
      </c>
      <c r="B3" s="579"/>
      <c r="C3" s="579"/>
      <c r="D3" s="579"/>
    </row>
    <row r="4" spans="1:73" s="3" customFormat="1" ht="15" customHeight="1">
      <c r="C4" s="8"/>
    </row>
    <row r="5" spans="1:73" s="9" customFormat="1" ht="15.75" customHeight="1" thickBot="1">
      <c r="C5" s="108"/>
      <c r="D5" s="108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s="113" customFormat="1" ht="66.75" customHeight="1" thickBot="1">
      <c r="A6" s="109" t="s">
        <v>124</v>
      </c>
      <c r="B6" s="114"/>
      <c r="C6" s="111" t="s">
        <v>148</v>
      </c>
      <c r="D6" s="279" t="s">
        <v>149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</row>
    <row r="7" spans="1:73" s="113" customFormat="1" ht="44.25" customHeight="1" thickBot="1">
      <c r="A7" s="258" t="s">
        <v>263</v>
      </c>
      <c r="B7" s="257"/>
      <c r="C7" s="284"/>
      <c r="D7" s="284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</row>
    <row r="8" spans="1:73" s="12" customFormat="1" ht="22.5" customHeight="1" thickBot="1">
      <c r="A8" s="152" t="s">
        <v>48</v>
      </c>
      <c r="B8" s="10"/>
      <c r="C8" s="13">
        <f>SUM(B10:B10)</f>
        <v>285356</v>
      </c>
      <c r="D8" s="280">
        <f>SUM(C8)</f>
        <v>285356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</row>
    <row r="9" spans="1:73" s="12" customFormat="1" ht="22.5" customHeight="1" thickBot="1">
      <c r="A9" s="128" t="s">
        <v>17</v>
      </c>
      <c r="B9" s="10"/>
      <c r="C9" s="13"/>
      <c r="D9" s="28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73" s="12" customFormat="1" ht="30.75" customHeight="1" thickBot="1">
      <c r="A10" s="128" t="s">
        <v>79</v>
      </c>
      <c r="B10" s="10">
        <v>285356</v>
      </c>
      <c r="C10" s="13"/>
      <c r="D10" s="28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</row>
    <row r="11" spans="1:73" s="12" customFormat="1" ht="25.5" customHeight="1" thickBot="1">
      <c r="A11" s="152" t="s">
        <v>53</v>
      </c>
      <c r="B11" s="10"/>
      <c r="C11" s="13">
        <f>SUM(B12)</f>
        <v>18335000</v>
      </c>
      <c r="D11" s="280">
        <f>SUM(C11)</f>
        <v>18335000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</row>
    <row r="12" spans="1:73" s="12" customFormat="1" ht="25.5" customHeight="1" thickBot="1">
      <c r="A12" s="128" t="s">
        <v>54</v>
      </c>
      <c r="B12" s="10">
        <v>18335000</v>
      </c>
      <c r="C12" s="13"/>
      <c r="D12" s="28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</row>
    <row r="13" spans="1:73" s="133" customFormat="1" ht="52.5" customHeight="1" thickBot="1">
      <c r="A13" s="134" t="s">
        <v>190</v>
      </c>
      <c r="B13" s="151"/>
      <c r="C13" s="13">
        <v>2640000</v>
      </c>
      <c r="D13" s="280">
        <f>SUM(C13)+2395670+4147009</f>
        <v>9182679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</row>
    <row r="14" spans="1:73" s="133" customFormat="1" ht="26.25" customHeight="1" thickBot="1">
      <c r="A14" s="134" t="s">
        <v>138</v>
      </c>
      <c r="B14" s="135"/>
      <c r="C14" s="145">
        <v>876150</v>
      </c>
      <c r="D14" s="280">
        <f>SUM(C14)</f>
        <v>876150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</row>
    <row r="15" spans="1:73" s="133" customFormat="1" ht="44.25" customHeight="1" thickBot="1">
      <c r="A15" s="152" t="s">
        <v>66</v>
      </c>
      <c r="B15" s="127"/>
      <c r="C15" s="13">
        <f>SUM(B16:B17)</f>
        <v>22422593</v>
      </c>
      <c r="D15" s="280">
        <f>SUM(C15)</f>
        <v>22422593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</row>
    <row r="16" spans="1:73" s="12" customFormat="1" ht="24" customHeight="1" thickBot="1">
      <c r="A16" s="128" t="s">
        <v>67</v>
      </c>
      <c r="B16" s="10">
        <v>4700418</v>
      </c>
      <c r="C16" s="13"/>
      <c r="D16" s="28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</row>
    <row r="17" spans="1:73" s="12" customFormat="1" ht="24" customHeight="1" thickBot="1">
      <c r="A17" s="128" t="s">
        <v>68</v>
      </c>
      <c r="B17" s="10">
        <v>17722175</v>
      </c>
      <c r="C17" s="13"/>
      <c r="D17" s="28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</row>
    <row r="18" spans="1:73" s="133" customFormat="1" ht="24" customHeight="1" thickBot="1">
      <c r="A18" s="134" t="s">
        <v>443</v>
      </c>
      <c r="B18" s="135"/>
      <c r="C18" s="13"/>
      <c r="D18" s="280">
        <f>1500000-300000+31658+236220+300000</f>
        <v>1767878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</row>
    <row r="19" spans="1:73" s="133" customFormat="1" ht="24" customHeight="1" thickBot="1">
      <c r="A19" s="134" t="s">
        <v>93</v>
      </c>
      <c r="B19" s="135"/>
      <c r="C19" s="13"/>
      <c r="D19" s="280">
        <f>659532+2411894</f>
        <v>3071426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</row>
    <row r="20" spans="1:73" s="12" customFormat="1" ht="34.5" customHeight="1" thickBot="1">
      <c r="A20" s="152" t="s">
        <v>459</v>
      </c>
      <c r="B20" s="127"/>
      <c r="C20" s="13"/>
      <c r="D20" s="13">
        <v>574278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</row>
    <row r="21" spans="1:73" s="133" customFormat="1" ht="35.25" customHeight="1" thickBot="1">
      <c r="A21" s="20" t="s">
        <v>200</v>
      </c>
      <c r="B21" s="261"/>
      <c r="C21" s="144">
        <v>3540000</v>
      </c>
      <c r="D21" s="280">
        <f>SUM(C21)</f>
        <v>3540000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</row>
    <row r="22" spans="1:73" s="113" customFormat="1" ht="44.25" customHeight="1" thickBot="1">
      <c r="A22" s="262" t="s">
        <v>275</v>
      </c>
      <c r="B22" s="167"/>
      <c r="C22" s="285">
        <f>SUM(C8:C21)</f>
        <v>48099099</v>
      </c>
      <c r="D22" s="285">
        <f>SUM(D8:D21)</f>
        <v>60055360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</row>
    <row r="23" spans="1:73" s="12" customFormat="1" ht="30.75" customHeight="1" thickBot="1">
      <c r="A23" s="259"/>
      <c r="B23" s="260"/>
      <c r="C23" s="283"/>
      <c r="D23" s="28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</row>
    <row r="24" spans="1:73" s="113" customFormat="1" ht="44.25" customHeight="1" thickBot="1">
      <c r="A24" s="258" t="s">
        <v>264</v>
      </c>
      <c r="B24" s="263"/>
      <c r="C24" s="284"/>
      <c r="D24" s="284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</row>
    <row r="25" spans="1:73" s="12" customFormat="1" ht="22.5" customHeight="1" thickBot="1">
      <c r="A25" s="152" t="s">
        <v>48</v>
      </c>
      <c r="B25" s="10"/>
      <c r="C25" s="13">
        <f>SUM(B27:B27)</f>
        <v>55644</v>
      </c>
      <c r="D25" s="280">
        <f>SUM(C25)</f>
        <v>55644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</row>
    <row r="26" spans="1:73" s="12" customFormat="1" ht="22.5" customHeight="1" thickBot="1">
      <c r="A26" s="128" t="s">
        <v>17</v>
      </c>
      <c r="B26" s="10"/>
      <c r="C26" s="13"/>
      <c r="D26" s="28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</row>
    <row r="27" spans="1:73" s="12" customFormat="1" ht="30.75" customHeight="1" thickBot="1">
      <c r="A27" s="128" t="s">
        <v>79</v>
      </c>
      <c r="B27" s="10">
        <v>55644</v>
      </c>
      <c r="C27" s="13"/>
      <c r="D27" s="28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</row>
    <row r="28" spans="1:73" s="12" customFormat="1" ht="25.5" customHeight="1" thickBot="1">
      <c r="A28" s="152" t="s">
        <v>53</v>
      </c>
      <c r="B28" s="10"/>
      <c r="C28" s="13">
        <f>SUM(B29)</f>
        <v>3575000</v>
      </c>
      <c r="D28" s="280">
        <f>SUM(C28)</f>
        <v>3575000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</row>
    <row r="29" spans="1:73" s="12" customFormat="1" ht="25.5" customHeight="1" thickBot="1">
      <c r="A29" s="128" t="s">
        <v>54</v>
      </c>
      <c r="B29" s="10">
        <v>3575000</v>
      </c>
      <c r="C29" s="13"/>
      <c r="D29" s="28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:73" s="133" customFormat="1" ht="52.5" customHeight="1" thickBot="1">
      <c r="A30" s="134" t="s">
        <v>190</v>
      </c>
      <c r="B30" s="151"/>
      <c r="C30" s="13">
        <v>514800</v>
      </c>
      <c r="D30" s="280">
        <f>SUM(C30)+419796+290628</f>
        <v>1225224</v>
      </c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</row>
    <row r="31" spans="1:73" s="133" customFormat="1" ht="26.25" customHeight="1" thickBot="1">
      <c r="A31" s="134" t="s">
        <v>138</v>
      </c>
      <c r="B31" s="135"/>
      <c r="C31" s="145">
        <v>170850</v>
      </c>
      <c r="D31" s="280">
        <f>SUM(C31)</f>
        <v>170850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</row>
    <row r="32" spans="1:73" s="133" customFormat="1" ht="44.25" customHeight="1" thickBot="1">
      <c r="A32" s="152" t="s">
        <v>66</v>
      </c>
      <c r="B32" s="127"/>
      <c r="C32" s="13">
        <f>SUM(B33:B34)</f>
        <v>4372407</v>
      </c>
      <c r="D32" s="280">
        <f>SUM(C32)</f>
        <v>4372407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</row>
    <row r="33" spans="1:125" s="12" customFormat="1" ht="24" customHeight="1" thickBot="1">
      <c r="A33" s="128" t="s">
        <v>67</v>
      </c>
      <c r="B33" s="10">
        <v>916582</v>
      </c>
      <c r="C33" s="13"/>
      <c r="D33" s="28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:125" s="12" customFormat="1" ht="24" customHeight="1" thickBot="1">
      <c r="A34" s="128" t="s">
        <v>68</v>
      </c>
      <c r="B34" s="10">
        <v>3455825</v>
      </c>
      <c r="C34" s="13"/>
      <c r="D34" s="28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1:125" s="12" customFormat="1" ht="34.5" customHeight="1" thickBot="1">
      <c r="A35" s="152" t="s">
        <v>459</v>
      </c>
      <c r="B35" s="127"/>
      <c r="C35" s="13"/>
      <c r="D35" s="13">
        <v>36844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:125" s="133" customFormat="1" ht="24" customHeight="1" thickBot="1">
      <c r="A36" s="134" t="s">
        <v>93</v>
      </c>
      <c r="B36" s="135"/>
      <c r="C36" s="13"/>
      <c r="D36" s="280">
        <v>44367</v>
      </c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</row>
    <row r="37" spans="1:125" s="133" customFormat="1" ht="24" customHeight="1" thickBot="1">
      <c r="A37" s="134" t="s">
        <v>443</v>
      </c>
      <c r="B37" s="135"/>
      <c r="C37" s="13"/>
      <c r="D37" s="280">
        <f>600000+200000</f>
        <v>800000</v>
      </c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</row>
    <row r="38" spans="1:125" s="133" customFormat="1" ht="35.25" customHeight="1" thickBot="1">
      <c r="A38" s="134" t="s">
        <v>200</v>
      </c>
      <c r="B38" s="135"/>
      <c r="C38" s="13">
        <v>1460000</v>
      </c>
      <c r="D38" s="280">
        <f>SUM(C38)</f>
        <v>1460000</v>
      </c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</row>
    <row r="39" spans="1:125" s="113" customFormat="1" ht="44.25" customHeight="1" thickBot="1">
      <c r="A39" s="262" t="s">
        <v>276</v>
      </c>
      <c r="B39" s="167"/>
      <c r="C39" s="285">
        <f>SUM(C25:C38)</f>
        <v>10148701</v>
      </c>
      <c r="D39" s="285">
        <f>SUM(D25:D38)</f>
        <v>11740336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</row>
    <row r="40" spans="1:125" s="12" customFormat="1" ht="30.75" customHeight="1" thickBot="1">
      <c r="A40" s="259"/>
      <c r="B40" s="260"/>
      <c r="C40" s="283"/>
      <c r="D40" s="28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:125" s="113" customFormat="1" ht="44.25" customHeight="1" thickBot="1">
      <c r="A41" s="258" t="s">
        <v>265</v>
      </c>
      <c r="B41" s="263"/>
      <c r="C41" s="284"/>
      <c r="D41" s="284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</row>
    <row r="42" spans="1:125" s="12" customFormat="1" ht="21" customHeight="1" thickBot="1">
      <c r="A42" s="152" t="s">
        <v>42</v>
      </c>
      <c r="B42" s="10"/>
      <c r="C42" s="13">
        <v>59000000</v>
      </c>
      <c r="D42" s="280">
        <f>SUM(C42)</f>
        <v>59000000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:125" s="133" customFormat="1" ht="28.5" customHeight="1" thickBot="1">
      <c r="A43" s="152" t="s">
        <v>130</v>
      </c>
      <c r="B43" s="127"/>
      <c r="C43" s="13">
        <f>SUM(B44:B44)</f>
        <v>2000000</v>
      </c>
      <c r="D43" s="280">
        <f>SUM(C43)</f>
        <v>2000000</v>
      </c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</row>
    <row r="44" spans="1:125" s="12" customFormat="1" ht="19.5" customHeight="1" thickBot="1">
      <c r="A44" s="128" t="s">
        <v>129</v>
      </c>
      <c r="B44" s="10">
        <v>2000000</v>
      </c>
      <c r="C44" s="129"/>
      <c r="D44" s="136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:125" s="12" customFormat="1" ht="29.25" customHeight="1" thickBot="1">
      <c r="A45" s="152" t="s">
        <v>43</v>
      </c>
      <c r="B45" s="10"/>
      <c r="C45" s="13">
        <v>4720000</v>
      </c>
      <c r="D45" s="280">
        <f>SUM(B46:B47)</f>
        <v>2320000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:125" s="12" customFormat="1" ht="39.75" customHeight="1" thickBot="1">
      <c r="A46" s="128" t="s">
        <v>144</v>
      </c>
      <c r="B46" s="136">
        <f>4000000-2400000</f>
        <v>1600000</v>
      </c>
      <c r="C46" s="13"/>
      <c r="D46" s="28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:125" s="19" customFormat="1" ht="21" customHeight="1" thickBot="1">
      <c r="A47" s="128" t="s">
        <v>166</v>
      </c>
      <c r="B47" s="136">
        <v>720000</v>
      </c>
      <c r="C47" s="280"/>
      <c r="D47" s="280"/>
      <c r="E47" s="13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</row>
    <row r="48" spans="1:125" s="12" customFormat="1" ht="22.5" customHeight="1" thickBot="1">
      <c r="A48" s="152" t="s">
        <v>44</v>
      </c>
      <c r="B48" s="10"/>
      <c r="C48" s="13">
        <v>150000</v>
      </c>
      <c r="D48" s="280">
        <f>SUM(C48)</f>
        <v>150000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:73" s="12" customFormat="1" ht="22.5" customHeight="1" thickBot="1">
      <c r="A49" s="152" t="s">
        <v>45</v>
      </c>
      <c r="B49" s="10"/>
      <c r="C49" s="13">
        <f>SUM(B50:B50)</f>
        <v>1223772</v>
      </c>
      <c r="D49" s="280">
        <f>SUM(C49)</f>
        <v>1223772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:73" s="12" customFormat="1" ht="22.5" customHeight="1" thickBot="1">
      <c r="A50" s="128" t="s">
        <v>186</v>
      </c>
      <c r="B50" s="10">
        <f>963600*1.27</f>
        <v>1223772</v>
      </c>
      <c r="C50" s="13"/>
      <c r="D50" s="28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:73" s="12" customFormat="1" ht="22.5" customHeight="1" thickBot="1">
      <c r="A51" s="152" t="s">
        <v>46</v>
      </c>
      <c r="B51" s="10"/>
      <c r="C51" s="13">
        <f>SUM(B53:B55)</f>
        <v>21126250</v>
      </c>
      <c r="D51" s="280">
        <f>SUM(B53:B56)</f>
        <v>21963250</v>
      </c>
      <c r="E51" s="143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:73" s="12" customFormat="1" ht="22.5" customHeight="1" thickBot="1">
      <c r="A52" s="128" t="s">
        <v>17</v>
      </c>
      <c r="B52" s="10"/>
      <c r="C52" s="13"/>
      <c r="D52" s="28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:73" s="12" customFormat="1" ht="22.5" customHeight="1" thickBot="1">
      <c r="A53" s="128" t="s">
        <v>47</v>
      </c>
      <c r="B53" s="10">
        <v>50000</v>
      </c>
      <c r="C53" s="13"/>
      <c r="D53" s="28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:73" s="12" customFormat="1" ht="22.5" customHeight="1" thickBot="1">
      <c r="A54" s="128" t="s">
        <v>132</v>
      </c>
      <c r="B54" s="10">
        <v>1000000</v>
      </c>
      <c r="C54" s="13"/>
      <c r="D54" s="28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:73" s="12" customFormat="1" ht="22.5" customHeight="1" thickBot="1">
      <c r="A55" s="128" t="s">
        <v>197</v>
      </c>
      <c r="B55" s="10">
        <v>20076250</v>
      </c>
      <c r="C55" s="13"/>
      <c r="D55" s="28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:73" s="12" customFormat="1" ht="22.5" customHeight="1" thickBot="1">
      <c r="A56" s="128" t="s">
        <v>428</v>
      </c>
      <c r="B56" s="10">
        <v>837000</v>
      </c>
      <c r="C56" s="13"/>
      <c r="D56" s="28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:73" s="133" customFormat="1" ht="22.5" customHeight="1" thickBot="1">
      <c r="A57" s="152" t="s">
        <v>429</v>
      </c>
      <c r="B57" s="127"/>
      <c r="C57" s="13"/>
      <c r="D57" s="280">
        <f>60000+15000</f>
        <v>75000</v>
      </c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</row>
    <row r="58" spans="1:73" s="12" customFormat="1" ht="22.5" customHeight="1" thickBot="1">
      <c r="A58" s="152" t="s">
        <v>48</v>
      </c>
      <c r="B58" s="10"/>
      <c r="C58" s="13">
        <v>3409188</v>
      </c>
      <c r="D58" s="280">
        <f>SUM(B60:B61)</f>
        <v>3459188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:73" s="12" customFormat="1" ht="22.5" customHeight="1" thickBot="1">
      <c r="A59" s="128" t="s">
        <v>17</v>
      </c>
      <c r="B59" s="10"/>
      <c r="C59" s="13"/>
      <c r="D59" s="28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:73" s="12" customFormat="1" ht="22.5" customHeight="1" thickBot="1">
      <c r="A60" s="128" t="s">
        <v>167</v>
      </c>
      <c r="B60" s="10">
        <v>3409188</v>
      </c>
      <c r="C60" s="13"/>
      <c r="D60" s="28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:73" s="12" customFormat="1" ht="28.5" customHeight="1" thickBot="1">
      <c r="A61" s="128" t="s">
        <v>79</v>
      </c>
      <c r="B61" s="10">
        <v>50000</v>
      </c>
      <c r="C61" s="13"/>
      <c r="D61" s="28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:73" s="113" customFormat="1" ht="66.75" customHeight="1" thickBot="1">
      <c r="A62" s="109" t="s">
        <v>124</v>
      </c>
      <c r="B62" s="114"/>
      <c r="C62" s="111" t="s">
        <v>148</v>
      </c>
      <c r="D62" s="279" t="s">
        <v>149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</row>
    <row r="63" spans="1:73" s="12" customFormat="1" ht="31.5" customHeight="1" thickBot="1">
      <c r="A63" s="152" t="s">
        <v>141</v>
      </c>
      <c r="B63" s="10"/>
      <c r="C63" s="13">
        <f>SUM(B65:B66)</f>
        <v>39412360</v>
      </c>
      <c r="D63" s="280">
        <f>SUM(C63)</f>
        <v>39412360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:73" s="12" customFormat="1" ht="24" customHeight="1" thickBot="1">
      <c r="A64" s="128" t="s">
        <v>52</v>
      </c>
      <c r="B64" s="10"/>
      <c r="C64" s="13"/>
      <c r="D64" s="28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:73" s="12" customFormat="1" ht="24" customHeight="1" thickBot="1">
      <c r="A65" s="128" t="s">
        <v>170</v>
      </c>
      <c r="B65" s="10">
        <v>8677000</v>
      </c>
      <c r="C65" s="13"/>
      <c r="D65" s="28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:73" s="12" customFormat="1" ht="24" customHeight="1" thickBot="1">
      <c r="A66" s="128" t="s">
        <v>171</v>
      </c>
      <c r="B66" s="10">
        <v>30735360</v>
      </c>
      <c r="C66" s="13"/>
      <c r="D66" s="28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:73" s="133" customFormat="1" ht="32.25" customHeight="1" thickBot="1">
      <c r="A67" s="152" t="s">
        <v>82</v>
      </c>
      <c r="B67" s="127"/>
      <c r="C67" s="13">
        <v>2400000</v>
      </c>
      <c r="D67" s="280">
        <f>SUM(B68)</f>
        <v>4800000</v>
      </c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</row>
    <row r="68" spans="1:73" s="12" customFormat="1" ht="87.75" customHeight="1" thickBot="1">
      <c r="A68" s="128" t="s">
        <v>458</v>
      </c>
      <c r="B68" s="10">
        <f>2400000+2400000</f>
        <v>4800000</v>
      </c>
      <c r="C68" s="129"/>
      <c r="D68" s="136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:73" s="133" customFormat="1" ht="33.75" customHeight="1" thickBot="1">
      <c r="A69" s="152" t="s">
        <v>435</v>
      </c>
      <c r="B69" s="127"/>
      <c r="C69" s="13"/>
      <c r="D69" s="280">
        <v>17539448</v>
      </c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</row>
    <row r="70" spans="1:73" s="12" customFormat="1" ht="39.75" customHeight="1" thickBot="1">
      <c r="A70" s="152" t="s">
        <v>55</v>
      </c>
      <c r="B70" s="10"/>
      <c r="C70" s="13">
        <f>SUM(B72:B76)</f>
        <v>20472118</v>
      </c>
      <c r="D70" s="280">
        <f>SUM(C70)</f>
        <v>20472118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:73" s="12" customFormat="1" ht="21.75" customHeight="1" thickBot="1">
      <c r="A71" s="128" t="s">
        <v>17</v>
      </c>
      <c r="B71" s="10"/>
      <c r="C71" s="13"/>
      <c r="D71" s="28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:73" s="12" customFormat="1" ht="21.75" customHeight="1" thickBot="1">
      <c r="A72" s="128" t="s">
        <v>90</v>
      </c>
      <c r="B72" s="10">
        <v>13000000</v>
      </c>
      <c r="C72" s="13"/>
      <c r="D72" s="28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:73" s="12" customFormat="1" ht="21.75" customHeight="1" thickBot="1">
      <c r="A73" s="128" t="s">
        <v>56</v>
      </c>
      <c r="B73" s="10">
        <v>3472118</v>
      </c>
      <c r="C73" s="13"/>
      <c r="D73" s="28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:73" s="12" customFormat="1" ht="21.75" customHeight="1" thickBot="1">
      <c r="A74" s="128" t="s">
        <v>91</v>
      </c>
      <c r="B74" s="10">
        <v>2000000</v>
      </c>
      <c r="C74" s="13"/>
      <c r="D74" s="28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:73" s="12" customFormat="1" ht="21.75" customHeight="1" thickBot="1">
      <c r="A75" s="128" t="s">
        <v>57</v>
      </c>
      <c r="B75" s="10">
        <v>1000000</v>
      </c>
      <c r="C75" s="13"/>
      <c r="D75" s="28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:73" s="12" customFormat="1" ht="21.75" customHeight="1" thickBot="1">
      <c r="A76" s="128" t="s">
        <v>143</v>
      </c>
      <c r="B76" s="10">
        <v>1000000</v>
      </c>
      <c r="C76" s="144"/>
      <c r="D76" s="28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:73" s="133" customFormat="1" ht="69.75" customHeight="1" thickBot="1">
      <c r="A77" s="580" t="s">
        <v>270</v>
      </c>
      <c r="B77" s="581"/>
      <c r="C77" s="13">
        <f>3733800+2540000+762000+8354060</f>
        <v>15389860</v>
      </c>
      <c r="D77" s="280">
        <f>SUM(C77)+5980000+3733800</f>
        <v>25103660</v>
      </c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</row>
    <row r="78" spans="1:73" s="125" customFormat="1" ht="38.25" customHeight="1" thickBot="1">
      <c r="A78" s="577" t="s">
        <v>189</v>
      </c>
      <c r="B78" s="578"/>
      <c r="C78" s="13">
        <f>7366000+2451735+7429500+7535000</f>
        <v>24782235</v>
      </c>
      <c r="D78" s="280">
        <f>SUM(C78)+1930500+385100</f>
        <v>27097835</v>
      </c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</row>
    <row r="79" spans="1:73" s="133" customFormat="1" ht="52.5" customHeight="1" thickBot="1">
      <c r="A79" s="134" t="s">
        <v>190</v>
      </c>
      <c r="B79" s="151"/>
      <c r="C79" s="13">
        <f>25312174-2640000-514800</f>
        <v>22157374</v>
      </c>
      <c r="D79" s="280">
        <f>SUM(C79)+419291+200900</f>
        <v>22777565</v>
      </c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</row>
    <row r="80" spans="1:73" s="133" customFormat="1" ht="52.5" customHeight="1" thickBot="1">
      <c r="A80" s="134" t="s">
        <v>192</v>
      </c>
      <c r="B80" s="151"/>
      <c r="C80" s="13">
        <f>1228697+6250000+2500000</f>
        <v>9978697</v>
      </c>
      <c r="D80" s="280">
        <f>SUM(C80)+967478</f>
        <v>10946175</v>
      </c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</row>
    <row r="81" spans="1:73" s="133" customFormat="1" ht="52.5" customHeight="1" thickBot="1">
      <c r="A81" s="134" t="s">
        <v>193</v>
      </c>
      <c r="B81" s="151"/>
      <c r="C81" s="13">
        <f>910800+2500000+2884047</f>
        <v>6294847</v>
      </c>
      <c r="D81" s="280">
        <f>SUM(C81)+717165</f>
        <v>7012012</v>
      </c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</row>
    <row r="82" spans="1:73" s="133" customFormat="1" ht="52.5" customHeight="1" thickBot="1">
      <c r="A82" s="134" t="s">
        <v>194</v>
      </c>
      <c r="B82" s="151"/>
      <c r="C82" s="13">
        <f>697950+3525000+2990000</f>
        <v>7212950</v>
      </c>
      <c r="D82" s="280">
        <f>SUM(C82)+549567</f>
        <v>7762517</v>
      </c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</row>
    <row r="83" spans="1:73" s="133" customFormat="1" ht="52.5" customHeight="1" thickBot="1">
      <c r="A83" s="134" t="s">
        <v>195</v>
      </c>
      <c r="B83" s="151"/>
      <c r="C83" s="13">
        <f>989999+2476500+185000</f>
        <v>3651499</v>
      </c>
      <c r="D83" s="280">
        <f>SUM(C83)+779528</f>
        <v>4431027</v>
      </c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</row>
    <row r="84" spans="1:73" s="133" customFormat="1" ht="38.25" customHeight="1" thickBot="1">
      <c r="A84" s="134" t="s">
        <v>196</v>
      </c>
      <c r="B84" s="151"/>
      <c r="C84" s="13">
        <f>3850000</f>
        <v>3850000</v>
      </c>
      <c r="D84" s="280">
        <f>SUM(C84)-3850000</f>
        <v>0</v>
      </c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</row>
    <row r="85" spans="1:73" s="96" customFormat="1" ht="78" customHeight="1" thickBot="1">
      <c r="A85" s="465" t="s">
        <v>422</v>
      </c>
      <c r="B85" s="466"/>
      <c r="C85" s="13"/>
      <c r="D85" s="13">
        <v>10980000</v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</row>
    <row r="86" spans="1:73" s="472" customFormat="1" ht="38.25" customHeight="1" thickBot="1">
      <c r="A86" s="469" t="s">
        <v>418</v>
      </c>
      <c r="B86" s="470"/>
      <c r="C86" s="13"/>
      <c r="D86" s="13">
        <v>51714618</v>
      </c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1"/>
      <c r="AL86" s="471"/>
      <c r="AM86" s="471"/>
      <c r="AN86" s="471"/>
      <c r="AO86" s="471"/>
      <c r="AP86" s="471"/>
      <c r="AQ86" s="471"/>
      <c r="AR86" s="471"/>
      <c r="AS86" s="471"/>
      <c r="AT86" s="471"/>
      <c r="AU86" s="471"/>
      <c r="AV86" s="471"/>
      <c r="AW86" s="471"/>
      <c r="AX86" s="471"/>
      <c r="AY86" s="471"/>
      <c r="AZ86" s="471"/>
      <c r="BA86" s="471"/>
      <c r="BB86" s="471"/>
      <c r="BC86" s="471"/>
      <c r="BD86" s="471"/>
      <c r="BE86" s="471"/>
      <c r="BF86" s="471"/>
      <c r="BG86" s="471"/>
      <c r="BH86" s="471"/>
      <c r="BI86" s="471"/>
      <c r="BJ86" s="471"/>
      <c r="BK86" s="471"/>
      <c r="BL86" s="471"/>
      <c r="BM86" s="471"/>
      <c r="BN86" s="471"/>
      <c r="BO86" s="471"/>
      <c r="BP86" s="471"/>
      <c r="BQ86" s="471"/>
      <c r="BR86" s="471"/>
      <c r="BS86" s="471"/>
      <c r="BT86" s="471"/>
      <c r="BU86" s="471"/>
    </row>
    <row r="87" spans="1:73" s="12" customFormat="1" ht="56.25" customHeight="1" thickBot="1">
      <c r="A87" s="152" t="s">
        <v>161</v>
      </c>
      <c r="B87" s="127"/>
      <c r="C87" s="13">
        <v>19050000</v>
      </c>
      <c r="D87" s="280">
        <f>SUM(C87)</f>
        <v>19050000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:73" s="12" customFormat="1" ht="27" customHeight="1" thickBot="1">
      <c r="A88" s="152" t="s">
        <v>51</v>
      </c>
      <c r="B88" s="10"/>
      <c r="C88" s="13">
        <v>3000000</v>
      </c>
      <c r="D88" s="280">
        <f>SUM(C88)</f>
        <v>3000000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:73" s="133" customFormat="1" ht="29.25" customHeight="1" thickBot="1">
      <c r="A89" s="152" t="s">
        <v>140</v>
      </c>
      <c r="B89" s="127"/>
      <c r="C89" s="13">
        <v>2000000</v>
      </c>
      <c r="D89" s="280">
        <f>SUM(B90:B91)+137000+34000</f>
        <v>171000</v>
      </c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</row>
    <row r="90" spans="1:73" s="12" customFormat="1" ht="24.75" customHeight="1" thickBot="1">
      <c r="A90" s="128" t="s">
        <v>272</v>
      </c>
      <c r="B90" s="10"/>
      <c r="C90" s="13"/>
      <c r="D90" s="28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:73" s="12" customFormat="1" ht="24.75" customHeight="1" thickBot="1">
      <c r="A91" s="128" t="s">
        <v>154</v>
      </c>
      <c r="B91" s="10"/>
      <c r="C91" s="13"/>
      <c r="D91" s="28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:73" s="133" customFormat="1" ht="30.75" customHeight="1" thickBot="1">
      <c r="A92" s="134" t="s">
        <v>139</v>
      </c>
      <c r="B92" s="135"/>
      <c r="C92" s="145">
        <v>500000</v>
      </c>
      <c r="D92" s="280">
        <f>SUM(C92)</f>
        <v>500000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</row>
    <row r="93" spans="1:73" s="12" customFormat="1" ht="51" customHeight="1" thickBot="1">
      <c r="A93" s="152" t="s">
        <v>92</v>
      </c>
      <c r="B93" s="127"/>
      <c r="C93" s="13">
        <v>2000000</v>
      </c>
      <c r="D93" s="280">
        <f>SUM(C93)+-341324</f>
        <v>1658676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:73" s="12" customFormat="1" ht="34.5" customHeight="1" thickBot="1">
      <c r="A94" s="152" t="s">
        <v>93</v>
      </c>
      <c r="B94" s="127"/>
      <c r="C94" s="13">
        <v>2000000</v>
      </c>
      <c r="D94" s="280">
        <f>SUM(C94)+70570-2070570</f>
        <v>0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:73" s="12" customFormat="1" ht="34.5" customHeight="1" thickBot="1">
      <c r="A95" s="152" t="s">
        <v>459</v>
      </c>
      <c r="B95" s="127"/>
      <c r="C95" s="13"/>
      <c r="D95" s="13">
        <v>588878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:73" s="12" customFormat="1" ht="34.5" customHeight="1" thickBot="1">
      <c r="A96" s="152" t="s">
        <v>460</v>
      </c>
      <c r="B96" s="127"/>
      <c r="C96" s="13"/>
      <c r="D96" s="280">
        <v>50000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:73" s="12" customFormat="1" ht="32.25" customHeight="1" thickBot="1">
      <c r="A97" s="152" t="s">
        <v>168</v>
      </c>
      <c r="B97" s="127"/>
      <c r="C97" s="13">
        <v>1875000</v>
      </c>
      <c r="D97" s="280">
        <f>SUM(C97)+1875000</f>
        <v>3750000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:73" s="12" customFormat="1" ht="32.25" customHeight="1" thickBot="1">
      <c r="A98" s="577" t="s">
        <v>437</v>
      </c>
      <c r="B98" s="578"/>
      <c r="C98" s="13"/>
      <c r="D98" s="280">
        <f>1371600</f>
        <v>1371600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:73" s="12" customFormat="1" ht="26.25" customHeight="1" thickBot="1">
      <c r="A99" s="152" t="s">
        <v>63</v>
      </c>
      <c r="B99" s="127"/>
      <c r="C99" s="13">
        <f>SUM(B100:B106)</f>
        <v>1438460</v>
      </c>
      <c r="D99" s="280">
        <f>SUM(C99)</f>
        <v>1438460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:73" s="12" customFormat="1" ht="19.5" thickBot="1">
      <c r="A100" s="128" t="s">
        <v>133</v>
      </c>
      <c r="B100" s="10">
        <v>718725</v>
      </c>
      <c r="C100" s="13"/>
      <c r="D100" s="28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:73" s="12" customFormat="1" ht="24" customHeight="1" thickBot="1">
      <c r="A101" s="128" t="s">
        <v>134</v>
      </c>
      <c r="B101" s="10">
        <v>50000</v>
      </c>
      <c r="C101" s="13"/>
      <c r="D101" s="28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:73" s="12" customFormat="1" ht="62.25" customHeight="1" thickBot="1">
      <c r="A102" s="128" t="s">
        <v>135</v>
      </c>
      <c r="B102" s="10">
        <v>543200</v>
      </c>
      <c r="C102" s="13"/>
      <c r="D102" s="28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:73" s="12" customFormat="1" ht="30.75" customHeight="1" thickBot="1">
      <c r="A103" s="128" t="s">
        <v>136</v>
      </c>
      <c r="B103" s="10">
        <v>20535</v>
      </c>
      <c r="C103" s="13"/>
      <c r="D103" s="28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:73" s="12" customFormat="1" ht="37.5" customHeight="1" thickBot="1">
      <c r="A104" s="128" t="s">
        <v>64</v>
      </c>
      <c r="B104" s="10">
        <v>1000</v>
      </c>
      <c r="C104" s="13"/>
      <c r="D104" s="28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:73" s="12" customFormat="1" ht="24" customHeight="1" thickBot="1">
      <c r="A105" s="128" t="s">
        <v>65</v>
      </c>
      <c r="B105" s="10">
        <v>5000</v>
      </c>
      <c r="C105" s="13"/>
      <c r="D105" s="28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:73" s="149" customFormat="1" ht="27" customHeight="1" thickBot="1">
      <c r="A106" s="146" t="s">
        <v>174</v>
      </c>
      <c r="B106" s="147">
        <v>100000</v>
      </c>
      <c r="C106" s="148"/>
      <c r="D106" s="282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:73" s="12" customFormat="1" ht="27.75" customHeight="1" thickBot="1">
      <c r="A107" s="152" t="s">
        <v>128</v>
      </c>
      <c r="B107" s="127"/>
      <c r="C107" s="13">
        <v>9525000</v>
      </c>
      <c r="D107" s="280">
        <f>SUM(C107)</f>
        <v>9525000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:73" s="113" customFormat="1" ht="66.75" customHeight="1" thickBot="1">
      <c r="A108" s="109" t="s">
        <v>124</v>
      </c>
      <c r="B108" s="114"/>
      <c r="C108" s="111" t="s">
        <v>148</v>
      </c>
      <c r="D108" s="279" t="s">
        <v>149</v>
      </c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</row>
    <row r="109" spans="1:73" s="12" customFormat="1" ht="42.75" customHeight="1" thickBot="1">
      <c r="A109" s="577" t="s">
        <v>55</v>
      </c>
      <c r="B109" s="578"/>
      <c r="C109" s="13">
        <v>9316195</v>
      </c>
      <c r="D109" s="280">
        <f>SUM(B110:B121)</f>
        <v>10687995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:73" s="12" customFormat="1" ht="22.5" customHeight="1" thickBot="1">
      <c r="A110" s="128" t="s">
        <v>69</v>
      </c>
      <c r="B110" s="10">
        <f>106440+42432</f>
        <v>148872</v>
      </c>
      <c r="C110" s="13"/>
      <c r="D110" s="28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:73" s="12" customFormat="1" ht="22.5" customHeight="1" thickBot="1">
      <c r="A111" s="128" t="s">
        <v>70</v>
      </c>
      <c r="B111" s="10">
        <f>132000+33000</f>
        <v>165000</v>
      </c>
      <c r="C111" s="13"/>
      <c r="D111" s="28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:73" s="12" customFormat="1" ht="22.5" customHeight="1" thickBot="1">
      <c r="A112" s="128" t="s">
        <v>181</v>
      </c>
      <c r="B112" s="10">
        <v>2000000</v>
      </c>
      <c r="C112" s="13"/>
      <c r="D112" s="280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:73" s="12" customFormat="1" ht="22.5" customHeight="1" thickBot="1">
      <c r="A113" s="128" t="s">
        <v>71</v>
      </c>
      <c r="B113" s="10">
        <v>457200</v>
      </c>
      <c r="C113" s="13"/>
      <c r="D113" s="28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:73" s="12" customFormat="1" ht="22.5" customHeight="1" thickBot="1">
      <c r="A114" s="128" t="s">
        <v>172</v>
      </c>
      <c r="B114" s="10">
        <v>825500</v>
      </c>
      <c r="C114" s="13"/>
      <c r="D114" s="28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:73" s="12" customFormat="1" ht="22.5" customHeight="1" thickBot="1">
      <c r="A115" s="128" t="s">
        <v>87</v>
      </c>
      <c r="B115" s="10">
        <v>47088</v>
      </c>
      <c r="C115" s="13"/>
      <c r="D115" s="280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:73" s="12" customFormat="1" ht="22.5" customHeight="1" thickBot="1">
      <c r="A116" s="128" t="s">
        <v>88</v>
      </c>
      <c r="B116" s="10">
        <v>392465</v>
      </c>
      <c r="C116" s="13"/>
      <c r="D116" s="280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:73" s="12" customFormat="1" ht="22.5" customHeight="1" thickBot="1">
      <c r="A117" s="128" t="s">
        <v>89</v>
      </c>
      <c r="B117" s="10">
        <v>322890</v>
      </c>
      <c r="C117" s="13"/>
      <c r="D117" s="280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:73" s="12" customFormat="1" ht="21.75" customHeight="1" thickBot="1">
      <c r="A118" s="130" t="s">
        <v>155</v>
      </c>
      <c r="B118" s="131">
        <v>2000000</v>
      </c>
      <c r="C118" s="144"/>
      <c r="D118" s="28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:73" s="12" customFormat="1" ht="21.75" customHeight="1" thickBot="1">
      <c r="A119" s="128" t="s">
        <v>439</v>
      </c>
      <c r="B119" s="10">
        <f>693000+297180+1300000</f>
        <v>2290180</v>
      </c>
      <c r="C119" s="144"/>
      <c r="D119" s="28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:73" s="12" customFormat="1" ht="21.75" customHeight="1" thickBot="1">
      <c r="A120" s="130" t="s">
        <v>466</v>
      </c>
      <c r="B120" s="131">
        <v>38800</v>
      </c>
      <c r="C120" s="144"/>
      <c r="D120" s="28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:73" s="12" customFormat="1" ht="19.5" thickBot="1">
      <c r="A121" s="130" t="s">
        <v>142</v>
      </c>
      <c r="B121" s="131">
        <v>2000000</v>
      </c>
      <c r="C121" s="13"/>
      <c r="D121" s="280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:73" s="133" customFormat="1" ht="33.75" customHeight="1" thickBot="1">
      <c r="A122" s="152" t="s">
        <v>72</v>
      </c>
      <c r="B122" s="127"/>
      <c r="C122" s="13">
        <v>2000000</v>
      </c>
      <c r="D122" s="280">
        <f>SUM(C122)-1700000-236220</f>
        <v>63780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</row>
    <row r="123" spans="1:73" s="133" customFormat="1" ht="35.25" customHeight="1" thickBot="1">
      <c r="A123" s="577" t="s">
        <v>273</v>
      </c>
      <c r="B123" s="578"/>
      <c r="C123" s="13">
        <v>16000000</v>
      </c>
      <c r="D123" s="280">
        <f>SUM(C123)-16000000</f>
        <v>0</v>
      </c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</row>
    <row r="124" spans="1:73" s="113" customFormat="1" ht="44.25" customHeight="1" thickBot="1">
      <c r="A124" s="262" t="s">
        <v>277</v>
      </c>
      <c r="B124" s="167"/>
      <c r="C124" s="285">
        <f>SUM(C42:C123)</f>
        <v>315935805</v>
      </c>
      <c r="D124" s="285">
        <f>SUM(D42:D123)</f>
        <v>392095934</v>
      </c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</row>
    <row r="125" spans="1:73" s="19" customFormat="1" ht="44.25" customHeight="1" thickBot="1">
      <c r="A125" s="264"/>
      <c r="B125" s="265"/>
      <c r="C125" s="286"/>
      <c r="D125" s="329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</row>
    <row r="126" spans="1:73" s="113" customFormat="1" ht="44.25" customHeight="1" thickBot="1">
      <c r="A126" s="258" t="s">
        <v>268</v>
      </c>
      <c r="B126" s="263"/>
      <c r="C126" s="284"/>
      <c r="D126" s="284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</row>
    <row r="127" spans="1:73" s="12" customFormat="1" ht="42" customHeight="1" thickBot="1">
      <c r="A127" s="577" t="s">
        <v>176</v>
      </c>
      <c r="B127" s="578"/>
      <c r="C127" s="13">
        <f>SUM(B128:B132)</f>
        <v>53740000</v>
      </c>
      <c r="D127" s="280">
        <f>SUM(C127)</f>
        <v>53740000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:73" s="12" customFormat="1" ht="21" customHeight="1" thickBot="1">
      <c r="A128" s="128" t="s">
        <v>177</v>
      </c>
      <c r="B128" s="10">
        <v>26400000</v>
      </c>
      <c r="C128" s="13"/>
      <c r="D128" s="280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:73" s="12" customFormat="1" ht="21" customHeight="1" thickBot="1">
      <c r="A129" s="128" t="s">
        <v>178</v>
      </c>
      <c r="B129" s="10">
        <v>3240000</v>
      </c>
      <c r="C129" s="13"/>
      <c r="D129" s="280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:73" s="12" customFormat="1" ht="21" customHeight="1" thickBot="1">
      <c r="A130" s="128" t="s">
        <v>180</v>
      </c>
      <c r="B130" s="10">
        <v>9800000</v>
      </c>
      <c r="C130" s="13"/>
      <c r="D130" s="280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:73" s="12" customFormat="1" ht="21" customHeight="1" thickBot="1">
      <c r="A131" s="128" t="s">
        <v>179</v>
      </c>
      <c r="B131" s="10">
        <v>11300000</v>
      </c>
      <c r="C131" s="13"/>
      <c r="D131" s="280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:73" s="12" customFormat="1" ht="21" customHeight="1" thickBot="1">
      <c r="A132" s="128" t="s">
        <v>81</v>
      </c>
      <c r="B132" s="10">
        <v>3000000</v>
      </c>
      <c r="C132" s="13"/>
      <c r="D132" s="280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:73" s="133" customFormat="1" ht="21" customHeight="1" thickBot="1">
      <c r="A133" s="152" t="s">
        <v>448</v>
      </c>
      <c r="B133" s="127"/>
      <c r="C133" s="13"/>
      <c r="D133" s="13">
        <v>7847500</v>
      </c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</row>
    <row r="134" spans="1:73" s="133" customFormat="1" ht="21" customHeight="1" thickBot="1">
      <c r="A134" s="152" t="s">
        <v>478</v>
      </c>
      <c r="B134" s="127"/>
      <c r="C134" s="13"/>
      <c r="D134" s="13">
        <v>11964000</v>
      </c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</row>
    <row r="135" spans="1:73" s="12" customFormat="1" ht="27.75" customHeight="1" thickBot="1">
      <c r="A135" s="152" t="s">
        <v>60</v>
      </c>
      <c r="B135" s="127"/>
      <c r="C135" s="13">
        <v>6050000</v>
      </c>
      <c r="D135" s="280">
        <f>SUM(B136:B137)</f>
        <v>2050000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:73" s="12" customFormat="1" ht="30" customHeight="1" thickBot="1">
      <c r="A136" s="128" t="s">
        <v>61</v>
      </c>
      <c r="B136" s="10">
        <v>2000000</v>
      </c>
      <c r="C136" s="13"/>
      <c r="D136" s="280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:73" s="12" customFormat="1" ht="19.5" thickBot="1">
      <c r="A137" s="128" t="s">
        <v>137</v>
      </c>
      <c r="B137" s="10">
        <v>50000</v>
      </c>
      <c r="C137" s="13"/>
      <c r="D137" s="280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:73" s="12" customFormat="1" ht="39.75" customHeight="1" thickBot="1">
      <c r="A138" s="128" t="s">
        <v>173</v>
      </c>
      <c r="B138" s="10">
        <f>4000000-4000000</f>
        <v>0</v>
      </c>
      <c r="C138" s="13"/>
      <c r="D138" s="280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:73" s="12" customFormat="1" ht="38.25" customHeight="1" thickBot="1">
      <c r="A139" s="152" t="s">
        <v>175</v>
      </c>
      <c r="B139" s="10"/>
      <c r="C139" s="13">
        <v>2000000</v>
      </c>
      <c r="D139" s="280">
        <v>0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:73" s="113" customFormat="1" ht="44.25" customHeight="1" thickBot="1">
      <c r="A140" s="262" t="s">
        <v>278</v>
      </c>
      <c r="B140" s="167"/>
      <c r="C140" s="285">
        <f>SUM(C127:C139)</f>
        <v>61790000</v>
      </c>
      <c r="D140" s="285">
        <f>SUM(D127:D139)</f>
        <v>75601500</v>
      </c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BM140" s="112"/>
      <c r="BN140" s="112"/>
      <c r="BO140" s="112"/>
      <c r="BP140" s="112"/>
      <c r="BQ140" s="112"/>
      <c r="BR140" s="112"/>
      <c r="BS140" s="112"/>
      <c r="BT140" s="112"/>
      <c r="BU140" s="112"/>
    </row>
    <row r="141" spans="1:73" s="12" customFormat="1" ht="28.5" customHeight="1" thickBot="1">
      <c r="A141" s="259"/>
      <c r="B141" s="260"/>
      <c r="C141" s="283"/>
      <c r="D141" s="283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:73" s="113" customFormat="1" ht="44.25" customHeight="1" thickBot="1">
      <c r="A142" s="258" t="s">
        <v>267</v>
      </c>
      <c r="B142" s="263"/>
      <c r="C142" s="284"/>
      <c r="D142" s="284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12"/>
      <c r="BJ142" s="112"/>
      <c r="BK142" s="112"/>
      <c r="BL142" s="112"/>
      <c r="BM142" s="112"/>
      <c r="BN142" s="112"/>
      <c r="BO142" s="112"/>
      <c r="BP142" s="112"/>
      <c r="BQ142" s="112"/>
      <c r="BR142" s="112"/>
      <c r="BS142" s="112"/>
      <c r="BT142" s="112"/>
      <c r="BU142" s="112"/>
    </row>
    <row r="143" spans="1:73" s="123" customFormat="1" ht="75" customHeight="1" thickBot="1">
      <c r="A143" s="577" t="s">
        <v>433</v>
      </c>
      <c r="B143" s="578"/>
      <c r="C143" s="13">
        <v>1485000</v>
      </c>
      <c r="D143" s="280">
        <f>SUM(C143)+300000</f>
        <v>1785000</v>
      </c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</row>
    <row r="144" spans="1:73" s="12" customFormat="1" ht="38.25" thickBot="1">
      <c r="A144" s="152" t="s">
        <v>49</v>
      </c>
      <c r="B144" s="10"/>
      <c r="C144" s="13">
        <v>568508702</v>
      </c>
      <c r="D144" s="280">
        <f>SUM(C144)+36741485+50781978+32884582</f>
        <v>688916747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:73" s="12" customFormat="1" ht="38.25" thickBot="1">
      <c r="A145" s="152" t="s">
        <v>125</v>
      </c>
      <c r="B145" s="10"/>
      <c r="C145" s="13">
        <v>100000000</v>
      </c>
      <c r="D145" s="280">
        <f>SUM(C145)+47782313</f>
        <v>147782313</v>
      </c>
      <c r="E145" s="143">
        <f>SUM(D145-C145)</f>
        <v>47782313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:73" s="12" customFormat="1" ht="27.75" customHeight="1" thickBot="1">
      <c r="A146" s="152" t="s">
        <v>159</v>
      </c>
      <c r="B146" s="10"/>
      <c r="C146" s="13">
        <v>1020650</v>
      </c>
      <c r="D146" s="280">
        <f>SUM(C146)</f>
        <v>1020650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:73" s="12" customFormat="1" ht="39.75" customHeight="1" thickBot="1">
      <c r="A147" s="152" t="s">
        <v>431</v>
      </c>
      <c r="B147" s="10"/>
      <c r="C147" s="13"/>
      <c r="D147" s="280">
        <v>135476</v>
      </c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:73" s="133" customFormat="1" ht="24" customHeight="1" thickBot="1">
      <c r="A148" s="152" t="s">
        <v>430</v>
      </c>
      <c r="B148" s="127"/>
      <c r="C148" s="13"/>
      <c r="D148" s="280">
        <f>943400+500000+4848068</f>
        <v>6291468</v>
      </c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</row>
    <row r="149" spans="1:73" s="12" customFormat="1" ht="37.5" customHeight="1" thickBot="1">
      <c r="A149" s="152" t="s">
        <v>78</v>
      </c>
      <c r="B149" s="10"/>
      <c r="C149" s="13">
        <v>10000000</v>
      </c>
      <c r="D149" s="280">
        <f>SUM(B150:B152)</f>
        <v>10139352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:73" s="12" customFormat="1" ht="37.5" customHeight="1" thickBot="1">
      <c r="A150" s="128" t="s">
        <v>163</v>
      </c>
      <c r="B150" s="10">
        <v>4597000</v>
      </c>
      <c r="C150" s="13"/>
      <c r="D150" s="28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:73" s="12" customFormat="1" ht="24.75" customHeight="1" thickBot="1">
      <c r="A151" s="130" t="s">
        <v>162</v>
      </c>
      <c r="B151" s="131">
        <f>5403000+5064352-5403000</f>
        <v>5064352</v>
      </c>
      <c r="C151" s="13"/>
      <c r="D151" s="28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:73" s="12" customFormat="1" ht="24.75" customHeight="1" thickBot="1">
      <c r="A152" s="128" t="s">
        <v>476</v>
      </c>
      <c r="B152" s="10">
        <v>478000</v>
      </c>
      <c r="C152" s="98"/>
      <c r="D152" s="9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:73" s="12" customFormat="1" ht="39.75" customHeight="1" thickBot="1">
      <c r="A153" s="152" t="s">
        <v>127</v>
      </c>
      <c r="B153" s="127"/>
      <c r="C153" s="13">
        <v>100000000</v>
      </c>
      <c r="D153" s="280">
        <f>SUM(B154)</f>
        <v>125009957</v>
      </c>
      <c r="E153" s="143">
        <f>SUM(D153-C153)</f>
        <v>25009957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:73" s="12" customFormat="1" ht="39.75" customHeight="1" thickBot="1">
      <c r="A154" s="128" t="s">
        <v>80</v>
      </c>
      <c r="B154" s="10">
        <f>100000000+10009957+15000000</f>
        <v>125009957</v>
      </c>
      <c r="C154" s="129"/>
      <c r="D154" s="136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:73" s="12" customFormat="1" ht="38.25" thickBot="1">
      <c r="A155" s="152" t="s">
        <v>62</v>
      </c>
      <c r="B155" s="127"/>
      <c r="C155" s="13">
        <v>300000</v>
      </c>
      <c r="D155" s="280">
        <f>SUM(C155)</f>
        <v>300000</v>
      </c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:73" s="12" customFormat="1" ht="32.25" customHeight="1" thickBot="1">
      <c r="A156" s="152" t="s">
        <v>169</v>
      </c>
      <c r="B156" s="127"/>
      <c r="C156" s="13">
        <v>5000000</v>
      </c>
      <c r="D156" s="280">
        <f>SUM(C156)+13424000</f>
        <v>18424000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:73" s="133" customFormat="1" ht="38.25" customHeight="1" thickBot="1">
      <c r="A157" s="152" t="s">
        <v>436</v>
      </c>
      <c r="B157" s="464"/>
      <c r="C157" s="13"/>
      <c r="D157" s="13">
        <f>22356945-22356945</f>
        <v>0</v>
      </c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</row>
    <row r="158" spans="1:73" s="133" customFormat="1" ht="35.25" customHeight="1" thickBot="1">
      <c r="A158" s="20" t="s">
        <v>164</v>
      </c>
      <c r="B158" s="261"/>
      <c r="C158" s="144">
        <v>5000000</v>
      </c>
      <c r="D158" s="280">
        <f>SUM(C158)-5000000</f>
        <v>0</v>
      </c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</row>
    <row r="159" spans="1:73" s="133" customFormat="1" ht="39.75" customHeight="1" thickBot="1">
      <c r="A159" s="152" t="s">
        <v>173</v>
      </c>
      <c r="B159" s="127"/>
      <c r="C159" s="13"/>
      <c r="D159" s="280">
        <v>4000000</v>
      </c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132"/>
      <c r="BR159" s="132"/>
      <c r="BS159" s="132"/>
      <c r="BT159" s="132"/>
      <c r="BU159" s="132"/>
    </row>
    <row r="160" spans="1:73" s="133" customFormat="1" ht="39.75" customHeight="1" thickBot="1">
      <c r="A160" s="152" t="s">
        <v>473</v>
      </c>
      <c r="B160" s="127"/>
      <c r="C160" s="13"/>
      <c r="D160" s="280">
        <v>1000000</v>
      </c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  <c r="BQ160" s="132"/>
      <c r="BR160" s="132"/>
      <c r="BS160" s="132"/>
      <c r="BT160" s="132"/>
      <c r="BU160" s="132"/>
    </row>
    <row r="161" spans="1:73" s="12" customFormat="1" ht="38.25" customHeight="1" thickBot="1">
      <c r="A161" s="152" t="s">
        <v>175</v>
      </c>
      <c r="B161" s="10"/>
      <c r="C161" s="13"/>
      <c r="D161" s="280">
        <v>2000000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:73" s="97" customFormat="1" ht="38.25" customHeight="1" thickBot="1">
      <c r="A162" s="152" t="s">
        <v>84</v>
      </c>
      <c r="B162" s="274"/>
      <c r="C162" s="13">
        <v>200000000</v>
      </c>
      <c r="D162" s="280">
        <f>SUM(C162)-128247366-27978764-4237227-35598025-300000</f>
        <v>3638618</v>
      </c>
      <c r="E162" s="143">
        <f>SUM(D162-C162)</f>
        <v>-196361382</v>
      </c>
      <c r="F162" s="69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</row>
    <row r="163" spans="1:73" s="97" customFormat="1" ht="38.25" customHeight="1" thickBot="1">
      <c r="A163" s="20" t="s">
        <v>85</v>
      </c>
      <c r="B163" s="156"/>
      <c r="C163" s="98">
        <v>783410294</v>
      </c>
      <c r="D163" s="280">
        <f>SUM(B164+B166+B168+B169+B173+B174+B175+B176+B177+B178+B179+B186+B183+B159+B161+B185+B180)</f>
        <v>1339409099</v>
      </c>
      <c r="E163" s="69"/>
      <c r="F163" s="95"/>
      <c r="G163" s="69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</row>
    <row r="164" spans="1:73" s="97" customFormat="1" ht="38.25" customHeight="1" thickBot="1">
      <c r="A164" s="152" t="s">
        <v>158</v>
      </c>
      <c r="B164" s="10">
        <v>3000000</v>
      </c>
      <c r="C164" s="13"/>
      <c r="D164" s="283"/>
      <c r="E164" s="69"/>
      <c r="F164" s="95"/>
      <c r="G164" s="69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</row>
    <row r="165" spans="1:73" s="113" customFormat="1" ht="66.75" customHeight="1" thickBot="1">
      <c r="A165" s="109" t="s">
        <v>124</v>
      </c>
      <c r="B165" s="114"/>
      <c r="C165" s="111" t="s">
        <v>148</v>
      </c>
      <c r="D165" s="279" t="s">
        <v>149</v>
      </c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12"/>
      <c r="BD165" s="112"/>
      <c r="BE165" s="112"/>
      <c r="BF165" s="112"/>
      <c r="BG165" s="112"/>
      <c r="BH165" s="112"/>
      <c r="BI165" s="112"/>
      <c r="BJ165" s="112"/>
      <c r="BK165" s="112"/>
      <c r="BL165" s="112"/>
      <c r="BM165" s="112"/>
      <c r="BN165" s="112"/>
      <c r="BO165" s="112"/>
      <c r="BP165" s="112"/>
      <c r="BQ165" s="112"/>
      <c r="BR165" s="112"/>
      <c r="BS165" s="112"/>
      <c r="BT165" s="112"/>
      <c r="BU165" s="112"/>
    </row>
    <row r="166" spans="1:73" s="12" customFormat="1" ht="44.25" customHeight="1" thickBot="1">
      <c r="A166" s="152" t="s">
        <v>182</v>
      </c>
      <c r="B166" s="10">
        <f>3875000-73+8870741+307517</f>
        <v>13053185</v>
      </c>
      <c r="C166" s="13"/>
      <c r="D166" s="28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:73" s="133" customFormat="1" ht="38.25" customHeight="1" thickBot="1">
      <c r="A167" s="152" t="s">
        <v>86</v>
      </c>
      <c r="B167" s="127"/>
      <c r="C167" s="13"/>
      <c r="D167" s="280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</row>
    <row r="168" spans="1:73" s="12" customFormat="1" ht="59.25" customHeight="1" thickBot="1">
      <c r="A168" s="128" t="s">
        <v>83</v>
      </c>
      <c r="B168" s="10">
        <v>12148581</v>
      </c>
      <c r="C168" s="13"/>
      <c r="D168" s="28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:73" s="12" customFormat="1" ht="38.25" thickBot="1">
      <c r="A169" s="152" t="s">
        <v>50</v>
      </c>
      <c r="B169" s="10">
        <f>SUM(B171:B172)</f>
        <v>211140184</v>
      </c>
      <c r="C169" s="13"/>
      <c r="D169" s="28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:73" s="12" customFormat="1" ht="22.5" customHeight="1" thickBot="1">
      <c r="A170" s="128" t="s">
        <v>17</v>
      </c>
      <c r="B170" s="10"/>
      <c r="C170" s="13"/>
      <c r="D170" s="28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:73" s="12" customFormat="1" ht="22.5" customHeight="1" thickBot="1">
      <c r="A171" s="128" t="s">
        <v>183</v>
      </c>
      <c r="B171" s="10">
        <v>49950000</v>
      </c>
      <c r="C171" s="13"/>
      <c r="D171" s="28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:73" s="12" customFormat="1" ht="37.5" customHeight="1" thickBot="1">
      <c r="A172" s="128" t="s">
        <v>184</v>
      </c>
      <c r="B172" s="10">
        <f>164375993-3185809</f>
        <v>161190184</v>
      </c>
      <c r="C172" s="13"/>
      <c r="D172" s="28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:73" s="133" customFormat="1" ht="58.5" customHeight="1" thickBot="1">
      <c r="A173" s="134" t="s">
        <v>152</v>
      </c>
      <c r="B173" s="10">
        <f>200700259-3733800</f>
        <v>196966459</v>
      </c>
      <c r="C173" s="13"/>
      <c r="D173" s="280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</row>
    <row r="174" spans="1:73" s="125" customFormat="1" ht="38.25" customHeight="1" thickBot="1">
      <c r="A174" s="153" t="s">
        <v>189</v>
      </c>
      <c r="B174" s="10">
        <f>94177093-385100</f>
        <v>93791993</v>
      </c>
      <c r="C174" s="13"/>
      <c r="D174" s="280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  <c r="BI174" s="124"/>
      <c r="BJ174" s="124"/>
      <c r="BK174" s="124"/>
      <c r="BL174" s="124"/>
      <c r="BM174" s="124"/>
      <c r="BN174" s="124"/>
      <c r="BO174" s="124"/>
      <c r="BP174" s="124"/>
      <c r="BQ174" s="124"/>
      <c r="BR174" s="124"/>
      <c r="BS174" s="124"/>
      <c r="BT174" s="124"/>
      <c r="BU174" s="124"/>
    </row>
    <row r="175" spans="1:73" s="126" customFormat="1" ht="64.5" customHeight="1" thickBot="1">
      <c r="A175" s="152" t="s">
        <v>191</v>
      </c>
      <c r="B175" s="10">
        <f>23945785-3016366-4437637</f>
        <v>16491782</v>
      </c>
      <c r="C175" s="13"/>
      <c r="D175" s="280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24"/>
      <c r="BD175" s="124"/>
      <c r="BE175" s="124"/>
      <c r="BF175" s="124"/>
      <c r="BG175" s="124"/>
      <c r="BH175" s="124"/>
      <c r="BI175" s="124"/>
      <c r="BJ175" s="124"/>
      <c r="BK175" s="124"/>
      <c r="BL175" s="124"/>
      <c r="BM175" s="124"/>
      <c r="BN175" s="124"/>
      <c r="BO175" s="124"/>
      <c r="BP175" s="124"/>
      <c r="BQ175" s="124"/>
      <c r="BR175" s="124"/>
      <c r="BS175" s="124"/>
      <c r="BT175" s="124"/>
      <c r="BU175" s="124"/>
    </row>
    <row r="176" spans="1:73" s="126" customFormat="1" ht="37.5" customHeight="1" thickBot="1">
      <c r="A176" s="154" t="s">
        <v>192</v>
      </c>
      <c r="B176" s="10">
        <v>2409098</v>
      </c>
      <c r="C176" s="144"/>
      <c r="D176" s="281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4"/>
      <c r="BD176" s="124"/>
      <c r="BE176" s="124"/>
      <c r="BF176" s="124"/>
      <c r="BG176" s="124"/>
      <c r="BH176" s="124"/>
      <c r="BI176" s="124"/>
      <c r="BJ176" s="124"/>
      <c r="BK176" s="124"/>
      <c r="BL176" s="124"/>
      <c r="BM176" s="124"/>
      <c r="BN176" s="124"/>
      <c r="BO176" s="124"/>
      <c r="BP176" s="124"/>
      <c r="BQ176" s="124"/>
      <c r="BR176" s="124"/>
      <c r="BS176" s="124"/>
      <c r="BT176" s="124"/>
      <c r="BU176" s="124"/>
    </row>
    <row r="177" spans="1:125" s="125" customFormat="1" ht="52.5" customHeight="1" thickBot="1">
      <c r="A177" s="152" t="s">
        <v>193</v>
      </c>
      <c r="B177" s="10">
        <v>104737609</v>
      </c>
      <c r="C177" s="13"/>
      <c r="D177" s="280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  <c r="AV177" s="124"/>
      <c r="AW177" s="124"/>
      <c r="AX177" s="124"/>
      <c r="AY177" s="124"/>
      <c r="AZ177" s="124"/>
      <c r="BA177" s="124"/>
      <c r="BB177" s="124"/>
      <c r="BC177" s="124"/>
      <c r="BD177" s="124"/>
      <c r="BE177" s="124"/>
      <c r="BF177" s="124"/>
      <c r="BG177" s="124"/>
      <c r="BH177" s="124"/>
      <c r="BI177" s="124"/>
      <c r="BJ177" s="124"/>
      <c r="BK177" s="124"/>
      <c r="BL177" s="124"/>
      <c r="BM177" s="124"/>
      <c r="BN177" s="124"/>
      <c r="BO177" s="124"/>
      <c r="BP177" s="124"/>
      <c r="BQ177" s="124"/>
      <c r="BR177" s="124"/>
      <c r="BS177" s="124"/>
      <c r="BT177" s="124"/>
      <c r="BU177" s="124"/>
    </row>
    <row r="178" spans="1:125" s="133" customFormat="1" ht="52.5" customHeight="1" thickBot="1">
      <c r="A178" s="134" t="s">
        <v>195</v>
      </c>
      <c r="B178" s="10">
        <v>3730208</v>
      </c>
      <c r="C178" s="13"/>
      <c r="D178" s="280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2"/>
    </row>
    <row r="179" spans="1:125" s="133" customFormat="1" ht="52.5" customHeight="1" thickBot="1">
      <c r="A179" s="134" t="s">
        <v>196</v>
      </c>
      <c r="B179" s="10">
        <v>111490000</v>
      </c>
      <c r="C179" s="13"/>
      <c r="D179" s="280"/>
      <c r="E179" s="79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32"/>
      <c r="BD179" s="132"/>
      <c r="BE179" s="132"/>
      <c r="BF179" s="132"/>
      <c r="BG179" s="132"/>
      <c r="BH179" s="132"/>
      <c r="BI179" s="132"/>
      <c r="BJ179" s="132"/>
      <c r="BK179" s="132"/>
      <c r="BL179" s="132"/>
      <c r="BM179" s="132"/>
      <c r="BN179" s="132"/>
      <c r="BO179" s="132"/>
      <c r="BP179" s="132"/>
      <c r="BQ179" s="132"/>
      <c r="BR179" s="132"/>
      <c r="BS179" s="132"/>
      <c r="BT179" s="132"/>
      <c r="BU179" s="132"/>
    </row>
    <row r="180" spans="1:125" s="133" customFormat="1" ht="52.5" customHeight="1" thickBot="1">
      <c r="A180" s="134" t="s">
        <v>477</v>
      </c>
      <c r="B180" s="10">
        <v>554050000</v>
      </c>
      <c r="C180" s="13"/>
      <c r="D180" s="280"/>
      <c r="E180" s="79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2"/>
      <c r="BR180" s="132"/>
      <c r="BS180" s="132"/>
      <c r="BT180" s="132"/>
      <c r="BU180" s="132"/>
    </row>
    <row r="181" spans="1:125" s="12" customFormat="1" ht="27.75" customHeight="1" thickBot="1">
      <c r="A181" s="152" t="s">
        <v>60</v>
      </c>
      <c r="B181" s="127"/>
      <c r="C181" s="13"/>
      <c r="D181" s="28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:125" s="133" customFormat="1" ht="29.25" customHeight="1" thickBot="1">
      <c r="A182" s="152" t="s">
        <v>140</v>
      </c>
      <c r="B182" s="127"/>
      <c r="C182" s="13"/>
      <c r="D182" s="280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  <c r="BQ182" s="132"/>
      <c r="BR182" s="132"/>
      <c r="BS182" s="132"/>
      <c r="BT182" s="132"/>
      <c r="BU182" s="132"/>
    </row>
    <row r="183" spans="1:125" s="12" customFormat="1" ht="24.75" customHeight="1" thickBot="1">
      <c r="A183" s="128" t="s">
        <v>272</v>
      </c>
      <c r="B183" s="10">
        <f>1000000-1000000</f>
        <v>0</v>
      </c>
      <c r="C183" s="13"/>
      <c r="D183" s="28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:125" s="12" customFormat="1" ht="24.75" customHeight="1" thickBot="1">
      <c r="A184" s="128" t="s">
        <v>154</v>
      </c>
      <c r="B184" s="10">
        <f>1000000-1000000</f>
        <v>0</v>
      </c>
      <c r="C184" s="13"/>
      <c r="D184" s="28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:125" s="133" customFormat="1" ht="35.25" customHeight="1" thickBot="1">
      <c r="A185" s="153" t="s">
        <v>273</v>
      </c>
      <c r="B185" s="487">
        <v>16000000</v>
      </c>
      <c r="C185" s="13">
        <v>0</v>
      </c>
      <c r="D185" s="280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  <c r="BU185" s="132"/>
    </row>
    <row r="186" spans="1:125" s="133" customFormat="1" ht="52.5" customHeight="1" thickBot="1">
      <c r="A186" s="20" t="s">
        <v>72</v>
      </c>
      <c r="B186" s="260">
        <f>-1600000+1000000+2000000-1000000</f>
        <v>400000</v>
      </c>
      <c r="C186" s="98"/>
      <c r="D186" s="283"/>
      <c r="E186" s="79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  <c r="AU186" s="132"/>
      <c r="AV186" s="132"/>
      <c r="AW186" s="132"/>
      <c r="AX186" s="132"/>
      <c r="AY186" s="132"/>
      <c r="AZ186" s="132"/>
      <c r="BA186" s="132"/>
      <c r="BB186" s="132"/>
      <c r="BC186" s="132"/>
      <c r="BD186" s="132"/>
      <c r="BE186" s="132"/>
      <c r="BF186" s="132"/>
      <c r="BG186" s="132"/>
      <c r="BH186" s="132"/>
      <c r="BI186" s="132"/>
      <c r="BJ186" s="132"/>
      <c r="BK186" s="132"/>
      <c r="BL186" s="132"/>
      <c r="BM186" s="132"/>
      <c r="BN186" s="132"/>
      <c r="BO186" s="132"/>
      <c r="BP186" s="132"/>
      <c r="BQ186" s="132"/>
      <c r="BR186" s="132"/>
      <c r="BS186" s="132"/>
      <c r="BT186" s="132"/>
      <c r="BU186" s="132"/>
    </row>
    <row r="187" spans="1:125" s="113" customFormat="1" ht="44.25" customHeight="1" thickBot="1">
      <c r="A187" s="262" t="s">
        <v>442</v>
      </c>
      <c r="B187" s="167"/>
      <c r="C187" s="285">
        <f>SUM(C143:C179)</f>
        <v>1774724646</v>
      </c>
      <c r="D187" s="285">
        <f>SUM(D143:D186)</f>
        <v>2349852680</v>
      </c>
      <c r="E187" s="143">
        <f>SUM(D187-C187)</f>
        <v>575128034</v>
      </c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112"/>
      <c r="BK187" s="112"/>
      <c r="BL187" s="112"/>
      <c r="BM187" s="112"/>
      <c r="BN187" s="112"/>
      <c r="BO187" s="112"/>
      <c r="BP187" s="112"/>
      <c r="BQ187" s="112"/>
      <c r="BR187" s="112"/>
      <c r="BS187" s="112"/>
      <c r="BT187" s="112"/>
      <c r="BU187" s="112"/>
    </row>
    <row r="188" spans="1:125" s="19" customFormat="1" ht="44.25" customHeight="1" thickBot="1">
      <c r="A188" s="264"/>
      <c r="B188" s="266"/>
      <c r="C188" s="286"/>
      <c r="D188" s="329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</row>
    <row r="189" spans="1:125" s="113" customFormat="1" ht="44.25" customHeight="1" thickBot="1">
      <c r="A189" s="258" t="s">
        <v>266</v>
      </c>
      <c r="B189" s="263"/>
      <c r="C189" s="284"/>
      <c r="D189" s="284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  <c r="BA189" s="112"/>
      <c r="BB189" s="112"/>
      <c r="BC189" s="112"/>
      <c r="BD189" s="112"/>
      <c r="BE189" s="112"/>
      <c r="BF189" s="112"/>
      <c r="BG189" s="112"/>
      <c r="BH189" s="112"/>
      <c r="BI189" s="112"/>
      <c r="BJ189" s="112"/>
      <c r="BK189" s="112"/>
      <c r="BL189" s="112"/>
      <c r="BM189" s="112"/>
      <c r="BN189" s="112"/>
      <c r="BO189" s="112"/>
      <c r="BP189" s="112"/>
      <c r="BQ189" s="112"/>
      <c r="BR189" s="112"/>
      <c r="BS189" s="112"/>
      <c r="BT189" s="112"/>
      <c r="BU189" s="112"/>
    </row>
    <row r="190" spans="1:125" s="12" customFormat="1" ht="29.25" customHeight="1" thickBot="1">
      <c r="A190" s="152" t="s">
        <v>43</v>
      </c>
      <c r="B190" s="10"/>
      <c r="C190" s="13">
        <v>6540000</v>
      </c>
      <c r="D190" s="280">
        <f>SUM(B191:B192)</f>
        <v>2540000</v>
      </c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:125" s="12" customFormat="1" ht="27.75" customHeight="1" thickBot="1">
      <c r="A191" s="128" t="s">
        <v>165</v>
      </c>
      <c r="B191" s="136">
        <f>4000000-4000000</f>
        <v>0</v>
      </c>
      <c r="C191" s="13"/>
      <c r="D191" s="28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:125" s="19" customFormat="1" ht="21" customHeight="1" thickBot="1">
      <c r="A192" s="128" t="s">
        <v>150</v>
      </c>
      <c r="B192" s="136">
        <v>2540000</v>
      </c>
      <c r="C192" s="280"/>
      <c r="D192" s="280"/>
      <c r="E192" s="13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39"/>
      <c r="AP192" s="140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</row>
    <row r="193" spans="1:73" s="12" customFormat="1" ht="22.5" customHeight="1" thickBot="1">
      <c r="A193" s="152" t="s">
        <v>45</v>
      </c>
      <c r="B193" s="10"/>
      <c r="C193" s="13">
        <v>8776228</v>
      </c>
      <c r="D193" s="280">
        <f>SUM(B194)</f>
        <v>2776228.3200000003</v>
      </c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:73" s="12" customFormat="1" ht="30.75" customHeight="1" thickBot="1">
      <c r="A194" s="128" t="s">
        <v>187</v>
      </c>
      <c r="B194" s="10">
        <f>6910416*1.27-6000000</f>
        <v>2776228.3200000003</v>
      </c>
      <c r="C194" s="129"/>
      <c r="D194" s="136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:73" s="133" customFormat="1" ht="30" customHeight="1" thickBot="1">
      <c r="A195" s="152" t="s">
        <v>145</v>
      </c>
      <c r="B195" s="127"/>
      <c r="C195" s="13">
        <v>3000000</v>
      </c>
      <c r="D195" s="280">
        <f>SUM(C195)-3000000</f>
        <v>0</v>
      </c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  <c r="BB195" s="132"/>
      <c r="BC195" s="132"/>
      <c r="BD195" s="132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2"/>
      <c r="BR195" s="132"/>
      <c r="BS195" s="132"/>
      <c r="BT195" s="132"/>
      <c r="BU195" s="132"/>
    </row>
    <row r="196" spans="1:73" s="133" customFormat="1" ht="56.25" customHeight="1" thickBot="1">
      <c r="A196" s="154" t="s">
        <v>151</v>
      </c>
      <c r="B196" s="270"/>
      <c r="C196" s="13">
        <v>6840001</v>
      </c>
      <c r="D196" s="280">
        <f>SUM(C196)</f>
        <v>6840001</v>
      </c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  <c r="AO196" s="132"/>
      <c r="AP196" s="132"/>
      <c r="AQ196" s="132"/>
      <c r="AR196" s="132"/>
      <c r="AS196" s="132"/>
      <c r="AT196" s="132"/>
      <c r="AU196" s="132"/>
      <c r="AV196" s="132"/>
      <c r="AW196" s="132"/>
      <c r="AX196" s="132"/>
      <c r="AY196" s="132"/>
      <c r="AZ196" s="132"/>
      <c r="BA196" s="132"/>
      <c r="BB196" s="132"/>
      <c r="BC196" s="132"/>
      <c r="BD196" s="132"/>
      <c r="BE196" s="132"/>
      <c r="BF196" s="132"/>
      <c r="BG196" s="132"/>
      <c r="BH196" s="132"/>
      <c r="BI196" s="132"/>
      <c r="BJ196" s="132"/>
      <c r="BK196" s="132"/>
      <c r="BL196" s="132"/>
      <c r="BM196" s="132"/>
      <c r="BN196" s="132"/>
      <c r="BO196" s="132"/>
      <c r="BP196" s="132"/>
      <c r="BQ196" s="132"/>
      <c r="BR196" s="132"/>
      <c r="BS196" s="132"/>
      <c r="BT196" s="132"/>
      <c r="BU196" s="132"/>
    </row>
    <row r="197" spans="1:73" s="133" customFormat="1" ht="69.75" customHeight="1" thickBot="1">
      <c r="A197" s="577" t="s">
        <v>269</v>
      </c>
      <c r="B197" s="578"/>
      <c r="C197" s="13">
        <f>28258770+11277600</f>
        <v>39536370</v>
      </c>
      <c r="D197" s="280">
        <f>SUM(C197)+20754000</f>
        <v>60290370</v>
      </c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  <c r="AO197" s="132"/>
      <c r="AP197" s="132"/>
      <c r="AQ197" s="132"/>
      <c r="AR197" s="132"/>
      <c r="AS197" s="132"/>
      <c r="AT197" s="132"/>
      <c r="AU197" s="132"/>
      <c r="AV197" s="132"/>
      <c r="AW197" s="132"/>
      <c r="AX197" s="132"/>
      <c r="AY197" s="132"/>
      <c r="AZ197" s="132"/>
      <c r="BA197" s="132"/>
      <c r="BB197" s="132"/>
      <c r="BC197" s="132"/>
      <c r="BD197" s="132"/>
      <c r="BE197" s="132"/>
      <c r="BF197" s="132"/>
      <c r="BG197" s="132"/>
      <c r="BH197" s="132"/>
      <c r="BI197" s="132"/>
      <c r="BJ197" s="132"/>
      <c r="BK197" s="132"/>
      <c r="BL197" s="132"/>
      <c r="BM197" s="132"/>
      <c r="BN197" s="132"/>
      <c r="BO197" s="132"/>
      <c r="BP197" s="132"/>
      <c r="BQ197" s="132"/>
      <c r="BR197" s="132"/>
      <c r="BS197" s="132"/>
      <c r="BT197" s="132"/>
      <c r="BU197" s="132"/>
    </row>
    <row r="198" spans="1:73" s="133" customFormat="1" ht="69.75" customHeight="1" thickBot="1">
      <c r="A198" s="577" t="s">
        <v>188</v>
      </c>
      <c r="B198" s="578"/>
      <c r="C198" s="13">
        <v>838906063</v>
      </c>
      <c r="D198" s="280">
        <f>SUM(C198)</f>
        <v>838906063</v>
      </c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2"/>
      <c r="AY198" s="132"/>
      <c r="AZ198" s="132"/>
      <c r="BA198" s="132"/>
      <c r="BB198" s="132"/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2"/>
      <c r="BR198" s="132"/>
      <c r="BS198" s="132"/>
      <c r="BT198" s="132"/>
      <c r="BU198" s="132"/>
    </row>
    <row r="199" spans="1:73" s="125" customFormat="1" ht="38.25" customHeight="1" thickBot="1">
      <c r="A199" s="577" t="s">
        <v>189</v>
      </c>
      <c r="B199" s="578"/>
      <c r="C199" s="13">
        <f>393952979-24782235</f>
        <v>369170744</v>
      </c>
      <c r="D199" s="280">
        <f>SUM(C199)+3500000</f>
        <v>372670744</v>
      </c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24"/>
      <c r="AT199" s="124"/>
      <c r="AU199" s="124"/>
      <c r="AV199" s="124"/>
      <c r="AW199" s="124"/>
      <c r="AX199" s="124"/>
      <c r="AY199" s="124"/>
      <c r="AZ199" s="124"/>
      <c r="BA199" s="124"/>
      <c r="BB199" s="124"/>
      <c r="BC199" s="124"/>
      <c r="BD199" s="124"/>
      <c r="BE199" s="124"/>
      <c r="BF199" s="124"/>
      <c r="BG199" s="124"/>
      <c r="BH199" s="124"/>
      <c r="BI199" s="124"/>
      <c r="BJ199" s="124"/>
      <c r="BK199" s="124"/>
      <c r="BL199" s="124"/>
      <c r="BM199" s="124"/>
      <c r="BN199" s="124"/>
      <c r="BO199" s="124"/>
      <c r="BP199" s="124"/>
      <c r="BQ199" s="124"/>
      <c r="BR199" s="124"/>
      <c r="BS199" s="124"/>
      <c r="BT199" s="124"/>
      <c r="BU199" s="124"/>
    </row>
    <row r="200" spans="1:73" s="472" customFormat="1" ht="38.25" customHeight="1" thickBot="1">
      <c r="A200" s="469" t="s">
        <v>418</v>
      </c>
      <c r="B200" s="470"/>
      <c r="C200" s="13"/>
      <c r="D200" s="13">
        <f>4820000</f>
        <v>4820000</v>
      </c>
      <c r="E200" s="471"/>
      <c r="F200" s="471"/>
      <c r="G200" s="471"/>
      <c r="H200" s="471"/>
      <c r="I200" s="471"/>
      <c r="J200" s="471"/>
      <c r="K200" s="471"/>
      <c r="L200" s="471"/>
      <c r="M200" s="471"/>
      <c r="N200" s="471"/>
      <c r="O200" s="471"/>
      <c r="P200" s="471"/>
      <c r="Q200" s="471"/>
      <c r="R200" s="471"/>
      <c r="S200" s="471"/>
      <c r="T200" s="471"/>
      <c r="U200" s="471"/>
      <c r="V200" s="471"/>
      <c r="W200" s="471"/>
      <c r="X200" s="471"/>
      <c r="Y200" s="471"/>
      <c r="Z200" s="471"/>
      <c r="AA200" s="471"/>
      <c r="AB200" s="471"/>
      <c r="AC200" s="471"/>
      <c r="AD200" s="471"/>
      <c r="AE200" s="471"/>
      <c r="AF200" s="471"/>
      <c r="AG200" s="471"/>
      <c r="AH200" s="471"/>
      <c r="AI200" s="471"/>
      <c r="AJ200" s="471"/>
      <c r="AK200" s="471"/>
      <c r="AL200" s="471"/>
      <c r="AM200" s="471"/>
      <c r="AN200" s="471"/>
      <c r="AO200" s="471"/>
      <c r="AP200" s="471"/>
      <c r="AQ200" s="471"/>
      <c r="AR200" s="471"/>
      <c r="AS200" s="471"/>
      <c r="AT200" s="471"/>
      <c r="AU200" s="471"/>
      <c r="AV200" s="471"/>
      <c r="AW200" s="471"/>
      <c r="AX200" s="471"/>
      <c r="AY200" s="471"/>
      <c r="AZ200" s="471"/>
      <c r="BA200" s="471"/>
      <c r="BB200" s="471"/>
      <c r="BC200" s="471"/>
      <c r="BD200" s="471"/>
      <c r="BE200" s="471"/>
      <c r="BF200" s="471"/>
      <c r="BG200" s="471"/>
      <c r="BH200" s="471"/>
      <c r="BI200" s="471"/>
      <c r="BJ200" s="471"/>
      <c r="BK200" s="471"/>
      <c r="BL200" s="471"/>
      <c r="BM200" s="471"/>
      <c r="BN200" s="471"/>
      <c r="BO200" s="471"/>
      <c r="BP200" s="471"/>
      <c r="BQ200" s="471"/>
      <c r="BR200" s="471"/>
      <c r="BS200" s="471"/>
      <c r="BT200" s="471"/>
      <c r="BU200" s="471"/>
    </row>
    <row r="201" spans="1:73" s="472" customFormat="1" ht="38.25" customHeight="1" thickBot="1">
      <c r="A201" s="469" t="s">
        <v>438</v>
      </c>
      <c r="B201" s="470"/>
      <c r="C201" s="13"/>
      <c r="D201" s="280">
        <f>7181000</f>
        <v>7181000</v>
      </c>
      <c r="E201" s="471"/>
      <c r="F201" s="471"/>
      <c r="G201" s="471"/>
      <c r="H201" s="471"/>
      <c r="I201" s="471"/>
      <c r="J201" s="471"/>
      <c r="K201" s="471"/>
      <c r="L201" s="471"/>
      <c r="M201" s="471"/>
      <c r="N201" s="471"/>
      <c r="O201" s="471"/>
      <c r="P201" s="471"/>
      <c r="Q201" s="471"/>
      <c r="R201" s="471"/>
      <c r="S201" s="471"/>
      <c r="T201" s="471"/>
      <c r="U201" s="471"/>
      <c r="V201" s="471"/>
      <c r="W201" s="471"/>
      <c r="X201" s="471"/>
      <c r="Y201" s="471"/>
      <c r="Z201" s="471"/>
      <c r="AA201" s="471"/>
      <c r="AB201" s="471"/>
      <c r="AC201" s="471"/>
      <c r="AD201" s="471"/>
      <c r="AE201" s="471"/>
      <c r="AF201" s="471"/>
      <c r="AG201" s="471"/>
      <c r="AH201" s="471"/>
      <c r="AI201" s="471"/>
      <c r="AJ201" s="471"/>
      <c r="AK201" s="471"/>
      <c r="AL201" s="471"/>
      <c r="AM201" s="471"/>
      <c r="AN201" s="471"/>
      <c r="AO201" s="471"/>
      <c r="AP201" s="471"/>
      <c r="AQ201" s="471"/>
      <c r="AR201" s="471"/>
      <c r="AS201" s="471"/>
      <c r="AT201" s="471"/>
      <c r="AU201" s="471"/>
      <c r="AV201" s="471"/>
      <c r="AW201" s="471"/>
      <c r="AX201" s="471"/>
      <c r="AY201" s="471"/>
      <c r="AZ201" s="471"/>
      <c r="BA201" s="471"/>
      <c r="BB201" s="471"/>
      <c r="BC201" s="471"/>
      <c r="BD201" s="471"/>
      <c r="BE201" s="471"/>
      <c r="BF201" s="471"/>
      <c r="BG201" s="471"/>
      <c r="BH201" s="471"/>
      <c r="BI201" s="471"/>
      <c r="BJ201" s="471"/>
      <c r="BK201" s="471"/>
      <c r="BL201" s="471"/>
      <c r="BM201" s="471"/>
      <c r="BN201" s="471"/>
      <c r="BO201" s="471"/>
      <c r="BP201" s="471"/>
      <c r="BQ201" s="471"/>
      <c r="BR201" s="471"/>
      <c r="BS201" s="471"/>
      <c r="BT201" s="471"/>
      <c r="BU201" s="471"/>
    </row>
    <row r="202" spans="1:73" s="125" customFormat="1" ht="38.25" customHeight="1" thickBot="1">
      <c r="A202" s="152" t="s">
        <v>432</v>
      </c>
      <c r="B202" s="274"/>
      <c r="C202" s="13"/>
      <c r="D202" s="280">
        <v>40000</v>
      </c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  <c r="AC202" s="124"/>
      <c r="AD202" s="124"/>
      <c r="AE202" s="124"/>
      <c r="AF202" s="124"/>
      <c r="AG202" s="124"/>
      <c r="AH202" s="124"/>
      <c r="AI202" s="124"/>
      <c r="AJ202" s="124"/>
      <c r="AK202" s="124"/>
      <c r="AL202" s="124"/>
      <c r="AM202" s="124"/>
      <c r="AN202" s="124"/>
      <c r="AO202" s="124"/>
      <c r="AP202" s="124"/>
      <c r="AQ202" s="124"/>
      <c r="AR202" s="124"/>
      <c r="AS202" s="124"/>
      <c r="AT202" s="124"/>
      <c r="AU202" s="124"/>
      <c r="AV202" s="124"/>
      <c r="AW202" s="124"/>
      <c r="AX202" s="124"/>
      <c r="AY202" s="124"/>
      <c r="AZ202" s="124"/>
      <c r="BA202" s="124"/>
      <c r="BB202" s="124"/>
      <c r="BC202" s="124"/>
      <c r="BD202" s="124"/>
      <c r="BE202" s="124"/>
      <c r="BF202" s="124"/>
      <c r="BG202" s="124"/>
      <c r="BH202" s="124"/>
      <c r="BI202" s="124"/>
      <c r="BJ202" s="124"/>
      <c r="BK202" s="124"/>
      <c r="BL202" s="124"/>
      <c r="BM202" s="124"/>
      <c r="BN202" s="124"/>
      <c r="BO202" s="124"/>
      <c r="BP202" s="124"/>
      <c r="BQ202" s="124"/>
      <c r="BR202" s="124"/>
      <c r="BS202" s="124"/>
      <c r="BT202" s="124"/>
      <c r="BU202" s="124"/>
    </row>
    <row r="203" spans="1:73" s="125" customFormat="1" ht="38.25" customHeight="1" thickBot="1">
      <c r="A203" s="152" t="s">
        <v>444</v>
      </c>
      <c r="B203" s="274"/>
      <c r="C203" s="13"/>
      <c r="D203" s="280">
        <f>278000</f>
        <v>278000</v>
      </c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124"/>
      <c r="AV203" s="124"/>
      <c r="AW203" s="124"/>
      <c r="AX203" s="124"/>
      <c r="AY203" s="124"/>
      <c r="AZ203" s="124"/>
      <c r="BA203" s="124"/>
      <c r="BB203" s="124"/>
      <c r="BC203" s="124"/>
      <c r="BD203" s="124"/>
      <c r="BE203" s="124"/>
      <c r="BF203" s="124"/>
      <c r="BG203" s="124"/>
      <c r="BH203" s="124"/>
      <c r="BI203" s="124"/>
      <c r="BJ203" s="124"/>
      <c r="BK203" s="124"/>
      <c r="BL203" s="124"/>
      <c r="BM203" s="124"/>
      <c r="BN203" s="124"/>
      <c r="BO203" s="124"/>
      <c r="BP203" s="124"/>
      <c r="BQ203" s="124"/>
      <c r="BR203" s="124"/>
      <c r="BS203" s="124"/>
      <c r="BT203" s="124"/>
      <c r="BU203" s="124"/>
    </row>
    <row r="204" spans="1:73" s="133" customFormat="1" ht="38.25" customHeight="1" thickBot="1">
      <c r="A204" s="134" t="s">
        <v>196</v>
      </c>
      <c r="B204" s="151"/>
      <c r="C204" s="13">
        <v>0</v>
      </c>
      <c r="D204" s="280">
        <v>3850000</v>
      </c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  <c r="BQ204" s="132"/>
      <c r="BR204" s="132"/>
      <c r="BS204" s="132"/>
      <c r="BT204" s="132"/>
      <c r="BU204" s="132"/>
    </row>
    <row r="205" spans="1:73" s="113" customFormat="1" ht="66.75" customHeight="1" thickBot="1">
      <c r="A205" s="109" t="s">
        <v>124</v>
      </c>
      <c r="B205" s="114"/>
      <c r="C205" s="111" t="s">
        <v>148</v>
      </c>
      <c r="D205" s="279" t="s">
        <v>149</v>
      </c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2"/>
      <c r="BD205" s="112"/>
      <c r="BE205" s="112"/>
      <c r="BF205" s="112"/>
      <c r="BG205" s="112"/>
      <c r="BH205" s="112"/>
      <c r="BI205" s="112"/>
      <c r="BJ205" s="112"/>
      <c r="BK205" s="112"/>
      <c r="BL205" s="112"/>
      <c r="BM205" s="112"/>
      <c r="BN205" s="112"/>
      <c r="BO205" s="112"/>
      <c r="BP205" s="112"/>
      <c r="BQ205" s="112"/>
      <c r="BR205" s="112"/>
      <c r="BS205" s="112"/>
      <c r="BT205" s="112"/>
      <c r="BU205" s="112"/>
    </row>
    <row r="206" spans="1:73" s="12" customFormat="1" ht="42.75" customHeight="1" thickBot="1">
      <c r="A206" s="577" t="s">
        <v>55</v>
      </c>
      <c r="B206" s="578"/>
      <c r="C206" s="13"/>
      <c r="D206" s="280">
        <f>SUM(B207:B208)</f>
        <v>4020167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:73" s="12" customFormat="1" ht="22.5" customHeight="1" thickBot="1">
      <c r="A207" s="130" t="s">
        <v>441</v>
      </c>
      <c r="B207" s="131">
        <v>2273542</v>
      </c>
      <c r="C207" s="144"/>
      <c r="D207" s="144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:73" s="12" customFormat="1" ht="21.75" customHeight="1" thickBot="1">
      <c r="A208" s="128" t="s">
        <v>440</v>
      </c>
      <c r="B208" s="10">
        <v>1746625</v>
      </c>
      <c r="C208" s="144"/>
      <c r="D208" s="28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:73" s="133" customFormat="1" ht="39.75" customHeight="1" thickBot="1">
      <c r="A209" s="152" t="s">
        <v>160</v>
      </c>
      <c r="B209" s="127"/>
      <c r="C209" s="13">
        <v>10000000</v>
      </c>
      <c r="D209" s="280">
        <f>SUM(C209)-10000000</f>
        <v>0</v>
      </c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  <c r="BQ209" s="132"/>
      <c r="BR209" s="132"/>
      <c r="BS209" s="132"/>
      <c r="BT209" s="132"/>
      <c r="BU209" s="132"/>
    </row>
    <row r="210" spans="1:73" s="113" customFormat="1" ht="44.25" customHeight="1" thickBot="1">
      <c r="A210" s="262" t="s">
        <v>279</v>
      </c>
      <c r="B210" s="167"/>
      <c r="C210" s="285">
        <f>SUM(C190:C209)</f>
        <v>1282769406</v>
      </c>
      <c r="D210" s="285">
        <f>SUM(D190:D209)</f>
        <v>1304212573.3199999</v>
      </c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2"/>
      <c r="AL210" s="112"/>
      <c r="AM210" s="112"/>
      <c r="AN210" s="112"/>
      <c r="AO210" s="112"/>
      <c r="AP210" s="112"/>
      <c r="AQ210" s="112"/>
      <c r="AR210" s="112"/>
      <c r="AS210" s="112"/>
      <c r="AT210" s="112"/>
      <c r="AU210" s="112"/>
      <c r="AV210" s="112"/>
      <c r="AW210" s="112"/>
      <c r="AX210" s="112"/>
      <c r="AY210" s="112"/>
      <c r="AZ210" s="112"/>
      <c r="BA210" s="112"/>
      <c r="BB210" s="112"/>
      <c r="BC210" s="112"/>
      <c r="BD210" s="112"/>
      <c r="BE210" s="112"/>
      <c r="BF210" s="112"/>
      <c r="BG210" s="112"/>
      <c r="BH210" s="112"/>
      <c r="BI210" s="112"/>
      <c r="BJ210" s="112"/>
      <c r="BK210" s="112"/>
      <c r="BL210" s="112"/>
      <c r="BM210" s="112"/>
      <c r="BN210" s="112"/>
      <c r="BO210" s="112"/>
      <c r="BP210" s="112"/>
      <c r="BQ210" s="112"/>
      <c r="BR210" s="112"/>
      <c r="BS210" s="112"/>
      <c r="BT210" s="112"/>
      <c r="BU210" s="112"/>
    </row>
    <row r="211" spans="1:73" s="125" customFormat="1" ht="38.25" customHeight="1" thickBot="1">
      <c r="A211" s="20"/>
      <c r="B211" s="168"/>
      <c r="C211" s="283"/>
      <c r="D211" s="283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/>
      <c r="AF211" s="124"/>
      <c r="AG211" s="124"/>
      <c r="AH211" s="124"/>
      <c r="AI211" s="124"/>
      <c r="AJ211" s="124"/>
      <c r="AK211" s="124"/>
      <c r="AL211" s="124"/>
      <c r="AM211" s="124"/>
      <c r="AN211" s="124"/>
      <c r="AO211" s="124"/>
      <c r="AP211" s="124"/>
      <c r="AQ211" s="124"/>
      <c r="AR211" s="124"/>
      <c r="AS211" s="124"/>
      <c r="AT211" s="124"/>
      <c r="AU211" s="124"/>
      <c r="AV211" s="124"/>
      <c r="AW211" s="124"/>
      <c r="AX211" s="124"/>
      <c r="AY211" s="124"/>
      <c r="AZ211" s="124"/>
      <c r="BA211" s="124"/>
      <c r="BB211" s="124"/>
      <c r="BC211" s="124"/>
      <c r="BD211" s="124"/>
      <c r="BE211" s="124"/>
      <c r="BF211" s="124"/>
      <c r="BG211" s="124"/>
      <c r="BH211" s="124"/>
      <c r="BI211" s="124"/>
      <c r="BJ211" s="124"/>
      <c r="BK211" s="124"/>
      <c r="BL211" s="124"/>
      <c r="BM211" s="124"/>
      <c r="BN211" s="124"/>
      <c r="BO211" s="124"/>
      <c r="BP211" s="124"/>
      <c r="BQ211" s="124"/>
      <c r="BR211" s="124"/>
      <c r="BS211" s="124"/>
      <c r="BT211" s="124"/>
      <c r="BU211" s="124"/>
    </row>
    <row r="212" spans="1:73" s="113" customFormat="1" ht="44.25" customHeight="1" thickBot="1">
      <c r="A212" s="278" t="s">
        <v>271</v>
      </c>
      <c r="B212" s="167"/>
      <c r="C212" s="279"/>
      <c r="D212" s="284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  <c r="AN212" s="112"/>
      <c r="AO212" s="112"/>
      <c r="AP212" s="112"/>
      <c r="AQ212" s="112"/>
      <c r="AR212" s="112"/>
      <c r="AS212" s="112"/>
      <c r="AT212" s="112"/>
      <c r="AU212" s="112"/>
      <c r="AV212" s="112"/>
      <c r="AW212" s="112"/>
      <c r="AX212" s="112"/>
      <c r="AY212" s="112"/>
      <c r="AZ212" s="112"/>
      <c r="BA212" s="112"/>
      <c r="BB212" s="112"/>
      <c r="BC212" s="112"/>
      <c r="BD212" s="112"/>
      <c r="BE212" s="112"/>
      <c r="BF212" s="112"/>
      <c r="BG212" s="112"/>
      <c r="BH212" s="112"/>
      <c r="BI212" s="112"/>
      <c r="BJ212" s="112"/>
      <c r="BK212" s="112"/>
      <c r="BL212" s="112"/>
      <c r="BM212" s="112"/>
      <c r="BN212" s="112"/>
      <c r="BO212" s="112"/>
      <c r="BP212" s="112"/>
      <c r="BQ212" s="112"/>
      <c r="BR212" s="112"/>
      <c r="BS212" s="112"/>
      <c r="BT212" s="112"/>
      <c r="BU212" s="112"/>
    </row>
    <row r="213" spans="1:73" s="133" customFormat="1" ht="52.5" customHeight="1" thickBot="1">
      <c r="A213" s="134" t="s">
        <v>192</v>
      </c>
      <c r="B213" s="151"/>
      <c r="C213" s="145">
        <f>208891270-9978697</f>
        <v>198912573</v>
      </c>
      <c r="D213" s="280">
        <f>SUM(C213)</f>
        <v>198912573</v>
      </c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2"/>
      <c r="BR213" s="132"/>
      <c r="BS213" s="132"/>
      <c r="BT213" s="132"/>
      <c r="BU213" s="132"/>
    </row>
    <row r="214" spans="1:73" s="133" customFormat="1" ht="52.5" customHeight="1" thickBot="1">
      <c r="A214" s="134" t="s">
        <v>193</v>
      </c>
      <c r="B214" s="151"/>
      <c r="C214" s="13">
        <f>90353295-6294847</f>
        <v>84058448</v>
      </c>
      <c r="D214" s="280">
        <f>SUM(C214)</f>
        <v>84058448</v>
      </c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  <c r="BQ214" s="132"/>
      <c r="BR214" s="132"/>
      <c r="BS214" s="132"/>
      <c r="BT214" s="132"/>
      <c r="BU214" s="132"/>
    </row>
    <row r="215" spans="1:73" s="133" customFormat="1" ht="52.5" customHeight="1" thickBot="1">
      <c r="A215" s="134" t="s">
        <v>464</v>
      </c>
      <c r="B215" s="151"/>
      <c r="C215" s="13">
        <f>120147577-7212950</f>
        <v>112934627</v>
      </c>
      <c r="D215" s="280">
        <f>SUM(B216:B217)</f>
        <v>113550627</v>
      </c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</row>
    <row r="216" spans="1:73" s="19" customFormat="1" ht="30" customHeight="1" thickBot="1">
      <c r="A216" s="481" t="s">
        <v>462</v>
      </c>
      <c r="B216" s="482">
        <v>112934627</v>
      </c>
      <c r="C216" s="129"/>
      <c r="D216" s="129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</row>
    <row r="217" spans="1:73" s="19" customFormat="1" ht="30" customHeight="1" thickBot="1">
      <c r="A217" s="483" t="s">
        <v>465</v>
      </c>
      <c r="B217" s="482">
        <v>616000</v>
      </c>
      <c r="C217" s="129"/>
      <c r="D217" s="129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</row>
    <row r="218" spans="1:73" s="133" customFormat="1" ht="52.5" customHeight="1" thickBot="1">
      <c r="A218" s="134" t="s">
        <v>195</v>
      </c>
      <c r="B218" s="151"/>
      <c r="C218" s="13">
        <f>191471499-3651499</f>
        <v>187820000</v>
      </c>
      <c r="D218" s="280">
        <f>SUM(C218)</f>
        <v>187820000</v>
      </c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2"/>
      <c r="BR218" s="132"/>
      <c r="BS218" s="132"/>
      <c r="BT218" s="132"/>
      <c r="BU218" s="132"/>
    </row>
    <row r="219" spans="1:73" s="133" customFormat="1" ht="38.25" customHeight="1" thickBot="1">
      <c r="A219" s="134" t="s">
        <v>196</v>
      </c>
      <c r="B219" s="151"/>
      <c r="C219" s="13">
        <f>103850000-3850000</f>
        <v>100000000</v>
      </c>
      <c r="D219" s="280">
        <f>SUM(C219)</f>
        <v>100000000</v>
      </c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2"/>
      <c r="BR219" s="132"/>
      <c r="BS219" s="132"/>
      <c r="BT219" s="132"/>
      <c r="BU219" s="132"/>
    </row>
    <row r="220" spans="1:73" s="96" customFormat="1" ht="57" thickBot="1">
      <c r="A220" s="465" t="s">
        <v>420</v>
      </c>
      <c r="B220" s="466"/>
      <c r="C220" s="13"/>
      <c r="D220" s="13">
        <v>11000000</v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</row>
    <row r="221" spans="1:73" s="96" customFormat="1" ht="74.25" customHeight="1" thickBot="1">
      <c r="A221" s="465" t="s">
        <v>421</v>
      </c>
      <c r="B221" s="466"/>
      <c r="C221" s="13"/>
      <c r="D221" s="13">
        <v>26666667</v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</row>
    <row r="222" spans="1:73" s="96" customFormat="1" ht="78" customHeight="1" thickBot="1">
      <c r="A222" s="465" t="s">
        <v>422</v>
      </c>
      <c r="B222" s="466"/>
      <c r="C222" s="13"/>
      <c r="D222" s="13">
        <v>233020000</v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/>
    </row>
    <row r="223" spans="1:73" s="96" customFormat="1" ht="52.5" customHeight="1" thickBot="1">
      <c r="A223" s="467" t="s">
        <v>423</v>
      </c>
      <c r="B223" s="468"/>
      <c r="C223" s="13"/>
      <c r="D223" s="13">
        <v>10000000</v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</row>
    <row r="224" spans="1:73" s="96" customFormat="1" ht="52.5" customHeight="1" thickBot="1">
      <c r="A224" s="465" t="s">
        <v>424</v>
      </c>
      <c r="B224" s="466"/>
      <c r="C224" s="13"/>
      <c r="D224" s="13">
        <v>4400000</v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</row>
    <row r="225" spans="1:73" s="96" customFormat="1" ht="52.5" customHeight="1" thickBot="1">
      <c r="A225" s="467" t="s">
        <v>461</v>
      </c>
      <c r="B225" s="466"/>
      <c r="C225" s="13"/>
      <c r="D225" s="13">
        <f>SUM(B226:B227)</f>
        <v>39999539</v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</row>
    <row r="226" spans="1:73" s="19" customFormat="1" ht="30" customHeight="1" thickBot="1">
      <c r="A226" s="481" t="s">
        <v>462</v>
      </c>
      <c r="B226" s="482">
        <v>29999539</v>
      </c>
      <c r="C226" s="129"/>
      <c r="D226" s="129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</row>
    <row r="227" spans="1:73" s="19" customFormat="1" ht="30" customHeight="1" thickBot="1">
      <c r="A227" s="481" t="s">
        <v>463</v>
      </c>
      <c r="B227" s="482">
        <v>10000000</v>
      </c>
      <c r="C227" s="129"/>
      <c r="D227" s="129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</row>
    <row r="228" spans="1:73" s="96" customFormat="1" ht="52.5" customHeight="1" thickBot="1">
      <c r="A228" s="465" t="s">
        <v>472</v>
      </c>
      <c r="B228" s="473"/>
      <c r="C228" s="13"/>
      <c r="D228" s="280">
        <f>18534579+3001622-3001975</f>
        <v>18534226</v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</row>
    <row r="229" spans="1:73" s="133" customFormat="1" ht="38.25" customHeight="1" thickBot="1">
      <c r="A229" s="20" t="s">
        <v>434</v>
      </c>
      <c r="B229" s="463"/>
      <c r="C229" s="98"/>
      <c r="D229" s="283">
        <v>3185809</v>
      </c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32"/>
      <c r="AT229" s="132"/>
      <c r="AU229" s="132"/>
      <c r="AV229" s="132"/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132"/>
      <c r="BG229" s="132"/>
      <c r="BH229" s="132"/>
      <c r="BI229" s="132"/>
      <c r="BJ229" s="132"/>
      <c r="BK229" s="132"/>
      <c r="BL229" s="132"/>
      <c r="BM229" s="132"/>
      <c r="BN229" s="132"/>
      <c r="BO229" s="132"/>
      <c r="BP229" s="132"/>
      <c r="BQ229" s="132"/>
      <c r="BR229" s="132"/>
      <c r="BS229" s="132"/>
      <c r="BT229" s="132"/>
      <c r="BU229" s="132"/>
    </row>
    <row r="230" spans="1:73" s="113" customFormat="1" ht="44.25" customHeight="1" thickBot="1">
      <c r="A230" s="262" t="s">
        <v>280</v>
      </c>
      <c r="B230" s="167"/>
      <c r="C230" s="285">
        <f>SUM(C213:C229)</f>
        <v>683725648</v>
      </c>
      <c r="D230" s="285">
        <f>SUM(D213:D229)</f>
        <v>1031147889</v>
      </c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  <c r="AS230" s="112"/>
      <c r="AT230" s="112"/>
      <c r="AU230" s="112"/>
      <c r="AV230" s="112"/>
      <c r="AW230" s="112"/>
      <c r="AX230" s="112"/>
      <c r="AY230" s="112"/>
      <c r="AZ230" s="112"/>
      <c r="BA230" s="112"/>
      <c r="BB230" s="112"/>
      <c r="BC230" s="112"/>
      <c r="BD230" s="112"/>
      <c r="BE230" s="112"/>
      <c r="BF230" s="112"/>
      <c r="BG230" s="112"/>
      <c r="BH230" s="112"/>
      <c r="BI230" s="112"/>
      <c r="BJ230" s="112"/>
      <c r="BK230" s="112"/>
      <c r="BL230" s="112"/>
      <c r="BM230" s="112"/>
      <c r="BN230" s="112"/>
      <c r="BO230" s="112"/>
      <c r="BP230" s="112"/>
      <c r="BQ230" s="112"/>
      <c r="BR230" s="112"/>
      <c r="BS230" s="112"/>
      <c r="BT230" s="112"/>
      <c r="BU230" s="112"/>
    </row>
    <row r="231" spans="1:73" s="19" customFormat="1" ht="44.25" customHeight="1" thickBot="1">
      <c r="A231" s="264"/>
      <c r="B231" s="266"/>
      <c r="C231" s="286"/>
      <c r="D231" s="286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</row>
    <row r="232" spans="1:73" s="113" customFormat="1" ht="44.25" customHeight="1" thickBot="1">
      <c r="A232" s="278" t="s">
        <v>467</v>
      </c>
      <c r="B232" s="167"/>
      <c r="C232" s="279"/>
      <c r="D232" s="279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  <c r="AP232" s="112"/>
      <c r="AQ232" s="112"/>
      <c r="AR232" s="112"/>
      <c r="AS232" s="112"/>
      <c r="AT232" s="112"/>
      <c r="AU232" s="112"/>
      <c r="AV232" s="112"/>
      <c r="AW232" s="112"/>
      <c r="AX232" s="112"/>
      <c r="AY232" s="112"/>
      <c r="AZ232" s="112"/>
      <c r="BA232" s="112"/>
      <c r="BB232" s="112"/>
      <c r="BC232" s="112"/>
      <c r="BD232" s="112"/>
      <c r="BE232" s="112"/>
      <c r="BF232" s="112"/>
      <c r="BG232" s="112"/>
      <c r="BH232" s="112"/>
      <c r="BI232" s="112"/>
      <c r="BJ232" s="112"/>
      <c r="BK232" s="112"/>
      <c r="BL232" s="112"/>
      <c r="BM232" s="112"/>
      <c r="BN232" s="112"/>
      <c r="BO232" s="112"/>
      <c r="BP232" s="112"/>
      <c r="BQ232" s="112"/>
      <c r="BR232" s="112"/>
      <c r="BS232" s="112"/>
      <c r="BT232" s="112"/>
      <c r="BU232" s="112"/>
    </row>
    <row r="233" spans="1:73" s="133" customFormat="1" ht="38.25" customHeight="1" thickBot="1">
      <c r="A233" s="152" t="s">
        <v>436</v>
      </c>
      <c r="B233" s="464"/>
      <c r="C233" s="13"/>
      <c r="D233" s="13">
        <f>22356945</f>
        <v>22356945</v>
      </c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2"/>
      <c r="AR233" s="132"/>
      <c r="AS233" s="132"/>
      <c r="AT233" s="132"/>
      <c r="AU233" s="132"/>
      <c r="AV233" s="132"/>
      <c r="AW233" s="132"/>
      <c r="AX233" s="132"/>
      <c r="AY233" s="132"/>
      <c r="AZ233" s="132"/>
      <c r="BA233" s="132"/>
      <c r="BB233" s="132"/>
      <c r="BC233" s="132"/>
      <c r="BD233" s="132"/>
      <c r="BE233" s="132"/>
      <c r="BF233" s="132"/>
      <c r="BG233" s="132"/>
      <c r="BH233" s="132"/>
      <c r="BI233" s="132"/>
      <c r="BJ233" s="132"/>
      <c r="BK233" s="132"/>
      <c r="BL233" s="132"/>
      <c r="BM233" s="132"/>
      <c r="BN233" s="132"/>
      <c r="BO233" s="132"/>
      <c r="BP233" s="132"/>
      <c r="BQ233" s="132"/>
      <c r="BR233" s="132"/>
      <c r="BS233" s="132"/>
      <c r="BT233" s="132"/>
      <c r="BU233" s="132"/>
    </row>
    <row r="234" spans="1:73" s="113" customFormat="1" ht="44.25" customHeight="1" thickBot="1">
      <c r="A234" s="262" t="s">
        <v>468</v>
      </c>
      <c r="B234" s="167"/>
      <c r="C234" s="285">
        <f>SUM(C233)</f>
        <v>0</v>
      </c>
      <c r="D234" s="285">
        <f>SUM(D233)</f>
        <v>22356945</v>
      </c>
      <c r="E234" s="143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112"/>
      <c r="AP234" s="112"/>
      <c r="AQ234" s="112"/>
      <c r="AR234" s="112"/>
      <c r="AS234" s="112"/>
      <c r="AT234" s="112"/>
      <c r="AU234" s="112"/>
      <c r="AV234" s="112"/>
      <c r="AW234" s="112"/>
      <c r="AX234" s="112"/>
      <c r="AY234" s="112"/>
      <c r="AZ234" s="112"/>
      <c r="BA234" s="112"/>
      <c r="BB234" s="112"/>
      <c r="BC234" s="112"/>
      <c r="BD234" s="112"/>
      <c r="BE234" s="112"/>
      <c r="BF234" s="112"/>
      <c r="BG234" s="112"/>
      <c r="BH234" s="112"/>
      <c r="BI234" s="112"/>
      <c r="BJ234" s="112"/>
      <c r="BK234" s="112"/>
      <c r="BL234" s="112"/>
      <c r="BM234" s="112"/>
      <c r="BN234" s="112"/>
      <c r="BO234" s="112"/>
      <c r="BP234" s="112"/>
      <c r="BQ234" s="112"/>
      <c r="BR234" s="112"/>
      <c r="BS234" s="112"/>
      <c r="BT234" s="112"/>
      <c r="BU234" s="112"/>
    </row>
    <row r="235" spans="1:73" s="12" customFormat="1" ht="38.25" customHeight="1" thickBot="1">
      <c r="A235" s="134"/>
      <c r="B235" s="260"/>
      <c r="C235" s="485"/>
      <c r="D235" s="484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:73" s="113" customFormat="1" ht="44.25" customHeight="1" thickBot="1">
      <c r="A236" s="258" t="s">
        <v>274</v>
      </c>
      <c r="B236" s="167"/>
      <c r="C236" s="284"/>
      <c r="D236" s="284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  <c r="AN236" s="112"/>
      <c r="AO236" s="112"/>
      <c r="AP236" s="112"/>
      <c r="AQ236" s="112"/>
      <c r="AR236" s="112"/>
      <c r="AS236" s="112"/>
      <c r="AT236" s="112"/>
      <c r="AU236" s="112"/>
      <c r="AV236" s="112"/>
      <c r="AW236" s="112"/>
      <c r="AX236" s="112"/>
      <c r="AY236" s="112"/>
      <c r="AZ236" s="112"/>
      <c r="BA236" s="112"/>
      <c r="BB236" s="112"/>
      <c r="BC236" s="112"/>
      <c r="BD236" s="112"/>
      <c r="BE236" s="112"/>
      <c r="BF236" s="112"/>
      <c r="BG236" s="112"/>
      <c r="BH236" s="112"/>
      <c r="BI236" s="112"/>
      <c r="BJ236" s="112"/>
      <c r="BK236" s="112"/>
      <c r="BL236" s="112"/>
      <c r="BM236" s="112"/>
      <c r="BN236" s="112"/>
      <c r="BO236" s="112"/>
      <c r="BP236" s="112"/>
      <c r="BQ236" s="112"/>
      <c r="BR236" s="112"/>
      <c r="BS236" s="112"/>
      <c r="BT236" s="112"/>
      <c r="BU236" s="112"/>
    </row>
    <row r="237" spans="1:73" s="96" customFormat="1" ht="47.25" customHeight="1" thickBot="1">
      <c r="A237" s="90" t="s">
        <v>75</v>
      </c>
      <c r="B237" s="93"/>
      <c r="C237" s="94">
        <v>1296649872</v>
      </c>
      <c r="D237" s="281">
        <f>SUM(C237)+70455096+20291059-3633448+85000000+18110464</f>
        <v>1486873043</v>
      </c>
      <c r="E237" s="69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</row>
    <row r="238" spans="1:73" s="97" customFormat="1" ht="38.25" customHeight="1" thickBot="1">
      <c r="A238" s="90" t="s">
        <v>281</v>
      </c>
      <c r="B238" s="150"/>
      <c r="C238" s="94">
        <v>58439181</v>
      </c>
      <c r="D238" s="94">
        <f>SUM(C238)+58439181-58439181</f>
        <v>58439181</v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</row>
    <row r="239" spans="1:73" s="97" customFormat="1" ht="38.25" customHeight="1" thickBot="1">
      <c r="A239" s="90" t="s">
        <v>469</v>
      </c>
      <c r="B239" s="486"/>
      <c r="C239" s="94"/>
      <c r="D239" s="283">
        <f>100000000+58351238</f>
        <v>158351238</v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</row>
    <row r="240" spans="1:73" s="113" customFormat="1" ht="44.25" customHeight="1" thickBot="1">
      <c r="A240" s="262" t="s">
        <v>287</v>
      </c>
      <c r="B240" s="167"/>
      <c r="C240" s="285">
        <f>SUM(C237:C239)</f>
        <v>1355089053</v>
      </c>
      <c r="D240" s="285">
        <f>SUM(D237:D239)</f>
        <v>1703663462</v>
      </c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  <c r="AS240" s="112"/>
      <c r="AT240" s="112"/>
      <c r="AU240" s="112"/>
      <c r="AV240" s="112"/>
      <c r="AW240" s="112"/>
      <c r="AX240" s="112"/>
      <c r="AY240" s="112"/>
      <c r="AZ240" s="112"/>
      <c r="BA240" s="112"/>
      <c r="BB240" s="112"/>
      <c r="BC240" s="112"/>
      <c r="BD240" s="112"/>
      <c r="BE240" s="112"/>
      <c r="BF240" s="112"/>
      <c r="BG240" s="112"/>
      <c r="BH240" s="112"/>
      <c r="BI240" s="112"/>
      <c r="BJ240" s="112"/>
      <c r="BK240" s="112"/>
      <c r="BL240" s="112"/>
      <c r="BM240" s="112"/>
      <c r="BN240" s="112"/>
      <c r="BO240" s="112"/>
      <c r="BP240" s="112"/>
      <c r="BQ240" s="112"/>
      <c r="BR240" s="112"/>
      <c r="BS240" s="112"/>
      <c r="BT240" s="112"/>
      <c r="BU240" s="112"/>
    </row>
    <row r="241" spans="1:73" s="269" customFormat="1" ht="44.25" customHeight="1" thickBot="1">
      <c r="A241" s="267"/>
      <c r="B241" s="268"/>
      <c r="C241" s="287"/>
      <c r="D241" s="329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</row>
    <row r="242" spans="1:73" s="78" customFormat="1" ht="33" customHeight="1" thickBot="1">
      <c r="A242" s="120" t="s">
        <v>282</v>
      </c>
      <c r="B242" s="121"/>
      <c r="C242" s="118">
        <f>SUM(C22+C39+C124+C140+C187+C210+C230+C240)</f>
        <v>5532282358</v>
      </c>
      <c r="D242" s="118">
        <f>SUM(D22+D39+D124+D140+D187+D210+D230+D240+D234)</f>
        <v>6950726679.3199997</v>
      </c>
      <c r="E242" s="69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</row>
    <row r="243" spans="1:73" s="11" customFormat="1" ht="93" customHeight="1" thickBot="1">
      <c r="A243" s="75"/>
      <c r="B243" s="75"/>
      <c r="C243" s="79">
        <f>SUM(C242-'6. sz. melléklet'!C185)</f>
        <v>0</v>
      </c>
      <c r="D243" s="79">
        <f>SUM(D242-'6. sz. melléklet'!D185)</f>
        <v>0</v>
      </c>
    </row>
    <row r="244" spans="1:73" s="84" customFormat="1" ht="33" customHeight="1" thickBot="1">
      <c r="A244" s="80"/>
      <c r="B244" s="81"/>
      <c r="C244" s="82"/>
      <c r="D244" s="82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</row>
    <row r="245" spans="1:73" s="84" customFormat="1" ht="30.75" customHeight="1" thickBot="1">
      <c r="A245" s="85"/>
      <c r="B245" s="86"/>
      <c r="C245" s="82"/>
      <c r="D245" s="82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</row>
    <row r="246" spans="1:73" s="84" customFormat="1" ht="34.5" customHeight="1" thickBot="1">
      <c r="A246" s="80"/>
      <c r="B246" s="87"/>
      <c r="C246" s="88"/>
      <c r="D246" s="88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</row>
    <row r="247" spans="1:73" s="84" customFormat="1" ht="15.75" customHeight="1" thickBot="1">
      <c r="A247" s="85"/>
      <c r="B247" s="86"/>
      <c r="C247" s="88"/>
      <c r="D247" s="88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</row>
    <row r="248" spans="1:73" s="84" customFormat="1" ht="15.75" customHeight="1" thickBot="1">
      <c r="A248" s="85"/>
      <c r="B248" s="86"/>
      <c r="C248" s="88"/>
      <c r="D248" s="88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</row>
    <row r="249" spans="1:73" s="84" customFormat="1" ht="15.75" customHeight="1" thickBot="1">
      <c r="A249" s="85"/>
      <c r="B249" s="86"/>
      <c r="C249" s="88"/>
      <c r="D249" s="88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</row>
    <row r="250" spans="1:73" s="84" customFormat="1" ht="15.75" customHeight="1" thickBot="1">
      <c r="A250" s="85"/>
      <c r="B250" s="85"/>
      <c r="C250" s="88"/>
      <c r="D250" s="88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</row>
    <row r="251" spans="1:73" s="84" customFormat="1" ht="15.75" customHeight="1" thickBot="1">
      <c r="A251" s="85"/>
      <c r="B251" s="85"/>
      <c r="C251" s="88"/>
      <c r="D251" s="88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</row>
    <row r="252" spans="1:73" s="84" customFormat="1" ht="15.75" customHeight="1" thickBot="1">
      <c r="A252" s="85"/>
      <c r="B252" s="85"/>
      <c r="C252" s="88"/>
      <c r="D252" s="88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</row>
    <row r="253" spans="1:73" s="84" customFormat="1" ht="15.75" customHeight="1" thickBot="1">
      <c r="A253" s="85"/>
      <c r="B253" s="85"/>
      <c r="C253" s="88"/>
      <c r="D253" s="88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</row>
    <row r="254" spans="1:73" s="84" customFormat="1" ht="15.75" customHeight="1" thickBot="1">
      <c r="A254" s="85"/>
      <c r="B254" s="85"/>
      <c r="C254" s="88"/>
      <c r="D254" s="88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</row>
    <row r="255" spans="1:73" s="84" customFormat="1" ht="15.75" customHeight="1" thickBot="1">
      <c r="A255" s="85"/>
      <c r="B255" s="85"/>
      <c r="C255" s="88"/>
      <c r="D255" s="88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</row>
    <row r="256" spans="1:73" s="84" customFormat="1" ht="15.75" customHeight="1" thickBot="1">
      <c r="A256" s="85"/>
      <c r="B256" s="85"/>
      <c r="C256" s="88"/>
      <c r="D256" s="88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</row>
    <row r="257" spans="1:73" s="84" customFormat="1" ht="15.75" customHeight="1" thickBot="1">
      <c r="A257" s="85"/>
      <c r="B257" s="85"/>
      <c r="C257" s="88"/>
      <c r="D257" s="88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</row>
    <row r="258" spans="1:73" s="84" customFormat="1" ht="15.75" customHeight="1" thickBot="1">
      <c r="A258" s="85"/>
      <c r="B258" s="85"/>
      <c r="C258" s="88"/>
      <c r="D258" s="88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</row>
    <row r="259" spans="1:73" s="84" customFormat="1" ht="15.75" customHeight="1" thickBot="1">
      <c r="A259" s="85"/>
      <c r="B259" s="85"/>
      <c r="C259" s="88"/>
      <c r="D259" s="88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</row>
    <row r="260" spans="1:73" s="84" customFormat="1" ht="15.75" customHeight="1" thickBot="1">
      <c r="A260" s="85"/>
      <c r="B260" s="85"/>
      <c r="C260" s="88"/>
      <c r="D260" s="88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</row>
    <row r="261" spans="1:73" s="84" customFormat="1" ht="15.75" customHeight="1" thickBot="1">
      <c r="A261" s="85"/>
      <c r="B261" s="85"/>
      <c r="C261" s="88"/>
      <c r="D261" s="88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</row>
    <row r="262" spans="1:73" s="84" customFormat="1" ht="15.75" customHeight="1" thickBot="1">
      <c r="A262" s="85"/>
      <c r="B262" s="85"/>
      <c r="C262" s="88"/>
      <c r="D262" s="88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</row>
    <row r="263" spans="1:73" s="84" customFormat="1" ht="15.75" customHeight="1" thickBot="1">
      <c r="A263" s="85"/>
      <c r="B263" s="85"/>
      <c r="C263" s="88"/>
      <c r="D263" s="88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</row>
    <row r="264" spans="1:73" s="84" customFormat="1" ht="15.75" customHeight="1" thickBot="1">
      <c r="A264" s="85"/>
      <c r="B264" s="85"/>
      <c r="C264" s="88"/>
      <c r="D264" s="88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</row>
    <row r="265" spans="1:73" s="84" customFormat="1" ht="15.75" customHeight="1" thickBot="1">
      <c r="A265" s="85"/>
      <c r="B265" s="85"/>
      <c r="C265" s="88"/>
      <c r="D265" s="88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</row>
    <row r="266" spans="1:73" s="84" customFormat="1" ht="15.75" customHeight="1" thickBot="1">
      <c r="A266" s="85"/>
      <c r="B266" s="85"/>
      <c r="C266" s="88"/>
      <c r="D266" s="88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</row>
    <row r="267" spans="1:73" s="84" customFormat="1" ht="15.75" customHeight="1" thickBot="1">
      <c r="A267" s="85"/>
      <c r="B267" s="85"/>
      <c r="C267" s="88"/>
      <c r="D267" s="88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</row>
    <row r="268" spans="1:73" s="84" customFormat="1" ht="15.75" customHeight="1" thickBot="1">
      <c r="A268" s="85"/>
      <c r="B268" s="85"/>
      <c r="C268" s="88"/>
      <c r="D268" s="88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</row>
    <row r="269" spans="1:73" s="84" customFormat="1" ht="15.75" customHeight="1" thickBot="1">
      <c r="A269" s="85"/>
      <c r="B269" s="85"/>
      <c r="C269" s="88"/>
      <c r="D269" s="88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</row>
    <row r="270" spans="1:73" s="84" customFormat="1" ht="15.75" customHeight="1" thickBot="1">
      <c r="A270" s="85"/>
      <c r="B270" s="85"/>
      <c r="C270" s="88"/>
      <c r="D270" s="88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</row>
    <row r="271" spans="1:73" s="84" customFormat="1" ht="15.75" customHeight="1" thickBot="1">
      <c r="A271" s="85"/>
      <c r="B271" s="85"/>
      <c r="C271" s="88"/>
      <c r="D271" s="88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</row>
    <row r="272" spans="1:73" s="84" customFormat="1" ht="15.75" customHeight="1" thickBot="1">
      <c r="A272" s="85"/>
      <c r="B272" s="85"/>
      <c r="C272" s="88"/>
      <c r="D272" s="88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</row>
    <row r="273" spans="1:73" s="84" customFormat="1" ht="15.75" customHeight="1" thickBot="1">
      <c r="A273" s="85"/>
      <c r="B273" s="85"/>
      <c r="C273" s="88"/>
      <c r="D273" s="88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</row>
    <row r="274" spans="1:73" s="84" customFormat="1" ht="15.75" customHeight="1" thickBot="1">
      <c r="A274" s="85"/>
      <c r="B274" s="85"/>
      <c r="C274" s="88"/>
      <c r="D274" s="88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83"/>
    </row>
    <row r="275" spans="1:73" s="84" customFormat="1" ht="15.75" customHeight="1" thickBot="1">
      <c r="A275" s="85"/>
      <c r="B275" s="85"/>
      <c r="C275" s="88"/>
      <c r="D275" s="88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</row>
    <row r="276" spans="1:73" s="84" customFormat="1" ht="15.75" customHeight="1" thickBot="1">
      <c r="A276" s="85"/>
      <c r="B276" s="85"/>
      <c r="C276" s="88"/>
      <c r="D276" s="88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</row>
    <row r="277" spans="1:73" s="84" customFormat="1" ht="15.75" customHeight="1" thickBot="1">
      <c r="A277" s="85"/>
      <c r="B277" s="85"/>
      <c r="C277" s="88"/>
      <c r="D277" s="88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</row>
    <row r="278" spans="1:73" s="84" customFormat="1" ht="15.75" customHeight="1" thickBot="1">
      <c r="A278" s="85"/>
      <c r="B278" s="85"/>
      <c r="C278" s="88"/>
      <c r="D278" s="88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</row>
    <row r="279" spans="1:73" s="84" customFormat="1" ht="15.75" customHeight="1" thickBot="1">
      <c r="A279" s="85"/>
      <c r="B279" s="85"/>
      <c r="C279" s="88"/>
      <c r="D279" s="88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</row>
    <row r="280" spans="1:73" s="84" customFormat="1" ht="15.75" customHeight="1" thickBot="1">
      <c r="A280" s="85"/>
      <c r="B280" s="85"/>
      <c r="C280" s="88"/>
      <c r="D280" s="88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Q280" s="83"/>
      <c r="BR280" s="83"/>
      <c r="BS280" s="83"/>
      <c r="BT280" s="83"/>
      <c r="BU280" s="83"/>
    </row>
    <row r="281" spans="1:73" s="84" customFormat="1" ht="15.75" customHeight="1" thickBot="1">
      <c r="A281" s="85"/>
      <c r="B281" s="85"/>
      <c r="C281" s="88"/>
      <c r="D281" s="88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</row>
    <row r="282" spans="1:73" s="84" customFormat="1" ht="15.75" customHeight="1" thickBot="1">
      <c r="A282" s="85"/>
      <c r="B282" s="85"/>
      <c r="C282" s="88"/>
      <c r="D282" s="88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Q282" s="83"/>
      <c r="BR282" s="83"/>
      <c r="BS282" s="83"/>
      <c r="BT282" s="83"/>
      <c r="BU282" s="83"/>
    </row>
    <row r="283" spans="1:73" s="84" customFormat="1" ht="15.75" customHeight="1" thickBot="1">
      <c r="A283" s="85"/>
      <c r="B283" s="85"/>
      <c r="C283" s="88"/>
      <c r="D283" s="88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Q283" s="83"/>
      <c r="BR283" s="83"/>
      <c r="BS283" s="83"/>
      <c r="BT283" s="83"/>
      <c r="BU283" s="83"/>
    </row>
    <row r="284" spans="1:73" s="84" customFormat="1" ht="15.75" customHeight="1" thickBot="1">
      <c r="A284" s="85"/>
      <c r="B284" s="85"/>
      <c r="C284" s="88"/>
      <c r="D284" s="88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</row>
    <row r="285" spans="1:73" s="84" customFormat="1" ht="15.75" customHeight="1" thickBot="1">
      <c r="A285" s="85"/>
      <c r="B285" s="85"/>
      <c r="C285" s="88"/>
      <c r="D285" s="88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</row>
    <row r="286" spans="1:73" s="84" customFormat="1" ht="15.75" customHeight="1" thickBot="1">
      <c r="A286" s="85"/>
      <c r="B286" s="85"/>
      <c r="C286" s="88"/>
      <c r="D286" s="88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</row>
    <row r="287" spans="1:73" s="84" customFormat="1" ht="15.75" customHeight="1" thickBot="1">
      <c r="A287" s="85"/>
      <c r="B287" s="85"/>
      <c r="C287" s="88"/>
      <c r="D287" s="88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</row>
    <row r="288" spans="1:73" s="84" customFormat="1" ht="15.75" customHeight="1" thickBot="1">
      <c r="A288" s="85"/>
      <c r="B288" s="85"/>
      <c r="C288" s="88"/>
      <c r="D288" s="88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</row>
    <row r="289" spans="1:73" s="84" customFormat="1" ht="15.75" customHeight="1" thickBot="1">
      <c r="A289" s="85"/>
      <c r="B289" s="85"/>
      <c r="C289" s="88"/>
      <c r="D289" s="88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</row>
    <row r="290" spans="1:73" s="84" customFormat="1" ht="15.75" customHeight="1" thickBot="1">
      <c r="A290" s="85"/>
      <c r="B290" s="85"/>
      <c r="C290" s="88"/>
      <c r="D290" s="88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</row>
    <row r="291" spans="1:73" s="84" customFormat="1" ht="15.75" customHeight="1" thickBot="1">
      <c r="A291" s="85"/>
      <c r="B291" s="85"/>
      <c r="C291" s="88"/>
      <c r="D291" s="88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Q291" s="83"/>
      <c r="BR291" s="83"/>
      <c r="BS291" s="83"/>
      <c r="BT291" s="83"/>
      <c r="BU291" s="83"/>
    </row>
    <row r="292" spans="1:73" s="84" customFormat="1" ht="15.75" customHeight="1" thickBot="1">
      <c r="A292" s="85"/>
      <c r="B292" s="85"/>
      <c r="C292" s="88"/>
      <c r="D292" s="88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</row>
    <row r="293" spans="1:73" s="84" customFormat="1" ht="15.75" customHeight="1" thickBot="1">
      <c r="A293" s="85"/>
      <c r="B293" s="85"/>
      <c r="C293" s="88"/>
      <c r="D293" s="88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</row>
    <row r="294" spans="1:73" s="84" customFormat="1" ht="15.75" customHeight="1" thickBot="1">
      <c r="A294" s="85"/>
      <c r="B294" s="85"/>
      <c r="C294" s="88"/>
      <c r="D294" s="88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</row>
    <row r="295" spans="1:73" s="84" customFormat="1" ht="15.75" customHeight="1" thickBot="1">
      <c r="A295" s="85"/>
      <c r="B295" s="85"/>
      <c r="C295" s="88"/>
      <c r="D295" s="88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</row>
    <row r="296" spans="1:73" s="84" customFormat="1" ht="15.75" customHeight="1" thickBot="1">
      <c r="A296" s="85"/>
      <c r="B296" s="85"/>
      <c r="C296" s="88"/>
      <c r="D296" s="88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</row>
    <row r="297" spans="1:73" s="84" customFormat="1" ht="15.75" customHeight="1" thickBot="1">
      <c r="A297" s="85"/>
      <c r="B297" s="85"/>
      <c r="C297" s="88"/>
      <c r="D297" s="88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</row>
    <row r="298" spans="1:73" s="84" customFormat="1" ht="15.75" customHeight="1" thickBot="1">
      <c r="A298" s="85"/>
      <c r="B298" s="85"/>
      <c r="C298" s="88"/>
      <c r="D298" s="88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</row>
    <row r="299" spans="1:73" s="84" customFormat="1" ht="15.75" customHeight="1" thickBot="1">
      <c r="A299" s="85"/>
      <c r="B299" s="85"/>
      <c r="C299" s="88"/>
      <c r="D299" s="88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</row>
    <row r="300" spans="1:73" s="84" customFormat="1" ht="15.75" customHeight="1" thickBot="1">
      <c r="A300" s="85"/>
      <c r="B300" s="85"/>
      <c r="C300" s="88"/>
      <c r="D300" s="88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</row>
    <row r="301" spans="1:73" s="84" customFormat="1" ht="15.75" customHeight="1" thickBot="1">
      <c r="A301" s="85"/>
      <c r="B301" s="85"/>
      <c r="C301" s="88"/>
      <c r="D301" s="88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</row>
    <row r="302" spans="1:73" s="84" customFormat="1" ht="15.75" customHeight="1" thickBot="1">
      <c r="A302" s="85"/>
      <c r="B302" s="85"/>
      <c r="C302" s="88"/>
      <c r="D302" s="88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</row>
    <row r="303" spans="1:73" s="84" customFormat="1" ht="15.75" customHeight="1" thickBot="1">
      <c r="A303" s="85"/>
      <c r="B303" s="85"/>
      <c r="C303" s="88"/>
      <c r="D303" s="88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</row>
    <row r="304" spans="1:73" s="84" customFormat="1" ht="15.75" customHeight="1" thickBot="1">
      <c r="A304" s="85"/>
      <c r="B304" s="85"/>
      <c r="C304" s="88"/>
      <c r="D304" s="88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</row>
    <row r="305" spans="1:73" s="84" customFormat="1" ht="15.75" customHeight="1" thickBot="1">
      <c r="A305" s="85"/>
      <c r="B305" s="85"/>
      <c r="C305" s="88"/>
      <c r="D305" s="88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</row>
    <row r="306" spans="1:73" s="84" customFormat="1" ht="15.75" customHeight="1" thickBot="1">
      <c r="A306" s="85"/>
      <c r="B306" s="85"/>
      <c r="C306" s="88"/>
      <c r="D306" s="88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</row>
    <row r="307" spans="1:73" s="84" customFormat="1" ht="15.75" customHeight="1" thickBot="1">
      <c r="A307" s="85"/>
      <c r="B307" s="85"/>
      <c r="C307" s="88"/>
      <c r="D307" s="88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</row>
    <row r="308" spans="1:73" s="84" customFormat="1" ht="15.75" customHeight="1" thickBot="1">
      <c r="A308" s="85"/>
      <c r="B308" s="85"/>
      <c r="C308" s="88"/>
      <c r="D308" s="88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</row>
    <row r="309" spans="1:73" s="84" customFormat="1" ht="15.75" customHeight="1" thickBot="1">
      <c r="A309" s="85"/>
      <c r="B309" s="85"/>
      <c r="C309" s="88"/>
      <c r="D309" s="88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</row>
    <row r="310" spans="1:73" s="84" customFormat="1" ht="15.75" customHeight="1" thickBot="1">
      <c r="A310" s="85"/>
      <c r="B310" s="85"/>
      <c r="C310" s="88"/>
      <c r="D310" s="88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  <c r="BS310" s="83"/>
      <c r="BT310" s="83"/>
      <c r="BU310" s="83"/>
    </row>
    <row r="311" spans="1:73" s="84" customFormat="1" ht="15.75" customHeight="1" thickBot="1">
      <c r="A311" s="85"/>
      <c r="B311" s="85"/>
      <c r="C311" s="88"/>
      <c r="D311" s="88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  <c r="BS311" s="83"/>
      <c r="BT311" s="83"/>
      <c r="BU311" s="83"/>
    </row>
    <row r="312" spans="1:73" s="84" customFormat="1" ht="15.75" customHeight="1" thickBot="1">
      <c r="A312" s="85"/>
      <c r="B312" s="85"/>
      <c r="C312" s="88"/>
      <c r="D312" s="88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</row>
    <row r="313" spans="1:73" ht="15.75" customHeight="1" thickBot="1">
      <c r="A313" s="14"/>
      <c r="B313" s="14"/>
      <c r="C313" s="8"/>
      <c r="D313" s="8"/>
    </row>
    <row r="314" spans="1:73" ht="15.75" customHeight="1" thickBot="1">
      <c r="A314" s="14"/>
      <c r="B314" s="14"/>
      <c r="C314" s="8"/>
      <c r="D314" s="8"/>
    </row>
    <row r="315" spans="1:73" ht="15.75" customHeight="1" thickBot="1">
      <c r="A315" s="14"/>
      <c r="B315" s="14"/>
      <c r="C315" s="8"/>
      <c r="D315" s="8"/>
    </row>
    <row r="316" spans="1:73" ht="15.75" customHeight="1" thickBot="1">
      <c r="A316" s="14"/>
      <c r="B316" s="14"/>
      <c r="C316" s="8"/>
      <c r="D316" s="8"/>
    </row>
    <row r="317" spans="1:73" ht="15.75" customHeight="1" thickBot="1">
      <c r="A317" s="14"/>
      <c r="B317" s="14"/>
      <c r="C317" s="8"/>
      <c r="D317" s="8"/>
    </row>
    <row r="318" spans="1:73" ht="15.75" customHeight="1" thickBot="1">
      <c r="A318" s="14"/>
      <c r="B318" s="14"/>
      <c r="C318" s="8"/>
      <c r="D318" s="8"/>
    </row>
    <row r="319" spans="1:73" ht="15.75" customHeight="1" thickBot="1">
      <c r="A319" s="14"/>
      <c r="B319" s="14"/>
      <c r="C319" s="8"/>
      <c r="D319" s="8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</row>
    <row r="320" spans="1:73" ht="15.75" customHeight="1" thickBot="1">
      <c r="A320" s="14"/>
      <c r="B320" s="14"/>
      <c r="C320" s="8"/>
      <c r="D320" s="8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</row>
    <row r="321" spans="1:73" ht="15.75" customHeight="1" thickBot="1">
      <c r="A321" s="14"/>
      <c r="B321" s="14"/>
      <c r="C321" s="8"/>
      <c r="D321" s="8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</row>
    <row r="322" spans="1:73" ht="15.75" customHeight="1" thickBot="1">
      <c r="A322" s="14"/>
      <c r="B322" s="14"/>
      <c r="C322" s="8"/>
      <c r="D322" s="8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</row>
    <row r="323" spans="1:73" ht="15.75" customHeight="1" thickBot="1">
      <c r="A323" s="14"/>
      <c r="B323" s="14"/>
      <c r="C323" s="8"/>
      <c r="D323" s="8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</row>
    <row r="324" spans="1:73" ht="15.75" customHeight="1" thickBot="1">
      <c r="A324" s="14"/>
      <c r="B324" s="14"/>
      <c r="C324" s="8"/>
      <c r="D324" s="8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</row>
    <row r="325" spans="1:73" ht="15.75" customHeight="1" thickBot="1">
      <c r="A325" s="14"/>
      <c r="B325" s="14"/>
      <c r="C325" s="8"/>
      <c r="D325" s="8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</row>
    <row r="326" spans="1:73" ht="15.75" customHeight="1" thickBot="1">
      <c r="A326" s="14"/>
      <c r="B326" s="14"/>
      <c r="C326" s="8"/>
      <c r="D326" s="8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</row>
    <row r="327" spans="1:73" ht="15.75" customHeight="1" thickBot="1">
      <c r="A327" s="14"/>
      <c r="B327" s="14"/>
      <c r="C327" s="8"/>
      <c r="D327" s="8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</row>
    <row r="328" spans="1:73" ht="15.75" customHeight="1" thickBot="1">
      <c r="A328" s="14"/>
      <c r="B328" s="14"/>
      <c r="C328" s="8"/>
      <c r="D328" s="8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</row>
    <row r="329" spans="1:73" ht="15.75" customHeight="1" thickBot="1">
      <c r="A329" s="14"/>
      <c r="B329" s="14"/>
      <c r="C329" s="8"/>
      <c r="D329" s="8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</row>
    <row r="330" spans="1:73" ht="15.75" customHeight="1" thickBot="1">
      <c r="A330" s="14"/>
      <c r="B330" s="14"/>
      <c r="C330" s="8"/>
      <c r="D330" s="8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</row>
    <row r="331" spans="1:73" ht="15.75" customHeight="1" thickBot="1">
      <c r="A331" s="14"/>
      <c r="B331" s="14"/>
      <c r="C331" s="8"/>
      <c r="D331" s="8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</row>
    <row r="332" spans="1:73" ht="15.75" customHeight="1" thickBot="1">
      <c r="A332" s="14"/>
      <c r="B332" s="14"/>
      <c r="C332" s="8"/>
      <c r="D332" s="8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</row>
    <row r="333" spans="1:73" ht="15.75" customHeight="1" thickBot="1">
      <c r="A333" s="14"/>
      <c r="B333" s="14"/>
      <c r="C333" s="8"/>
      <c r="D333" s="8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</row>
    <row r="334" spans="1:73" ht="15.75" customHeight="1" thickBot="1">
      <c r="A334" s="14"/>
      <c r="B334" s="14"/>
      <c r="C334" s="8"/>
      <c r="D334" s="8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</row>
    <row r="335" spans="1:73" ht="15.75" customHeight="1" thickBot="1">
      <c r="A335" s="14"/>
      <c r="B335" s="14"/>
      <c r="C335" s="8"/>
      <c r="D335" s="8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</row>
    <row r="336" spans="1:73" ht="15.75" customHeight="1" thickBot="1">
      <c r="A336" s="14"/>
      <c r="B336" s="14"/>
      <c r="C336" s="8"/>
      <c r="D336" s="8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</row>
    <row r="337" spans="1:73" ht="15.75" customHeight="1" thickBot="1">
      <c r="A337" s="14"/>
      <c r="B337" s="14"/>
      <c r="C337" s="8"/>
      <c r="D337" s="8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</row>
    <row r="338" spans="1:73" ht="15.75" customHeight="1" thickBot="1">
      <c r="A338" s="14"/>
      <c r="B338" s="14"/>
      <c r="C338" s="8"/>
      <c r="D338" s="8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</row>
    <row r="339" spans="1:73" ht="15.75" customHeight="1" thickBot="1">
      <c r="A339" s="14"/>
      <c r="B339" s="14"/>
      <c r="C339" s="8"/>
      <c r="D339" s="8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</row>
    <row r="340" spans="1:73" ht="15.75" customHeight="1" thickBot="1">
      <c r="A340" s="14"/>
      <c r="B340" s="14"/>
      <c r="C340" s="8"/>
      <c r="D340" s="8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</row>
    <row r="341" spans="1:73" ht="15.75" customHeight="1" thickBot="1">
      <c r="A341" s="14"/>
      <c r="B341" s="14"/>
      <c r="C341" s="8"/>
      <c r="D341" s="8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</row>
    <row r="342" spans="1:73" ht="15.75" customHeight="1" thickBot="1">
      <c r="A342" s="14"/>
      <c r="B342" s="14"/>
      <c r="C342" s="8"/>
      <c r="D342" s="8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</row>
    <row r="343" spans="1:73" ht="15.75" customHeight="1" thickBot="1">
      <c r="A343" s="14"/>
      <c r="B343" s="14"/>
      <c r="C343" s="8"/>
      <c r="D343" s="8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</row>
    <row r="344" spans="1:73" ht="15.75" customHeight="1" thickBot="1">
      <c r="A344" s="14"/>
      <c r="B344" s="14"/>
      <c r="C344" s="8"/>
      <c r="D344" s="8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</row>
    <row r="345" spans="1:73" ht="15.75" customHeight="1" thickBot="1">
      <c r="A345" s="14"/>
      <c r="B345" s="14"/>
      <c r="C345" s="8"/>
      <c r="D345" s="8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</row>
    <row r="346" spans="1:73" ht="15.75" customHeight="1" thickBot="1">
      <c r="A346" s="14"/>
      <c r="B346" s="14"/>
      <c r="C346" s="8"/>
      <c r="D346" s="8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</row>
    <row r="347" spans="1:73" ht="15.75" customHeight="1" thickBot="1">
      <c r="A347" s="14"/>
      <c r="B347" s="14"/>
      <c r="C347" s="8"/>
      <c r="D347" s="8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</row>
    <row r="348" spans="1:73" ht="15.75" customHeight="1" thickBot="1">
      <c r="A348" s="14"/>
      <c r="B348" s="14"/>
      <c r="C348" s="8"/>
      <c r="D348" s="8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</row>
    <row r="349" spans="1:73" ht="15.75" customHeight="1" thickBot="1">
      <c r="A349" s="14"/>
      <c r="B349" s="14"/>
      <c r="C349" s="8"/>
      <c r="D349" s="8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</row>
    <row r="350" spans="1:73" ht="15.75" customHeight="1" thickBot="1">
      <c r="A350" s="14"/>
      <c r="B350" s="14"/>
      <c r="C350" s="8"/>
      <c r="D350" s="8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</row>
    <row r="351" spans="1:73" ht="15.75" customHeight="1" thickBot="1">
      <c r="A351" s="14"/>
      <c r="B351" s="14"/>
      <c r="C351" s="8"/>
      <c r="D351" s="8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</row>
    <row r="352" spans="1:73" ht="15.75" customHeight="1" thickBot="1">
      <c r="A352" s="14"/>
      <c r="B352" s="14"/>
      <c r="C352" s="8"/>
      <c r="D352" s="8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</row>
    <row r="353" spans="1:73" ht="15.75" customHeight="1" thickBot="1">
      <c r="A353" s="14"/>
      <c r="B353" s="14"/>
      <c r="C353" s="8"/>
      <c r="D353" s="8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</row>
    <row r="354" spans="1:73" ht="15.75" customHeight="1" thickBot="1">
      <c r="A354" s="14"/>
      <c r="B354" s="14"/>
      <c r="C354" s="8"/>
      <c r="D354" s="8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</row>
    <row r="355" spans="1:73" ht="15.75" customHeight="1" thickBot="1">
      <c r="A355" s="14"/>
      <c r="B355" s="14"/>
      <c r="C355" s="8"/>
      <c r="D355" s="8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</row>
    <row r="356" spans="1:73" ht="15.75" customHeight="1" thickBot="1">
      <c r="A356" s="14"/>
      <c r="B356" s="14"/>
      <c r="C356" s="8"/>
      <c r="D356" s="8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</row>
    <row r="357" spans="1:73" ht="15.75" customHeight="1" thickBot="1">
      <c r="A357" s="14"/>
      <c r="B357" s="14"/>
      <c r="C357" s="8"/>
      <c r="D357" s="8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</row>
    <row r="358" spans="1:73" ht="15.75" customHeight="1" thickBot="1">
      <c r="A358" s="14"/>
      <c r="B358" s="14"/>
      <c r="C358" s="8"/>
      <c r="D358" s="8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</row>
    <row r="359" spans="1:73" ht="15.75" customHeight="1" thickBot="1">
      <c r="A359" s="14"/>
      <c r="B359" s="14"/>
      <c r="C359" s="8"/>
      <c r="D359" s="8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</row>
    <row r="360" spans="1:73" ht="15.75" customHeight="1" thickBot="1">
      <c r="A360" s="14"/>
      <c r="B360" s="14"/>
      <c r="C360" s="8"/>
      <c r="D360" s="8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</row>
    <row r="361" spans="1:73" ht="15.75" customHeight="1" thickBot="1">
      <c r="A361" s="14"/>
      <c r="B361" s="14"/>
      <c r="C361" s="8"/>
      <c r="D361" s="8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</row>
    <row r="362" spans="1:73" ht="15.75" customHeight="1" thickBot="1">
      <c r="A362" s="14"/>
      <c r="B362" s="14"/>
      <c r="C362" s="8"/>
      <c r="D362" s="8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</row>
    <row r="363" spans="1:73" ht="15.75" customHeight="1" thickBot="1">
      <c r="A363" s="14"/>
      <c r="B363" s="14"/>
      <c r="C363" s="8"/>
      <c r="D363" s="8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</row>
    <row r="364" spans="1:73" ht="15.75" customHeight="1" thickBot="1">
      <c r="A364" s="14"/>
      <c r="B364" s="14"/>
      <c r="C364" s="8"/>
      <c r="D364" s="8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</row>
    <row r="365" spans="1:73" ht="15.75" customHeight="1" thickBot="1">
      <c r="A365" s="14"/>
      <c r="B365" s="14"/>
      <c r="C365" s="8"/>
      <c r="D365" s="8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</row>
    <row r="366" spans="1:73" ht="15.75" customHeight="1" thickBot="1">
      <c r="A366" s="14"/>
      <c r="B366" s="14"/>
      <c r="C366" s="8"/>
      <c r="D366" s="8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</row>
    <row r="367" spans="1:73" ht="15.75" customHeight="1" thickBot="1">
      <c r="A367" s="14"/>
      <c r="B367" s="14"/>
      <c r="C367" s="8"/>
      <c r="D367" s="8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</row>
    <row r="368" spans="1:73" ht="15.75" customHeight="1" thickBot="1">
      <c r="A368" s="14"/>
      <c r="B368" s="14"/>
      <c r="C368" s="8"/>
      <c r="D368" s="8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</row>
    <row r="369" spans="1:73" ht="15.75" customHeight="1" thickBot="1">
      <c r="A369" s="14"/>
      <c r="B369" s="14"/>
      <c r="C369" s="8"/>
      <c r="D369" s="8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</row>
    <row r="370" spans="1:73" ht="15.75" customHeight="1" thickBot="1">
      <c r="A370" s="14"/>
      <c r="B370" s="14"/>
      <c r="C370" s="8"/>
      <c r="D370" s="8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</row>
    <row r="371" spans="1:73" ht="15.75" customHeight="1" thickBot="1">
      <c r="A371" s="14"/>
      <c r="B371" s="14"/>
      <c r="C371" s="8"/>
      <c r="D371" s="8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</row>
    <row r="372" spans="1:73" ht="15.75" customHeight="1" thickBot="1">
      <c r="A372" s="14"/>
      <c r="B372" s="14"/>
      <c r="C372" s="8"/>
      <c r="D372" s="8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</row>
    <row r="373" spans="1:73" ht="15.75" customHeight="1" thickBot="1">
      <c r="A373" s="14"/>
      <c r="B373" s="14"/>
      <c r="C373" s="8"/>
      <c r="D373" s="8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</row>
    <row r="374" spans="1:73" ht="15.75" customHeight="1" thickBot="1">
      <c r="A374" s="14"/>
      <c r="B374" s="14"/>
      <c r="C374" s="8"/>
      <c r="D374" s="8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</row>
    <row r="375" spans="1:73" ht="15.75" customHeight="1" thickBot="1">
      <c r="A375" s="14"/>
      <c r="B375" s="14"/>
      <c r="C375" s="8"/>
      <c r="D375" s="8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</row>
    <row r="376" spans="1:73" ht="15.75" customHeight="1" thickBot="1">
      <c r="A376" s="14"/>
      <c r="B376" s="14"/>
      <c r="C376" s="8"/>
      <c r="D376" s="8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</row>
    <row r="377" spans="1:73" ht="15.75" customHeight="1" thickBot="1">
      <c r="A377" s="14"/>
      <c r="B377" s="14"/>
      <c r="C377" s="8"/>
      <c r="D377" s="8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</row>
    <row r="378" spans="1:73" ht="15.75" customHeight="1" thickBot="1">
      <c r="A378" s="14"/>
      <c r="B378" s="14"/>
      <c r="C378" s="8"/>
      <c r="D378" s="8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</row>
    <row r="379" spans="1:73" ht="15.75" customHeight="1" thickBot="1">
      <c r="A379" s="14"/>
      <c r="B379" s="14"/>
      <c r="C379" s="8"/>
      <c r="D379" s="8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</row>
    <row r="380" spans="1:73" ht="15.75" customHeight="1" thickBot="1">
      <c r="A380" s="14"/>
      <c r="B380" s="14"/>
      <c r="C380" s="8"/>
      <c r="D380" s="8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</row>
    <row r="381" spans="1:73" ht="15.75" customHeight="1" thickBot="1">
      <c r="A381" s="14"/>
      <c r="B381" s="14"/>
      <c r="C381" s="8"/>
      <c r="D381" s="8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</row>
    <row r="382" spans="1:73" ht="15.75" customHeight="1" thickBot="1">
      <c r="A382" s="14"/>
      <c r="B382" s="14"/>
      <c r="C382" s="8"/>
      <c r="D382" s="8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</row>
    <row r="383" spans="1:73" ht="15.75" customHeight="1" thickBot="1">
      <c r="A383" s="14"/>
      <c r="B383" s="14"/>
      <c r="C383" s="8"/>
      <c r="D383" s="8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</row>
    <row r="384" spans="1:73" ht="15.75" customHeight="1" thickBot="1">
      <c r="A384" s="14"/>
      <c r="B384" s="14"/>
      <c r="C384" s="8"/>
      <c r="D384" s="8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</row>
    <row r="385" spans="1:73" ht="15.75" customHeight="1" thickBot="1">
      <c r="A385" s="14"/>
      <c r="B385" s="14"/>
      <c r="C385" s="8"/>
      <c r="D385" s="8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</row>
    <row r="386" spans="1:73" ht="15.75" customHeight="1" thickBot="1">
      <c r="A386" s="14"/>
      <c r="B386" s="14"/>
      <c r="C386" s="8"/>
      <c r="D386" s="8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</row>
    <row r="387" spans="1:73" ht="15.75" customHeight="1" thickBot="1">
      <c r="A387" s="14"/>
      <c r="B387" s="14"/>
      <c r="C387" s="8"/>
      <c r="D387" s="8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</row>
    <row r="388" spans="1:73" ht="15.75" customHeight="1" thickBot="1">
      <c r="A388" s="14"/>
      <c r="B388" s="14"/>
      <c r="C388" s="8"/>
      <c r="D388" s="8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</row>
    <row r="389" spans="1:73" ht="15.75" customHeight="1" thickBot="1">
      <c r="A389" s="14"/>
      <c r="B389" s="14"/>
      <c r="C389" s="8"/>
      <c r="D389" s="8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</row>
    <row r="390" spans="1:73" ht="15.75" customHeight="1" thickBot="1">
      <c r="A390" s="14"/>
      <c r="B390" s="14"/>
      <c r="C390" s="8"/>
      <c r="D390" s="8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</row>
    <row r="391" spans="1:73" ht="15.75" customHeight="1" thickBot="1">
      <c r="A391" s="14"/>
      <c r="B391" s="14"/>
      <c r="C391" s="8"/>
      <c r="D391" s="8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</row>
    <row r="392" spans="1:73" ht="15.75" customHeight="1" thickBot="1">
      <c r="A392" s="14"/>
      <c r="B392" s="14"/>
      <c r="C392" s="8"/>
      <c r="D392" s="8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</row>
    <row r="393" spans="1:73" ht="15.75" customHeight="1" thickBot="1">
      <c r="A393" s="14"/>
      <c r="B393" s="14"/>
      <c r="C393" s="8"/>
      <c r="D393" s="8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</row>
    <row r="394" spans="1:73" ht="15.75" customHeight="1" thickBot="1">
      <c r="A394" s="14"/>
      <c r="B394" s="14"/>
      <c r="C394" s="8"/>
      <c r="D394" s="8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</row>
    <row r="395" spans="1:73" ht="15.75" customHeight="1" thickBot="1">
      <c r="A395" s="14"/>
      <c r="B395" s="14"/>
      <c r="C395" s="8"/>
      <c r="D395" s="8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</row>
    <row r="396" spans="1:73" ht="15.75" customHeight="1" thickBot="1">
      <c r="A396" s="14"/>
      <c r="B396" s="14"/>
      <c r="C396" s="8"/>
      <c r="D396" s="8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</row>
    <row r="397" spans="1:73" ht="15.75" customHeight="1" thickBot="1">
      <c r="A397" s="14"/>
      <c r="B397" s="14"/>
      <c r="C397" s="8"/>
      <c r="D397" s="8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</row>
    <row r="398" spans="1:73" ht="15.75" customHeight="1" thickBot="1">
      <c r="A398" s="14"/>
      <c r="B398" s="14"/>
      <c r="C398" s="8"/>
      <c r="D398" s="8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</row>
    <row r="399" spans="1:73" ht="15.75" customHeight="1" thickBot="1">
      <c r="A399" s="14"/>
      <c r="B399" s="14"/>
      <c r="C399" s="8"/>
      <c r="D399" s="8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</row>
    <row r="400" spans="1:73" ht="15.75" customHeight="1" thickBot="1">
      <c r="A400" s="14"/>
      <c r="B400" s="14"/>
      <c r="C400" s="8"/>
      <c r="D400" s="8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</row>
    <row r="401" spans="1:73" ht="15.75" customHeight="1" thickBot="1">
      <c r="A401" s="14"/>
      <c r="B401" s="14"/>
      <c r="C401" s="8"/>
      <c r="D401" s="8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</row>
    <row r="402" spans="1:73" ht="15.75" customHeight="1" thickBot="1">
      <c r="A402" s="14"/>
      <c r="B402" s="14"/>
      <c r="C402" s="8"/>
      <c r="D402" s="8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</row>
    <row r="403" spans="1:73" ht="15.75" customHeight="1" thickBot="1">
      <c r="A403" s="14"/>
      <c r="B403" s="14"/>
      <c r="C403" s="8"/>
      <c r="D403" s="8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</row>
    <row r="404" spans="1:73" ht="15.75" customHeight="1" thickBot="1">
      <c r="A404" s="14"/>
      <c r="B404" s="14"/>
      <c r="C404" s="8"/>
      <c r="D404" s="8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</row>
    <row r="405" spans="1:73" ht="15.75" customHeight="1" thickBot="1">
      <c r="A405" s="14"/>
      <c r="B405" s="14"/>
      <c r="C405" s="8"/>
      <c r="D405" s="8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</row>
    <row r="406" spans="1:73" ht="15.75" customHeight="1" thickBot="1">
      <c r="A406" s="14"/>
      <c r="B406" s="14"/>
      <c r="C406" s="8"/>
      <c r="D406" s="8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</row>
    <row r="407" spans="1:73" ht="15.75" customHeight="1" thickBot="1">
      <c r="A407" s="14"/>
      <c r="B407" s="14"/>
      <c r="C407" s="8"/>
      <c r="D407" s="8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</row>
    <row r="408" spans="1:73" ht="15.75" customHeight="1" thickBot="1">
      <c r="A408" s="14"/>
      <c r="B408" s="14"/>
      <c r="C408" s="8"/>
      <c r="D408" s="8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</row>
    <row r="409" spans="1:73" ht="15.75" customHeight="1" thickBot="1">
      <c r="A409" s="14"/>
      <c r="B409" s="14"/>
      <c r="C409" s="8"/>
      <c r="D409" s="8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</row>
    <row r="410" spans="1:73" ht="15.75" customHeight="1" thickBot="1">
      <c r="A410" s="14"/>
      <c r="B410" s="14"/>
      <c r="C410" s="8"/>
      <c r="D410" s="8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</row>
    <row r="411" spans="1:73" ht="15.75" customHeight="1" thickBot="1">
      <c r="A411" s="14"/>
      <c r="B411" s="14"/>
      <c r="C411" s="8"/>
      <c r="D411" s="8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</row>
    <row r="412" spans="1:73" ht="15.75" customHeight="1" thickBot="1">
      <c r="A412" s="14"/>
      <c r="B412" s="14"/>
      <c r="C412" s="8"/>
      <c r="D412" s="8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</row>
    <row r="413" spans="1:73" ht="15.75" customHeight="1" thickBot="1">
      <c r="A413" s="14"/>
      <c r="B413" s="14"/>
      <c r="C413" s="8"/>
      <c r="D413" s="8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</row>
    <row r="414" spans="1:73" ht="15.75" customHeight="1" thickBot="1">
      <c r="A414" s="14"/>
      <c r="B414" s="14"/>
      <c r="C414" s="8"/>
      <c r="D414" s="8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</row>
    <row r="415" spans="1:73" ht="15.75" customHeight="1" thickBot="1">
      <c r="A415" s="14"/>
      <c r="B415" s="14"/>
      <c r="C415" s="8"/>
      <c r="D415" s="8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</row>
    <row r="416" spans="1:73" ht="15.75" customHeight="1" thickBot="1">
      <c r="A416" s="14"/>
      <c r="B416" s="14"/>
      <c r="C416" s="8"/>
      <c r="D416" s="8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</row>
    <row r="417" spans="1:73" ht="15.75" customHeight="1" thickBot="1">
      <c r="A417" s="14"/>
      <c r="B417" s="14"/>
      <c r="C417" s="8"/>
      <c r="D417" s="8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</row>
    <row r="418" spans="1:73" ht="15.75" customHeight="1" thickBot="1">
      <c r="A418" s="14"/>
      <c r="B418" s="14"/>
      <c r="C418" s="8"/>
      <c r="D418" s="8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</row>
    <row r="419" spans="1:73" ht="15.75" customHeight="1" thickBot="1">
      <c r="A419" s="14"/>
      <c r="B419" s="14"/>
      <c r="C419" s="8"/>
      <c r="D419" s="8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</row>
    <row r="420" spans="1:73" ht="15.75" customHeight="1" thickBot="1">
      <c r="A420" s="14"/>
      <c r="B420" s="14"/>
      <c r="C420" s="8"/>
      <c r="D420" s="8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</row>
    <row r="421" spans="1:73" ht="15.75" customHeight="1" thickBot="1">
      <c r="A421" s="14"/>
      <c r="B421" s="14"/>
      <c r="C421" s="8"/>
      <c r="D421" s="8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</row>
    <row r="422" spans="1:73" ht="15.75" customHeight="1" thickBot="1">
      <c r="A422" s="14"/>
      <c r="B422" s="14"/>
      <c r="C422" s="8"/>
      <c r="D422" s="8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</row>
    <row r="423" spans="1:73" ht="15.75" customHeight="1" thickBot="1">
      <c r="A423" s="14"/>
      <c r="B423" s="14"/>
      <c r="C423" s="8"/>
      <c r="D423" s="8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</row>
    <row r="424" spans="1:73" ht="15.75" customHeight="1" thickBot="1">
      <c r="A424" s="14"/>
      <c r="B424" s="14"/>
      <c r="C424" s="8"/>
      <c r="D424" s="8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</row>
    <row r="425" spans="1:73" ht="15.75" customHeight="1" thickBot="1">
      <c r="A425" s="14"/>
      <c r="B425" s="14"/>
      <c r="C425" s="8"/>
      <c r="D425" s="8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</row>
    <row r="426" spans="1:73" ht="15.75" customHeight="1" thickBot="1">
      <c r="A426" s="14"/>
      <c r="B426" s="14"/>
      <c r="C426" s="8"/>
      <c r="D426" s="8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</row>
    <row r="427" spans="1:73" ht="15.75" customHeight="1" thickBot="1">
      <c r="A427" s="14"/>
      <c r="B427" s="14"/>
      <c r="C427" s="8"/>
      <c r="D427" s="8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</row>
    <row r="428" spans="1:73" ht="15.75" customHeight="1" thickBot="1">
      <c r="A428" s="14"/>
      <c r="B428" s="14"/>
      <c r="C428" s="8"/>
      <c r="D428" s="8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</row>
    <row r="429" spans="1:73" ht="15.75" customHeight="1" thickBot="1">
      <c r="A429" s="14"/>
      <c r="B429" s="14"/>
      <c r="C429" s="8"/>
      <c r="D429" s="8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</row>
    <row r="430" spans="1:73" ht="15.75" customHeight="1" thickBot="1">
      <c r="A430" s="14"/>
      <c r="B430" s="14"/>
      <c r="C430" s="8"/>
      <c r="D430" s="8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</row>
    <row r="431" spans="1:73" ht="15.75" customHeight="1" thickBot="1">
      <c r="A431" s="14"/>
      <c r="B431" s="14"/>
      <c r="C431" s="8"/>
      <c r="D431" s="8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</row>
    <row r="432" spans="1:73" ht="15.75" customHeight="1" thickBot="1">
      <c r="A432" s="14"/>
      <c r="B432" s="14"/>
      <c r="C432" s="8"/>
      <c r="D432" s="8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</row>
    <row r="433" spans="1:73" ht="15.75" customHeight="1" thickBot="1">
      <c r="A433" s="14"/>
      <c r="B433" s="14"/>
      <c r="C433" s="8"/>
      <c r="D433" s="8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</row>
    <row r="434" spans="1:73" ht="15.75" customHeight="1" thickBot="1">
      <c r="A434" s="14"/>
      <c r="B434" s="14"/>
      <c r="C434" s="8"/>
      <c r="D434" s="8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</row>
    <row r="435" spans="1:73" ht="15.75" customHeight="1" thickBot="1">
      <c r="A435" s="14"/>
      <c r="B435" s="14"/>
      <c r="C435" s="8"/>
      <c r="D435" s="8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</row>
    <row r="436" spans="1:73" ht="15.75" customHeight="1" thickBot="1">
      <c r="A436" s="14"/>
      <c r="B436" s="14"/>
      <c r="C436" s="8"/>
      <c r="D436" s="8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</row>
    <row r="437" spans="1:73" ht="15.75" customHeight="1" thickBot="1">
      <c r="A437" s="14"/>
      <c r="B437" s="14"/>
      <c r="C437" s="8"/>
      <c r="D437" s="8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</row>
    <row r="438" spans="1:73" ht="15.75" customHeight="1" thickBot="1">
      <c r="A438" s="14"/>
      <c r="B438" s="14"/>
      <c r="C438" s="8"/>
      <c r="D438" s="8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</row>
    <row r="439" spans="1:73" ht="15.75" customHeight="1" thickBot="1">
      <c r="A439" s="14"/>
      <c r="B439" s="14"/>
      <c r="C439" s="8"/>
      <c r="D439" s="8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</row>
    <row r="440" spans="1:73" ht="15.75" customHeight="1" thickBot="1">
      <c r="A440" s="14"/>
      <c r="B440" s="14"/>
      <c r="C440" s="8"/>
      <c r="D440" s="8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</row>
    <row r="441" spans="1:73" ht="15.75" customHeight="1" thickBot="1">
      <c r="A441" s="14"/>
      <c r="B441" s="14"/>
      <c r="C441" s="8"/>
      <c r="D441" s="8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</row>
    <row r="442" spans="1:73" ht="15.75" customHeight="1" thickBot="1">
      <c r="A442" s="14"/>
      <c r="B442" s="14"/>
      <c r="C442" s="8"/>
      <c r="D442" s="8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</row>
    <row r="443" spans="1:73" ht="15.75" customHeight="1" thickBot="1">
      <c r="A443" s="14"/>
      <c r="B443" s="14"/>
      <c r="C443" s="8"/>
      <c r="D443" s="8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</row>
    <row r="444" spans="1:73" ht="15.75" customHeight="1" thickBot="1">
      <c r="A444" s="14"/>
      <c r="B444" s="14"/>
      <c r="C444" s="8"/>
      <c r="D444" s="8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</row>
    <row r="445" spans="1:73" ht="15.75" customHeight="1" thickBot="1">
      <c r="A445" s="14"/>
      <c r="B445" s="14"/>
      <c r="C445" s="8"/>
      <c r="D445" s="3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</row>
    <row r="446" spans="1:73" ht="15.75" customHeight="1" thickBot="1">
      <c r="A446" s="14"/>
      <c r="B446" s="14"/>
      <c r="C446" s="8"/>
      <c r="D446" s="3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</row>
    <row r="447" spans="1:73" ht="15.75" customHeight="1" thickBot="1">
      <c r="A447" s="14"/>
      <c r="B447" s="14"/>
      <c r="C447" s="8"/>
      <c r="D447" s="3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</row>
    <row r="448" spans="1:73" ht="15.75" customHeight="1" thickBot="1">
      <c r="A448" s="14"/>
      <c r="B448" s="14"/>
      <c r="C448" s="8"/>
      <c r="D448" s="3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</row>
    <row r="449" spans="1:73" ht="15.75" customHeight="1" thickBot="1">
      <c r="A449" s="14"/>
      <c r="B449" s="14"/>
      <c r="C449" s="8"/>
      <c r="D449" s="3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</row>
    <row r="450" spans="1:73" ht="15.75" customHeight="1" thickBot="1">
      <c r="A450" s="14"/>
      <c r="B450" s="14"/>
      <c r="C450" s="8"/>
      <c r="D450" s="3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</row>
    <row r="451" spans="1:73" ht="15.75" customHeight="1" thickBot="1">
      <c r="A451" s="14"/>
      <c r="B451" s="14"/>
      <c r="C451" s="8"/>
      <c r="D451" s="3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</row>
    <row r="452" spans="1:73" ht="15.75" customHeight="1" thickBot="1">
      <c r="A452" s="14"/>
      <c r="B452" s="14"/>
      <c r="C452" s="8"/>
      <c r="D452" s="3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</row>
    <row r="453" spans="1:73" ht="15.75" customHeight="1" thickBot="1">
      <c r="A453" s="14"/>
      <c r="B453" s="14"/>
      <c r="C453" s="8"/>
      <c r="D453" s="3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</row>
    <row r="454" spans="1:73" ht="15.75" customHeight="1" thickBot="1">
      <c r="A454" s="14"/>
      <c r="B454" s="14"/>
      <c r="C454" s="8"/>
      <c r="D454" s="3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</row>
    <row r="455" spans="1:73" ht="15.75" customHeight="1" thickBot="1">
      <c r="A455" s="14"/>
      <c r="B455" s="14"/>
      <c r="C455" s="8"/>
      <c r="D455" s="3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</row>
    <row r="456" spans="1:73" ht="15.75" customHeight="1" thickBot="1">
      <c r="A456" s="14"/>
      <c r="B456" s="14"/>
      <c r="C456" s="8"/>
      <c r="D456" s="3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</row>
    <row r="457" spans="1:73" ht="15.75" customHeight="1" thickBot="1">
      <c r="A457" s="14"/>
      <c r="B457" s="14"/>
      <c r="C457" s="8"/>
      <c r="D457" s="3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</row>
    <row r="458" spans="1:73" ht="15.75" customHeight="1" thickBot="1">
      <c r="A458" s="14"/>
      <c r="B458" s="14"/>
      <c r="C458" s="8"/>
      <c r="D458" s="3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</row>
    <row r="459" spans="1:73" ht="15.75" customHeight="1" thickBot="1">
      <c r="A459" s="14"/>
      <c r="B459" s="14"/>
      <c r="C459" s="8"/>
      <c r="D459" s="3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</row>
    <row r="460" spans="1:73" ht="15.75" customHeight="1" thickBot="1">
      <c r="A460" s="14"/>
      <c r="B460" s="14"/>
      <c r="C460" s="8"/>
      <c r="D460" s="3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</row>
    <row r="461" spans="1:73" ht="15.75" customHeight="1" thickBot="1">
      <c r="A461" s="14"/>
      <c r="B461" s="14"/>
      <c r="C461" s="8"/>
      <c r="D461" s="3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</row>
    <row r="462" spans="1:73" ht="15.75" customHeight="1" thickBot="1">
      <c r="A462" s="14"/>
      <c r="B462" s="14"/>
      <c r="C462" s="8"/>
      <c r="D462" s="3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</row>
    <row r="463" spans="1:73" ht="15.75" customHeight="1" thickBot="1">
      <c r="A463" s="14"/>
      <c r="B463" s="14"/>
      <c r="C463" s="8"/>
      <c r="D463" s="3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</row>
    <row r="464" spans="1:73" ht="15.75" customHeight="1" thickBot="1">
      <c r="A464" s="14"/>
      <c r="B464" s="14"/>
      <c r="C464" s="8"/>
      <c r="D464" s="3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</row>
    <row r="465" spans="1:73" ht="15.75" customHeight="1" thickBot="1">
      <c r="A465" s="14"/>
      <c r="B465" s="14"/>
      <c r="C465" s="8"/>
      <c r="D465" s="3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</row>
    <row r="466" spans="1:73" ht="15.75" customHeight="1" thickBot="1">
      <c r="A466" s="14"/>
      <c r="B466" s="14"/>
      <c r="C466" s="8"/>
      <c r="D466" s="3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</row>
    <row r="467" spans="1:73" ht="15.75" customHeight="1" thickBot="1">
      <c r="A467" s="14"/>
      <c r="B467" s="14"/>
      <c r="C467" s="8"/>
      <c r="D467" s="3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</row>
    <row r="468" spans="1:73" ht="15.75" customHeight="1" thickBot="1">
      <c r="A468" s="14"/>
      <c r="B468" s="14"/>
      <c r="C468" s="8"/>
      <c r="D468" s="3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</row>
    <row r="469" spans="1:73" ht="15.75" customHeight="1" thickBot="1">
      <c r="A469" s="14"/>
      <c r="B469" s="14"/>
      <c r="C469" s="8"/>
      <c r="D469" s="3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</row>
    <row r="470" spans="1:73" ht="15.75" customHeight="1" thickBot="1">
      <c r="A470" s="14"/>
      <c r="B470" s="14"/>
      <c r="C470" s="8"/>
      <c r="D470" s="3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</row>
    <row r="471" spans="1:73" ht="15.75" customHeight="1" thickBot="1">
      <c r="A471" s="14"/>
      <c r="B471" s="14"/>
      <c r="C471" s="8"/>
      <c r="D471" s="3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</row>
    <row r="472" spans="1:73" ht="15.75" customHeight="1" thickBot="1">
      <c r="A472" s="14"/>
      <c r="B472" s="14"/>
      <c r="C472" s="8"/>
      <c r="D472" s="3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</row>
    <row r="473" spans="1:73" ht="15.75" customHeight="1" thickBot="1">
      <c r="A473" s="14"/>
      <c r="B473" s="14"/>
      <c r="C473" s="8"/>
      <c r="D473" s="3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</row>
    <row r="474" spans="1:73" ht="15.75" customHeight="1" thickBot="1">
      <c r="A474" s="14"/>
      <c r="B474" s="14"/>
      <c r="C474" s="8"/>
      <c r="D474" s="3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</row>
    <row r="475" spans="1:73" ht="15.75" customHeight="1" thickBot="1">
      <c r="A475" s="14"/>
      <c r="B475" s="14"/>
      <c r="C475" s="8"/>
      <c r="D475" s="3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</row>
    <row r="476" spans="1:73" ht="15.75" customHeight="1" thickBot="1">
      <c r="A476" s="14"/>
      <c r="B476" s="14"/>
      <c r="C476" s="8"/>
      <c r="D476" s="3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</row>
    <row r="477" spans="1:73" ht="15.75" customHeight="1" thickBot="1">
      <c r="A477" s="14"/>
      <c r="B477" s="14"/>
      <c r="C477" s="8"/>
      <c r="D477" s="3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</row>
    <row r="478" spans="1:73" ht="15.75" customHeight="1" thickBot="1">
      <c r="A478" s="14"/>
      <c r="B478" s="14"/>
      <c r="C478" s="8"/>
      <c r="D478" s="3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</row>
    <row r="479" spans="1:73" ht="15.75" customHeight="1" thickBot="1">
      <c r="A479" s="14"/>
      <c r="B479" s="14"/>
      <c r="C479" s="8"/>
      <c r="D479" s="3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</row>
    <row r="480" spans="1:73" ht="15.75" customHeight="1" thickBot="1">
      <c r="A480" s="14"/>
      <c r="B480" s="14"/>
      <c r="C480" s="8"/>
      <c r="D480" s="3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</row>
    <row r="481" spans="1:73" ht="15.75" customHeight="1" thickBot="1">
      <c r="A481" s="14"/>
      <c r="B481" s="14"/>
      <c r="C481" s="8"/>
      <c r="D481" s="3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</row>
    <row r="482" spans="1:73" ht="15.75" customHeight="1" thickBot="1">
      <c r="A482" s="14"/>
      <c r="B482" s="14"/>
      <c r="C482" s="8"/>
      <c r="D482" s="3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</row>
    <row r="483" spans="1:73" ht="15.75" customHeight="1" thickBot="1">
      <c r="A483" s="14"/>
      <c r="B483" s="14"/>
      <c r="C483" s="8"/>
      <c r="D483" s="3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</row>
    <row r="484" spans="1:73" ht="15.75" customHeight="1" thickBot="1">
      <c r="A484" s="14"/>
      <c r="B484" s="14"/>
      <c r="C484" s="8"/>
      <c r="D484" s="3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</row>
    <row r="485" spans="1:73" ht="15.75" customHeight="1" thickBot="1">
      <c r="A485" s="14"/>
      <c r="B485" s="14"/>
      <c r="C485" s="8"/>
      <c r="D485" s="3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</row>
    <row r="486" spans="1:73" ht="15.75" customHeight="1" thickBot="1">
      <c r="A486" s="14"/>
      <c r="B486" s="14"/>
      <c r="C486" s="8"/>
      <c r="D486" s="3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</row>
    <row r="487" spans="1:73" ht="15.75" customHeight="1" thickBot="1">
      <c r="A487" s="14"/>
      <c r="B487" s="14"/>
      <c r="C487" s="8"/>
      <c r="D487" s="3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</row>
    <row r="488" spans="1:73" ht="15.75" customHeight="1" thickBot="1">
      <c r="A488" s="14"/>
      <c r="B488" s="14"/>
      <c r="C488" s="8"/>
      <c r="D488" s="3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</row>
    <row r="489" spans="1:73" ht="15.75" customHeight="1" thickBot="1">
      <c r="A489" s="14"/>
      <c r="B489" s="14"/>
      <c r="C489" s="8"/>
      <c r="D489" s="3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</row>
    <row r="490" spans="1:73" ht="15.75" customHeight="1" thickBot="1">
      <c r="A490" s="14"/>
      <c r="B490" s="14"/>
      <c r="C490" s="8"/>
      <c r="D490" s="3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</row>
    <row r="491" spans="1:73" ht="15.75" customHeight="1" thickBot="1">
      <c r="A491" s="14"/>
      <c r="B491" s="14"/>
      <c r="C491" s="8"/>
      <c r="D491" s="3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</row>
    <row r="492" spans="1:73" ht="15.75" customHeight="1" thickBot="1">
      <c r="A492" s="14"/>
      <c r="B492" s="14"/>
      <c r="C492" s="8"/>
      <c r="D492" s="3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</row>
    <row r="493" spans="1:73" ht="15.75" customHeight="1" thickBot="1">
      <c r="A493" s="14"/>
      <c r="B493" s="14"/>
      <c r="C493" s="8"/>
      <c r="D493" s="3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</row>
    <row r="494" spans="1:73" ht="15.75" customHeight="1" thickBot="1">
      <c r="A494" s="14"/>
      <c r="B494" s="14"/>
      <c r="C494" s="8"/>
      <c r="D494" s="3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</row>
    <row r="495" spans="1:73" ht="15.75" customHeight="1" thickBot="1">
      <c r="A495" s="14"/>
      <c r="B495" s="14"/>
      <c r="C495" s="8"/>
      <c r="D495" s="3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</row>
    <row r="496" spans="1:73" ht="15.75" customHeight="1" thickBot="1">
      <c r="A496" s="14"/>
      <c r="B496" s="14"/>
      <c r="C496" s="8"/>
      <c r="D496" s="3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</row>
    <row r="497" spans="1:73" ht="15.75" customHeight="1" thickBot="1">
      <c r="A497" s="14"/>
      <c r="B497" s="14"/>
      <c r="C497" s="8"/>
      <c r="D497" s="3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</row>
    <row r="498" spans="1:73" ht="15.75" customHeight="1" thickBot="1">
      <c r="A498" s="14"/>
      <c r="B498" s="14"/>
      <c r="C498" s="8"/>
      <c r="D498" s="3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</row>
    <row r="499" spans="1:73" ht="15.75" customHeight="1" thickBot="1">
      <c r="A499" s="14"/>
      <c r="B499" s="14"/>
      <c r="C499" s="8"/>
      <c r="D499" s="3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</row>
    <row r="500" spans="1:73" ht="15.75" customHeight="1" thickBot="1">
      <c r="A500" s="14"/>
      <c r="B500" s="14"/>
      <c r="C500" s="8"/>
      <c r="D500" s="3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</row>
    <row r="501" spans="1:73" ht="15.75" customHeight="1" thickBot="1">
      <c r="A501" s="14"/>
      <c r="B501" s="14"/>
      <c r="C501" s="8"/>
      <c r="D501" s="3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</row>
    <row r="502" spans="1:73" ht="15.75" customHeight="1" thickBot="1">
      <c r="A502" s="14"/>
      <c r="B502" s="14"/>
      <c r="C502" s="8"/>
      <c r="D502" s="3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</row>
    <row r="503" spans="1:73" ht="15.75" customHeight="1" thickBot="1">
      <c r="A503" s="14"/>
      <c r="B503" s="14"/>
      <c r="C503" s="8"/>
      <c r="D503" s="3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</row>
    <row r="504" spans="1:73" ht="15.75" customHeight="1" thickBot="1">
      <c r="A504" s="14"/>
      <c r="B504" s="14"/>
      <c r="C504" s="8"/>
      <c r="D504" s="3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</row>
    <row r="505" spans="1:73" ht="15.75" customHeight="1" thickBot="1">
      <c r="A505" s="14"/>
      <c r="B505" s="14"/>
      <c r="C505" s="8"/>
      <c r="D505" s="3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</row>
    <row r="506" spans="1:73" ht="15.75" customHeight="1" thickBot="1">
      <c r="A506" s="14"/>
      <c r="B506" s="14"/>
      <c r="C506" s="8"/>
      <c r="D506" s="3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</row>
    <row r="507" spans="1:73" ht="15.75" customHeight="1" thickBot="1">
      <c r="A507" s="14"/>
      <c r="B507" s="14"/>
      <c r="C507" s="8"/>
      <c r="D507" s="3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</row>
    <row r="508" spans="1:73" ht="15.75" customHeight="1" thickBot="1">
      <c r="A508" s="14"/>
      <c r="B508" s="14"/>
      <c r="C508" s="8"/>
      <c r="D508" s="3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</row>
    <row r="509" spans="1:73" ht="15.75" customHeight="1" thickBot="1">
      <c r="A509" s="14"/>
      <c r="B509" s="14"/>
      <c r="C509" s="8"/>
      <c r="D509" s="3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</row>
    <row r="510" spans="1:73" ht="15.75" customHeight="1" thickBot="1">
      <c r="A510" s="14"/>
      <c r="B510" s="14"/>
      <c r="C510" s="8"/>
      <c r="D510" s="3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</row>
    <row r="511" spans="1:73" ht="15.75" customHeight="1" thickBot="1">
      <c r="A511" s="14"/>
      <c r="B511" s="14"/>
      <c r="C511" s="8"/>
      <c r="D511" s="3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</row>
    <row r="512" spans="1:73" ht="15.75" customHeight="1" thickBot="1">
      <c r="A512" s="14"/>
      <c r="B512" s="14"/>
      <c r="C512" s="8"/>
      <c r="D512" s="3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</row>
    <row r="513" spans="1:73" ht="15.75" customHeight="1" thickBot="1">
      <c r="A513" s="14"/>
      <c r="B513" s="14"/>
      <c r="C513" s="8"/>
      <c r="D513" s="3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</row>
    <row r="514" spans="1:73" ht="15.75" customHeight="1" thickBot="1">
      <c r="A514" s="14"/>
      <c r="B514" s="14"/>
      <c r="C514" s="8"/>
      <c r="D514" s="3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</row>
    <row r="515" spans="1:73" ht="15.75" customHeight="1" thickBot="1">
      <c r="A515" s="14"/>
      <c r="B515" s="14"/>
      <c r="C515" s="8"/>
      <c r="D515" s="3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</row>
    <row r="516" spans="1:73" ht="15.75" customHeight="1" thickBot="1">
      <c r="A516" s="14"/>
      <c r="B516" s="14"/>
      <c r="C516" s="8"/>
      <c r="D516" s="3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</row>
    <row r="517" spans="1:73" ht="15.75" customHeight="1" thickBot="1">
      <c r="A517" s="14"/>
      <c r="B517" s="14"/>
      <c r="C517" s="8"/>
      <c r="D517" s="3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</row>
    <row r="518" spans="1:73" ht="15.75" customHeight="1" thickBot="1">
      <c r="A518" s="14"/>
      <c r="B518" s="14"/>
      <c r="C518" s="8"/>
      <c r="D518" s="3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</row>
    <row r="519" spans="1:73" ht="15.75" customHeight="1" thickBot="1">
      <c r="A519" s="14"/>
      <c r="B519" s="14"/>
      <c r="C519" s="8"/>
      <c r="D519" s="3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</row>
    <row r="520" spans="1:73" ht="15.75" customHeight="1" thickBot="1">
      <c r="A520" s="14"/>
      <c r="B520" s="14"/>
      <c r="C520" s="8"/>
      <c r="D520" s="3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</row>
    <row r="521" spans="1:73" ht="15.75" customHeight="1" thickBot="1">
      <c r="A521" s="14"/>
      <c r="B521" s="14"/>
      <c r="C521" s="8"/>
      <c r="D521" s="3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</row>
    <row r="522" spans="1:73" ht="15.75" customHeight="1" thickBot="1">
      <c r="A522" s="14"/>
      <c r="B522" s="14"/>
      <c r="C522" s="8"/>
      <c r="D522" s="3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</row>
    <row r="523" spans="1:73" ht="15.75" customHeight="1" thickBot="1">
      <c r="A523" s="14"/>
      <c r="B523" s="14"/>
      <c r="C523" s="8"/>
      <c r="D523" s="3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</row>
    <row r="524" spans="1:73" ht="15.75" customHeight="1" thickBot="1">
      <c r="A524" s="14"/>
      <c r="B524" s="14"/>
      <c r="C524" s="8"/>
      <c r="D524" s="3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</row>
    <row r="525" spans="1:73" ht="15.75" customHeight="1" thickBot="1">
      <c r="A525" s="14"/>
      <c r="B525" s="14"/>
      <c r="C525" s="8"/>
      <c r="D525" s="3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</row>
    <row r="526" spans="1:73" ht="15.75" customHeight="1" thickBot="1">
      <c r="A526" s="14"/>
      <c r="B526" s="14"/>
      <c r="C526" s="8"/>
      <c r="D526" s="3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</row>
    <row r="527" spans="1:73" ht="15.75" customHeight="1" thickBot="1">
      <c r="A527" s="14"/>
      <c r="B527" s="14"/>
      <c r="C527" s="8"/>
      <c r="D527" s="3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</row>
    <row r="528" spans="1:73" ht="15.75" customHeight="1" thickBot="1">
      <c r="A528" s="14"/>
      <c r="B528" s="14"/>
      <c r="C528" s="8"/>
      <c r="D528" s="3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</row>
    <row r="529" spans="1:73" ht="15.75" customHeight="1" thickBot="1">
      <c r="A529" s="14"/>
      <c r="B529" s="14"/>
      <c r="C529" s="8"/>
      <c r="D529" s="3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</row>
    <row r="530" spans="1:73" ht="15.75" customHeight="1" thickBot="1">
      <c r="A530" s="14"/>
      <c r="B530" s="14"/>
      <c r="C530" s="8"/>
      <c r="D530" s="3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</row>
    <row r="531" spans="1:73" ht="15.75" customHeight="1" thickBot="1">
      <c r="A531" s="14"/>
      <c r="B531" s="14"/>
      <c r="C531" s="8"/>
      <c r="D531" s="3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</row>
    <row r="532" spans="1:73" ht="15.75" customHeight="1" thickBot="1">
      <c r="A532" s="14"/>
      <c r="B532" s="14"/>
      <c r="C532" s="8"/>
      <c r="D532" s="3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</row>
    <row r="533" spans="1:73" ht="15.75" customHeight="1" thickBot="1">
      <c r="A533" s="14"/>
      <c r="B533" s="14"/>
      <c r="C533" s="8"/>
      <c r="D533" s="3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</row>
    <row r="534" spans="1:73" ht="15.75" customHeight="1" thickBot="1">
      <c r="A534" s="14"/>
      <c r="B534" s="14"/>
      <c r="C534" s="8"/>
      <c r="D534" s="3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</row>
    <row r="535" spans="1:73" ht="15.75" customHeight="1" thickBot="1">
      <c r="A535" s="14"/>
      <c r="B535" s="14"/>
      <c r="C535" s="8"/>
      <c r="D535" s="3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</row>
    <row r="536" spans="1:73" ht="15.75" customHeight="1" thickBot="1">
      <c r="A536" s="14"/>
      <c r="B536" s="14"/>
      <c r="C536" s="8"/>
      <c r="D536" s="3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</row>
    <row r="537" spans="1:73" ht="15.75" customHeight="1" thickBot="1">
      <c r="A537" s="14"/>
      <c r="B537" s="14"/>
      <c r="C537" s="8"/>
      <c r="D537" s="3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</row>
    <row r="538" spans="1:73" ht="15.75" customHeight="1" thickBot="1">
      <c r="A538" s="14"/>
      <c r="B538" s="14"/>
      <c r="C538" s="8"/>
      <c r="D538" s="3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</row>
    <row r="539" spans="1:73" ht="15.75" customHeight="1" thickBot="1">
      <c r="A539" s="14"/>
      <c r="B539" s="14"/>
      <c r="C539" s="8"/>
      <c r="D539" s="3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</row>
    <row r="540" spans="1:73" ht="15.75" customHeight="1" thickBot="1">
      <c r="A540" s="14"/>
      <c r="B540" s="14"/>
      <c r="C540" s="8"/>
      <c r="D540" s="3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</row>
    <row r="541" spans="1:73" ht="15.75" customHeight="1" thickBot="1">
      <c r="A541" s="14"/>
      <c r="B541" s="14"/>
      <c r="C541" s="8"/>
      <c r="D541" s="3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</row>
    <row r="542" spans="1:73" ht="15.75" customHeight="1" thickBot="1">
      <c r="A542" s="14"/>
      <c r="B542" s="14"/>
      <c r="C542" s="8"/>
      <c r="D542" s="3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</row>
    <row r="543" spans="1:73" ht="15.75" customHeight="1" thickBot="1">
      <c r="A543" s="14"/>
      <c r="B543" s="14"/>
      <c r="C543" s="8"/>
      <c r="D543" s="3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</row>
    <row r="544" spans="1:73" ht="15.75" customHeight="1" thickBot="1">
      <c r="A544" s="14"/>
      <c r="B544" s="14"/>
      <c r="C544" s="8"/>
      <c r="D544" s="3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</row>
    <row r="545" spans="1:73" ht="15.75" customHeight="1" thickBot="1">
      <c r="A545" s="14"/>
      <c r="B545" s="14"/>
      <c r="C545" s="8"/>
      <c r="D545" s="3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</row>
    <row r="546" spans="1:73" ht="15.75" customHeight="1" thickBot="1">
      <c r="A546" s="14"/>
      <c r="B546" s="14"/>
      <c r="C546" s="8"/>
      <c r="D546" s="3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</row>
    <row r="547" spans="1:73" ht="15.75" customHeight="1" thickBot="1">
      <c r="A547" s="14"/>
      <c r="B547" s="14"/>
      <c r="C547" s="8"/>
      <c r="D547" s="3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</row>
    <row r="548" spans="1:73" ht="15.75" customHeight="1" thickBot="1">
      <c r="A548" s="14"/>
      <c r="B548" s="14"/>
      <c r="C548" s="8"/>
      <c r="D548" s="3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</row>
    <row r="549" spans="1:73" ht="15.75" customHeight="1" thickBot="1">
      <c r="A549" s="14"/>
      <c r="B549" s="14"/>
      <c r="C549" s="8"/>
      <c r="D549" s="3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</row>
    <row r="550" spans="1:73" ht="15.75" customHeight="1" thickBot="1">
      <c r="A550" s="14"/>
      <c r="B550" s="14"/>
      <c r="C550" s="8"/>
      <c r="D550" s="3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</row>
    <row r="551" spans="1:73" ht="15.75" customHeight="1" thickBot="1">
      <c r="A551" s="14"/>
      <c r="B551" s="14"/>
      <c r="C551" s="8"/>
      <c r="D551" s="3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</row>
    <row r="552" spans="1:73" ht="15.75" customHeight="1" thickBot="1">
      <c r="A552" s="14"/>
      <c r="B552" s="14"/>
      <c r="C552" s="8"/>
      <c r="D552" s="3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</row>
    <row r="553" spans="1:73" ht="15.75" customHeight="1" thickBot="1">
      <c r="A553" s="14"/>
      <c r="B553" s="14"/>
      <c r="C553" s="8"/>
      <c r="D553" s="3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</row>
    <row r="554" spans="1:73" ht="15.75" customHeight="1" thickBot="1">
      <c r="A554" s="14"/>
      <c r="B554" s="14"/>
      <c r="C554" s="8"/>
      <c r="D554" s="3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</row>
    <row r="555" spans="1:73" ht="15.75" customHeight="1" thickBot="1">
      <c r="A555" s="14"/>
      <c r="B555" s="14"/>
      <c r="C555" s="8"/>
      <c r="D555" s="3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</row>
    <row r="556" spans="1:73" ht="15.75" customHeight="1" thickBot="1">
      <c r="A556" s="14"/>
      <c r="B556" s="14"/>
      <c r="C556" s="8"/>
      <c r="D556" s="3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</row>
    <row r="557" spans="1:73" ht="15.75" customHeight="1" thickBot="1">
      <c r="A557" s="14"/>
      <c r="B557" s="14"/>
      <c r="C557" s="8"/>
      <c r="D557" s="3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</row>
    <row r="558" spans="1:73" ht="15.75" customHeight="1" thickBot="1">
      <c r="A558" s="14"/>
      <c r="B558" s="14"/>
      <c r="C558" s="8"/>
      <c r="D558" s="3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</row>
    <row r="559" spans="1:73" ht="15.75" customHeight="1" thickBot="1">
      <c r="A559" s="14"/>
      <c r="B559" s="14"/>
      <c r="C559" s="8"/>
      <c r="D559" s="3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</row>
    <row r="560" spans="1:73" ht="15.75" customHeight="1" thickBot="1">
      <c r="A560" s="14"/>
      <c r="B560" s="14"/>
      <c r="C560" s="8"/>
      <c r="D560" s="3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</row>
    <row r="561" spans="1:73" ht="15.75" customHeight="1" thickBot="1">
      <c r="A561" s="14"/>
      <c r="B561" s="14"/>
      <c r="C561" s="8"/>
      <c r="D561" s="3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</row>
    <row r="562" spans="1:73" ht="15.75" customHeight="1" thickBot="1">
      <c r="A562" s="14"/>
      <c r="B562" s="14"/>
      <c r="C562" s="8"/>
      <c r="D562" s="3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</row>
    <row r="563" spans="1:73" ht="15.75" customHeight="1" thickBot="1">
      <c r="A563" s="14"/>
      <c r="B563" s="14"/>
      <c r="C563" s="8"/>
      <c r="D563" s="3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</row>
    <row r="564" spans="1:73" ht="15.75" customHeight="1" thickBot="1">
      <c r="A564" s="14"/>
      <c r="B564" s="14"/>
      <c r="C564" s="8"/>
      <c r="D564" s="3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</row>
    <row r="565" spans="1:73" ht="15.75" customHeight="1" thickBot="1">
      <c r="A565" s="14"/>
      <c r="B565" s="14"/>
      <c r="C565" s="8"/>
      <c r="D565" s="3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</row>
    <row r="566" spans="1:73" ht="15.75" customHeight="1" thickBot="1">
      <c r="A566" s="14"/>
      <c r="B566" s="14"/>
      <c r="C566" s="8"/>
      <c r="D566" s="3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</row>
    <row r="567" spans="1:73" ht="15.75" customHeight="1" thickBot="1">
      <c r="A567" s="14"/>
      <c r="B567" s="14"/>
      <c r="C567" s="8"/>
      <c r="D567" s="3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</row>
    <row r="568" spans="1:73" ht="15.75" customHeight="1" thickBot="1">
      <c r="A568" s="14"/>
      <c r="B568" s="14"/>
      <c r="C568" s="8"/>
      <c r="D568" s="3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</row>
    <row r="569" spans="1:73" ht="15.75" customHeight="1" thickBot="1">
      <c r="A569" s="14"/>
      <c r="B569" s="14"/>
      <c r="C569" s="8"/>
      <c r="D569" s="3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</row>
    <row r="570" spans="1:73" ht="15.75" customHeight="1" thickBot="1">
      <c r="A570" s="14"/>
      <c r="B570" s="14"/>
      <c r="C570" s="8"/>
      <c r="D570" s="3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</row>
    <row r="571" spans="1:73" ht="15.75" customHeight="1" thickBot="1">
      <c r="A571" s="14"/>
      <c r="B571" s="14"/>
      <c r="C571" s="8"/>
      <c r="D571" s="3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</row>
    <row r="572" spans="1:73" ht="15.75" customHeight="1" thickBot="1">
      <c r="A572" s="14"/>
      <c r="B572" s="14"/>
      <c r="C572" s="8"/>
      <c r="D572" s="3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</row>
    <row r="573" spans="1:73" ht="15.75" customHeight="1" thickBot="1">
      <c r="A573" s="14"/>
      <c r="B573" s="14"/>
      <c r="C573" s="8"/>
      <c r="D573" s="3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</row>
    <row r="574" spans="1:73" ht="15.75" customHeight="1" thickBot="1">
      <c r="A574" s="14"/>
      <c r="B574" s="14"/>
      <c r="C574" s="8"/>
      <c r="D574" s="3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</row>
    <row r="575" spans="1:73" ht="15.75" customHeight="1" thickBot="1">
      <c r="A575" s="14"/>
      <c r="B575" s="14"/>
      <c r="C575" s="8"/>
      <c r="D575" s="3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</row>
    <row r="576" spans="1:73" ht="15.75" customHeight="1" thickBot="1">
      <c r="A576" s="14"/>
      <c r="B576" s="14"/>
      <c r="C576" s="8"/>
      <c r="D576" s="3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</row>
    <row r="577" spans="1:73" ht="15.75" customHeight="1" thickBot="1">
      <c r="A577" s="14"/>
      <c r="B577" s="14"/>
      <c r="C577" s="8"/>
      <c r="D577" s="3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</row>
    <row r="578" spans="1:73" ht="15.75" customHeight="1" thickBot="1">
      <c r="A578" s="14"/>
      <c r="B578" s="14"/>
      <c r="C578" s="8"/>
      <c r="D578" s="3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</row>
    <row r="579" spans="1:73" ht="15.75" customHeight="1" thickBot="1">
      <c r="A579" s="14"/>
      <c r="B579" s="14"/>
      <c r="C579" s="8"/>
      <c r="D579" s="3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</row>
    <row r="580" spans="1:73" ht="15.75" customHeight="1" thickBot="1">
      <c r="A580" s="14"/>
      <c r="B580" s="14"/>
      <c r="C580" s="8"/>
      <c r="D580" s="3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</row>
    <row r="581" spans="1:73" ht="15.75" customHeight="1" thickBot="1">
      <c r="A581" s="14"/>
      <c r="B581" s="14"/>
      <c r="C581" s="8"/>
      <c r="D581" s="3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</row>
    <row r="582" spans="1:73" ht="15.75" customHeight="1" thickBot="1">
      <c r="A582" s="14"/>
      <c r="B582" s="14"/>
      <c r="C582" s="8"/>
      <c r="D582" s="3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</row>
    <row r="583" spans="1:73" ht="15.75" customHeight="1" thickBot="1">
      <c r="A583" s="14"/>
      <c r="B583" s="14"/>
      <c r="C583" s="8"/>
      <c r="D583" s="3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</row>
    <row r="584" spans="1:73" ht="15.75" customHeight="1" thickBot="1">
      <c r="A584" s="14"/>
      <c r="B584" s="14"/>
      <c r="C584" s="8"/>
      <c r="D584" s="3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</row>
    <row r="585" spans="1:73" ht="15.75" customHeight="1" thickBot="1">
      <c r="A585" s="14"/>
      <c r="B585" s="14"/>
      <c r="C585" s="8"/>
      <c r="D585" s="3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</row>
    <row r="586" spans="1:73" ht="15.75" customHeight="1" thickBot="1">
      <c r="A586" s="14"/>
      <c r="B586" s="14"/>
      <c r="C586" s="8"/>
      <c r="D586" s="3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</row>
    <row r="587" spans="1:73" ht="15.75" customHeight="1" thickBot="1">
      <c r="A587" s="14"/>
      <c r="B587" s="14"/>
      <c r="C587" s="8"/>
      <c r="D587" s="3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</row>
    <row r="588" spans="1:73" ht="15.75" customHeight="1" thickBot="1">
      <c r="A588" s="14"/>
      <c r="B588" s="14"/>
      <c r="C588" s="8"/>
      <c r="D588" s="3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</row>
    <row r="589" spans="1:73" ht="15.75" customHeight="1" thickBot="1">
      <c r="A589" s="14"/>
      <c r="B589" s="14"/>
      <c r="C589" s="8"/>
      <c r="D589" s="3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</row>
    <row r="590" spans="1:73" ht="15.75" customHeight="1" thickBot="1">
      <c r="A590" s="14"/>
      <c r="B590" s="14"/>
      <c r="C590" s="8"/>
      <c r="D590" s="3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</row>
    <row r="591" spans="1:73" ht="15.75" customHeight="1" thickBot="1">
      <c r="A591" s="14"/>
      <c r="B591" s="14"/>
      <c r="C591" s="8"/>
      <c r="D591" s="3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</row>
    <row r="592" spans="1:73" ht="15.75" customHeight="1" thickBot="1">
      <c r="A592" s="14"/>
      <c r="B592" s="14"/>
      <c r="C592" s="8"/>
      <c r="D592" s="3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</row>
    <row r="593" spans="1:73" ht="15.75" customHeight="1" thickBot="1">
      <c r="A593" s="14"/>
      <c r="B593" s="14"/>
      <c r="C593" s="8"/>
      <c r="D593" s="3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</row>
    <row r="594" spans="1:73" ht="15.75" customHeight="1" thickBot="1">
      <c r="A594" s="14"/>
      <c r="B594" s="14"/>
      <c r="C594" s="8"/>
      <c r="D594" s="3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</row>
    <row r="595" spans="1:73" ht="15.75" customHeight="1" thickBot="1">
      <c r="A595" s="14"/>
      <c r="B595" s="14"/>
      <c r="C595" s="8"/>
      <c r="D595" s="3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</row>
    <row r="596" spans="1:73" ht="15.75" customHeight="1" thickBot="1">
      <c r="A596" s="14"/>
      <c r="B596" s="14"/>
      <c r="C596" s="8"/>
      <c r="D596" s="3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</row>
    <row r="597" spans="1:73" ht="15.75" customHeight="1" thickBot="1">
      <c r="A597" s="14"/>
      <c r="B597" s="14"/>
      <c r="C597" s="8"/>
      <c r="D597" s="3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</row>
    <row r="598" spans="1:73" ht="15.75" customHeight="1" thickBot="1">
      <c r="A598" s="14"/>
      <c r="B598" s="14"/>
      <c r="C598" s="8"/>
      <c r="D598" s="3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</row>
    <row r="599" spans="1:73" ht="15.75" customHeight="1" thickBot="1">
      <c r="A599" s="14"/>
      <c r="B599" s="14"/>
      <c r="C599" s="8"/>
      <c r="D599" s="3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</row>
    <row r="600" spans="1:73" ht="15.75" customHeight="1" thickBot="1">
      <c r="A600" s="14"/>
      <c r="B600" s="14"/>
      <c r="C600" s="8"/>
      <c r="D600" s="3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</row>
    <row r="601" spans="1:73" ht="15.75" customHeight="1" thickBot="1">
      <c r="A601" s="14"/>
      <c r="B601" s="14"/>
      <c r="C601" s="8"/>
      <c r="D601" s="3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</row>
    <row r="602" spans="1:73" ht="15.75" customHeight="1" thickBot="1">
      <c r="A602" s="14"/>
      <c r="B602" s="14"/>
      <c r="C602" s="8"/>
      <c r="D602" s="3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</row>
    <row r="603" spans="1:73" ht="15.75" customHeight="1" thickBot="1">
      <c r="A603" s="14"/>
      <c r="B603" s="14"/>
      <c r="C603" s="8"/>
      <c r="D603" s="3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</row>
    <row r="604" spans="1:73" ht="15.75" customHeight="1" thickBot="1">
      <c r="A604" s="14"/>
      <c r="B604" s="14"/>
      <c r="C604" s="8"/>
      <c r="D604" s="3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</row>
    <row r="605" spans="1:73" ht="15.75" customHeight="1" thickBot="1">
      <c r="A605" s="14"/>
      <c r="B605" s="14"/>
      <c r="C605" s="8"/>
      <c r="D605" s="3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</row>
    <row r="606" spans="1:73" ht="15.75" customHeight="1" thickBot="1">
      <c r="A606" s="14"/>
      <c r="B606" s="14"/>
      <c r="C606" s="8"/>
      <c r="D606" s="3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</row>
    <row r="607" spans="1:73" ht="15.75" customHeight="1" thickBot="1">
      <c r="A607" s="14"/>
      <c r="B607" s="14"/>
      <c r="C607" s="8"/>
      <c r="D607" s="3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</row>
    <row r="608" spans="1:73" ht="15.75" customHeight="1" thickBot="1">
      <c r="A608" s="14"/>
      <c r="B608" s="14"/>
      <c r="C608" s="8"/>
      <c r="D608" s="3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</row>
    <row r="609" spans="1:73" ht="15.75" customHeight="1" thickBot="1">
      <c r="A609" s="14"/>
      <c r="B609" s="14"/>
      <c r="C609" s="8"/>
      <c r="D609" s="3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</row>
    <row r="610" spans="1:73" ht="15.75" customHeight="1" thickBot="1">
      <c r="A610" s="14"/>
      <c r="B610" s="14"/>
      <c r="C610" s="8"/>
      <c r="D610" s="3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</row>
    <row r="611" spans="1:73" ht="15.75" customHeight="1" thickBot="1">
      <c r="A611" s="14"/>
      <c r="B611" s="14"/>
      <c r="C611" s="8"/>
      <c r="D611" s="3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</row>
    <row r="612" spans="1:73" ht="15.75" customHeight="1" thickBot="1">
      <c r="A612" s="14"/>
      <c r="B612" s="14"/>
      <c r="C612" s="8"/>
      <c r="D612" s="3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</row>
    <row r="613" spans="1:73" ht="15.75" customHeight="1" thickBot="1">
      <c r="A613" s="14"/>
      <c r="B613" s="14"/>
      <c r="C613" s="8"/>
      <c r="D613" s="3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</row>
    <row r="614" spans="1:73" ht="15.75" customHeight="1" thickBot="1">
      <c r="A614" s="14"/>
      <c r="B614" s="14"/>
      <c r="C614" s="8"/>
      <c r="D614" s="3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</row>
    <row r="615" spans="1:73" ht="15.75" customHeight="1" thickBot="1">
      <c r="A615" s="14"/>
      <c r="B615" s="14"/>
      <c r="C615" s="8"/>
      <c r="D615" s="3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</row>
    <row r="616" spans="1:73" ht="15.75" customHeight="1" thickBot="1">
      <c r="A616" s="14"/>
      <c r="B616" s="14"/>
      <c r="C616" s="8"/>
      <c r="D616" s="3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</row>
    <row r="617" spans="1:73" ht="15.75" customHeight="1" thickBot="1">
      <c r="A617" s="14"/>
      <c r="B617" s="14"/>
      <c r="C617" s="8"/>
      <c r="D617" s="3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</row>
    <row r="618" spans="1:73" ht="15.75" customHeight="1" thickBot="1">
      <c r="A618" s="14"/>
      <c r="B618" s="14"/>
      <c r="C618" s="8"/>
      <c r="D618" s="3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</row>
    <row r="619" spans="1:73" ht="15.75" customHeight="1" thickBot="1">
      <c r="A619" s="14"/>
      <c r="B619" s="14"/>
      <c r="C619" s="8"/>
      <c r="D619" s="3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</row>
    <row r="620" spans="1:73" ht="15.75" customHeight="1" thickBot="1">
      <c r="A620" s="14"/>
      <c r="B620" s="14"/>
      <c r="C620" s="8"/>
      <c r="D620" s="3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</row>
    <row r="621" spans="1:73" ht="15.75" customHeight="1" thickBot="1">
      <c r="A621" s="14"/>
      <c r="B621" s="14"/>
      <c r="C621" s="8"/>
      <c r="D621" s="3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</row>
    <row r="622" spans="1:73" ht="15.75" customHeight="1" thickBot="1">
      <c r="A622" s="14"/>
      <c r="B622" s="14"/>
      <c r="C622" s="8"/>
      <c r="D622" s="3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</row>
    <row r="623" spans="1:73" ht="15.75" customHeight="1" thickBot="1">
      <c r="A623" s="14"/>
      <c r="B623" s="14"/>
      <c r="C623" s="8"/>
      <c r="D623" s="3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</row>
    <row r="624" spans="1:73" ht="15.75" customHeight="1" thickBot="1">
      <c r="A624" s="14"/>
      <c r="B624" s="14"/>
      <c r="C624" s="8"/>
      <c r="D624" s="3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</row>
    <row r="625" spans="1:73" ht="15.75" customHeight="1" thickBot="1">
      <c r="A625" s="14"/>
      <c r="B625" s="14"/>
      <c r="C625" s="8"/>
      <c r="D625" s="3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</row>
    <row r="626" spans="1:73" ht="15.75" customHeight="1" thickBot="1">
      <c r="A626" s="14"/>
      <c r="B626" s="14"/>
      <c r="C626" s="8"/>
      <c r="D626" s="3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</row>
    <row r="627" spans="1:73" ht="15.75" customHeight="1" thickBot="1">
      <c r="A627" s="14"/>
      <c r="B627" s="14"/>
      <c r="C627" s="8"/>
      <c r="D627" s="3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</row>
    <row r="628" spans="1:73" ht="15.75" customHeight="1" thickBot="1">
      <c r="A628" s="14"/>
      <c r="B628" s="14"/>
      <c r="C628" s="8"/>
      <c r="D628" s="3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</row>
    <row r="629" spans="1:73" ht="15.75" customHeight="1" thickBot="1">
      <c r="A629" s="14"/>
      <c r="B629" s="14"/>
      <c r="C629" s="8"/>
      <c r="D629" s="3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</row>
    <row r="630" spans="1:73" ht="15.75" customHeight="1" thickBot="1">
      <c r="A630" s="14"/>
      <c r="B630" s="14"/>
      <c r="C630" s="8"/>
      <c r="D630" s="3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</row>
    <row r="631" spans="1:73" ht="15.75" customHeight="1" thickBot="1">
      <c r="A631" s="14"/>
      <c r="B631" s="14"/>
      <c r="C631" s="8"/>
      <c r="D631" s="3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</row>
    <row r="632" spans="1:73" ht="15.75" customHeight="1" thickBot="1">
      <c r="A632" s="14"/>
      <c r="B632" s="14"/>
      <c r="C632" s="8"/>
      <c r="D632" s="3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</row>
    <row r="633" spans="1:73" ht="15.75" customHeight="1" thickBot="1">
      <c r="A633" s="14"/>
      <c r="B633" s="14"/>
      <c r="C633" s="8"/>
      <c r="D633" s="3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</row>
    <row r="634" spans="1:73" ht="15.75" customHeight="1" thickBot="1">
      <c r="A634" s="14"/>
      <c r="B634" s="14"/>
      <c r="C634" s="8"/>
      <c r="D634" s="3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</row>
    <row r="635" spans="1:73" ht="15.75" customHeight="1" thickBot="1">
      <c r="A635" s="14"/>
      <c r="B635" s="14"/>
      <c r="C635" s="8"/>
      <c r="D635" s="3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</row>
    <row r="636" spans="1:73" ht="15.75" customHeight="1" thickBot="1">
      <c r="A636" s="14"/>
      <c r="B636" s="14"/>
      <c r="C636" s="8"/>
      <c r="D636" s="3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</row>
    <row r="637" spans="1:73" ht="15.75" customHeight="1" thickBot="1">
      <c r="A637" s="14"/>
      <c r="B637" s="14"/>
      <c r="C637" s="8"/>
      <c r="D637" s="3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</row>
    <row r="638" spans="1:73" ht="15.75" customHeight="1" thickBot="1">
      <c r="A638" s="14"/>
      <c r="B638" s="14"/>
      <c r="C638" s="8"/>
      <c r="D638" s="3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</row>
    <row r="639" spans="1:73" ht="15.75" customHeight="1" thickBot="1">
      <c r="A639" s="14"/>
      <c r="B639" s="14"/>
      <c r="C639" s="8"/>
      <c r="D639" s="3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</row>
    <row r="640" spans="1:73" ht="15.75" customHeight="1" thickBot="1">
      <c r="A640" s="14"/>
      <c r="B640" s="14"/>
      <c r="C640" s="8"/>
      <c r="D640" s="3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</row>
    <row r="641" spans="1:73" ht="15.75" customHeight="1" thickBot="1">
      <c r="A641" s="14"/>
      <c r="B641" s="14"/>
      <c r="C641" s="8"/>
      <c r="D641" s="3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</row>
    <row r="642" spans="1:73" ht="15.75" customHeight="1" thickBot="1">
      <c r="A642" s="14"/>
      <c r="B642" s="14"/>
      <c r="C642" s="8"/>
      <c r="D642" s="3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</row>
    <row r="643" spans="1:73" ht="15.75" customHeight="1" thickBot="1">
      <c r="A643" s="14"/>
      <c r="B643" s="14"/>
      <c r="C643" s="8"/>
      <c r="D643" s="3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</row>
    <row r="644" spans="1:73" ht="15.75" customHeight="1" thickBot="1">
      <c r="A644" s="14"/>
      <c r="B644" s="14"/>
      <c r="C644" s="8"/>
      <c r="D644" s="3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</row>
    <row r="645" spans="1:73" ht="15.75" customHeight="1" thickBot="1">
      <c r="A645" s="14"/>
      <c r="B645" s="14"/>
      <c r="C645" s="8"/>
      <c r="D645" s="3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</row>
    <row r="646" spans="1:73" ht="15.75" customHeight="1" thickBot="1">
      <c r="A646" s="14"/>
      <c r="B646" s="14"/>
      <c r="C646" s="8"/>
      <c r="D646" s="3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</row>
    <row r="647" spans="1:73" ht="15.75" customHeight="1" thickBot="1">
      <c r="A647" s="14"/>
      <c r="B647" s="14"/>
      <c r="C647" s="8"/>
      <c r="D647" s="3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</row>
    <row r="648" spans="1:73" ht="15.75" customHeight="1" thickBot="1">
      <c r="A648" s="14"/>
      <c r="B648" s="14"/>
      <c r="C648" s="8"/>
      <c r="D648" s="3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</row>
    <row r="649" spans="1:73" ht="15.75" customHeight="1" thickBot="1">
      <c r="A649" s="14"/>
      <c r="B649" s="14"/>
      <c r="C649" s="8"/>
      <c r="D649" s="3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</row>
    <row r="650" spans="1:73" ht="15.75" customHeight="1" thickBot="1">
      <c r="A650" s="14"/>
      <c r="B650" s="14"/>
      <c r="C650" s="8"/>
      <c r="D650" s="3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</row>
    <row r="651" spans="1:73" ht="15.75" customHeight="1" thickBot="1">
      <c r="A651" s="14"/>
      <c r="B651" s="14"/>
      <c r="C651" s="8"/>
      <c r="D651" s="3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</row>
    <row r="652" spans="1:73" ht="15.75" customHeight="1" thickBot="1">
      <c r="A652" s="14"/>
      <c r="B652" s="14"/>
      <c r="C652" s="8"/>
      <c r="D652" s="3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</row>
    <row r="653" spans="1:73" ht="15.75" customHeight="1" thickBot="1">
      <c r="A653" s="14"/>
      <c r="B653" s="14"/>
      <c r="C653" s="8"/>
      <c r="D653" s="3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</row>
    <row r="654" spans="1:73" ht="15.75" customHeight="1" thickBot="1">
      <c r="A654" s="14"/>
      <c r="B654" s="14"/>
      <c r="C654" s="8"/>
      <c r="D654" s="3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</row>
    <row r="655" spans="1:73" ht="15.75" customHeight="1" thickBot="1">
      <c r="A655" s="14"/>
      <c r="B655" s="14"/>
      <c r="C655" s="8"/>
      <c r="D655" s="3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</row>
    <row r="656" spans="1:73" ht="15.75" customHeight="1" thickBot="1">
      <c r="A656" s="14"/>
      <c r="B656" s="14"/>
      <c r="C656" s="8"/>
      <c r="D656" s="3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</row>
    <row r="657" spans="1:73" ht="15.75" customHeight="1" thickBot="1">
      <c r="A657" s="14"/>
      <c r="B657" s="14"/>
      <c r="C657" s="8"/>
      <c r="D657" s="3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</row>
    <row r="658" spans="1:73" ht="15.75" customHeight="1" thickBot="1">
      <c r="A658" s="14"/>
      <c r="B658" s="14"/>
      <c r="C658" s="8"/>
      <c r="D658" s="3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</row>
    <row r="659" spans="1:73" ht="15.75" customHeight="1" thickBot="1">
      <c r="A659" s="14"/>
      <c r="B659" s="14"/>
      <c r="C659" s="8"/>
      <c r="D659" s="3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</row>
    <row r="660" spans="1:73" ht="15.75" customHeight="1" thickBot="1">
      <c r="A660" s="14"/>
      <c r="B660" s="14"/>
      <c r="C660" s="8"/>
      <c r="D660" s="3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</row>
    <row r="661" spans="1:73" ht="15.75" customHeight="1" thickBot="1">
      <c r="A661" s="14"/>
      <c r="B661" s="14"/>
      <c r="C661" s="8"/>
      <c r="D661" s="3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</row>
    <row r="662" spans="1:73" ht="15.75" customHeight="1" thickBot="1">
      <c r="A662" s="14"/>
      <c r="B662" s="14"/>
      <c r="C662" s="8"/>
      <c r="D662" s="3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</row>
    <row r="663" spans="1:73" ht="15.75" customHeight="1" thickBot="1">
      <c r="A663" s="14"/>
      <c r="B663" s="14"/>
      <c r="C663" s="8"/>
      <c r="D663" s="3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</row>
    <row r="664" spans="1:73" ht="15.75" customHeight="1" thickBot="1">
      <c r="A664" s="14"/>
      <c r="B664" s="14"/>
      <c r="C664" s="8"/>
      <c r="D664" s="3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</row>
    <row r="665" spans="1:73" ht="15.75" customHeight="1" thickBot="1">
      <c r="A665" s="14"/>
      <c r="B665" s="14"/>
      <c r="C665" s="8"/>
      <c r="D665" s="3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</row>
    <row r="666" spans="1:73" ht="15.75" customHeight="1" thickBot="1">
      <c r="A666" s="14"/>
      <c r="B666" s="14"/>
      <c r="C666" s="8"/>
      <c r="D666" s="3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</row>
    <row r="667" spans="1:73" ht="15.75" customHeight="1" thickBot="1">
      <c r="A667" s="14"/>
      <c r="B667" s="14"/>
      <c r="C667" s="8"/>
      <c r="D667" s="3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</row>
    <row r="668" spans="1:73" ht="15.75" customHeight="1" thickBot="1">
      <c r="A668" s="14"/>
      <c r="B668" s="14"/>
      <c r="C668" s="8"/>
      <c r="D668" s="3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</row>
    <row r="669" spans="1:73" ht="15.75" customHeight="1" thickBot="1">
      <c r="A669" s="14"/>
      <c r="B669" s="14"/>
      <c r="C669" s="8"/>
      <c r="D669" s="3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</row>
    <row r="670" spans="1:73" ht="15.75" customHeight="1" thickBot="1">
      <c r="A670" s="14"/>
      <c r="B670" s="14"/>
      <c r="C670" s="8"/>
      <c r="D670" s="3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</row>
    <row r="671" spans="1:73" ht="15.75" customHeight="1" thickBot="1">
      <c r="A671" s="14"/>
      <c r="B671" s="14"/>
      <c r="C671" s="8"/>
      <c r="D671" s="3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</row>
    <row r="672" spans="1:73" ht="15.75" customHeight="1" thickBot="1">
      <c r="A672" s="14"/>
      <c r="B672" s="14"/>
      <c r="C672" s="8"/>
      <c r="D672" s="3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</row>
    <row r="673" spans="1:73" ht="15.75" customHeight="1" thickBot="1">
      <c r="A673" s="14"/>
      <c r="B673" s="14"/>
      <c r="C673" s="8"/>
      <c r="D673" s="3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</row>
    <row r="674" spans="1:73" ht="15.75" customHeight="1" thickBot="1">
      <c r="A674" s="14"/>
      <c r="B674" s="14"/>
      <c r="C674" s="8"/>
      <c r="D674" s="3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</row>
    <row r="675" spans="1:73" ht="15.75" customHeight="1" thickBot="1">
      <c r="A675" s="14"/>
      <c r="B675" s="14"/>
      <c r="C675" s="8"/>
      <c r="D675" s="3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</row>
    <row r="676" spans="1:73" ht="15.75" customHeight="1" thickBot="1">
      <c r="A676" s="14"/>
      <c r="B676" s="14"/>
      <c r="C676" s="8"/>
      <c r="D676" s="3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</row>
    <row r="677" spans="1:73" ht="15.75" customHeight="1" thickBot="1">
      <c r="A677" s="14"/>
      <c r="B677" s="14"/>
      <c r="C677" s="8"/>
      <c r="D677" s="3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</row>
    <row r="678" spans="1:73" ht="15.75" customHeight="1" thickBot="1">
      <c r="A678" s="14"/>
      <c r="B678" s="14"/>
      <c r="C678" s="8"/>
      <c r="D678" s="3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</row>
    <row r="679" spans="1:73" ht="15.75" customHeight="1" thickBot="1">
      <c r="A679" s="14"/>
      <c r="B679" s="14"/>
      <c r="C679" s="8"/>
      <c r="D679" s="3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</row>
    <row r="680" spans="1:73" ht="15.75" customHeight="1" thickBot="1">
      <c r="A680" s="14"/>
      <c r="B680" s="14"/>
      <c r="C680" s="8"/>
      <c r="D680" s="3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</row>
    <row r="681" spans="1:73" ht="15.75" customHeight="1" thickBot="1">
      <c r="A681" s="14"/>
      <c r="B681" s="14"/>
      <c r="C681" s="8"/>
      <c r="D681" s="3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</row>
    <row r="682" spans="1:73" ht="15.75" customHeight="1" thickBot="1">
      <c r="A682" s="14"/>
      <c r="B682" s="14"/>
      <c r="C682" s="8"/>
      <c r="D682" s="3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</row>
    <row r="683" spans="1:73" ht="15.75" customHeight="1" thickBot="1">
      <c r="A683" s="14"/>
      <c r="B683" s="14"/>
      <c r="C683" s="8"/>
      <c r="D683" s="3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</row>
    <row r="684" spans="1:73" ht="15.75" customHeight="1" thickBot="1">
      <c r="A684" s="14"/>
      <c r="B684" s="14"/>
      <c r="C684" s="8"/>
      <c r="D684" s="3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</row>
    <row r="685" spans="1:73" ht="15.75" customHeight="1" thickBot="1">
      <c r="A685" s="14"/>
      <c r="B685" s="14"/>
      <c r="C685" s="8"/>
      <c r="D685" s="3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</row>
    <row r="686" spans="1:73" ht="15.75" customHeight="1" thickBot="1">
      <c r="A686" s="14"/>
      <c r="B686" s="14"/>
      <c r="C686" s="8"/>
      <c r="D686" s="3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</row>
    <row r="687" spans="1:73" ht="15.75" customHeight="1" thickBot="1">
      <c r="A687" s="14"/>
      <c r="B687" s="14"/>
      <c r="C687" s="8"/>
      <c r="D687" s="3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</row>
    <row r="688" spans="1:73" ht="15.75" customHeight="1" thickBot="1">
      <c r="A688" s="14"/>
      <c r="B688" s="14"/>
      <c r="C688" s="8"/>
      <c r="D688" s="3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</row>
    <row r="689" spans="1:73" ht="15.75" customHeight="1" thickBot="1">
      <c r="A689" s="14"/>
      <c r="B689" s="14"/>
      <c r="C689" s="8"/>
      <c r="D689" s="3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</row>
    <row r="690" spans="1:73" ht="15.75" customHeight="1" thickBot="1">
      <c r="A690" s="14"/>
      <c r="B690" s="14"/>
      <c r="C690" s="8"/>
      <c r="D690" s="3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</row>
    <row r="691" spans="1:73" ht="15.75" customHeight="1" thickBot="1">
      <c r="A691" s="14"/>
      <c r="B691" s="14"/>
      <c r="C691" s="8"/>
      <c r="D691" s="3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</row>
    <row r="692" spans="1:73" ht="15.75" customHeight="1" thickBot="1">
      <c r="A692" s="14"/>
      <c r="B692" s="14"/>
      <c r="C692" s="8"/>
      <c r="D692" s="3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</row>
    <row r="693" spans="1:73" ht="15.75" customHeight="1" thickBot="1">
      <c r="A693" s="14"/>
      <c r="B693" s="14"/>
      <c r="C693" s="8"/>
      <c r="D693" s="3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</row>
    <row r="694" spans="1:73" ht="15.75" customHeight="1" thickBot="1">
      <c r="A694" s="14"/>
      <c r="B694" s="14"/>
      <c r="C694" s="8"/>
      <c r="D694" s="3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</row>
    <row r="695" spans="1:73" ht="15.75" customHeight="1" thickBot="1">
      <c r="A695" s="14"/>
      <c r="B695" s="14"/>
      <c r="C695" s="8"/>
      <c r="D695" s="3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</row>
    <row r="696" spans="1:73" ht="15.75" customHeight="1" thickBot="1">
      <c r="A696" s="14"/>
      <c r="B696" s="14"/>
      <c r="C696" s="8"/>
      <c r="D696" s="3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</row>
    <row r="697" spans="1:73" ht="15.75" customHeight="1" thickBot="1">
      <c r="A697" s="14"/>
      <c r="B697" s="14"/>
      <c r="C697" s="8"/>
      <c r="D697" s="3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</row>
    <row r="698" spans="1:73" ht="15.75" customHeight="1" thickBot="1">
      <c r="A698" s="14"/>
      <c r="B698" s="14"/>
      <c r="C698" s="8"/>
      <c r="D698" s="3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</row>
    <row r="699" spans="1:73" ht="15.75" customHeight="1" thickBot="1">
      <c r="A699" s="14"/>
      <c r="B699" s="14"/>
      <c r="C699" s="8"/>
      <c r="D699" s="3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</row>
    <row r="700" spans="1:73" ht="15.75" customHeight="1" thickBot="1">
      <c r="A700" s="14"/>
      <c r="B700" s="14"/>
      <c r="C700" s="8"/>
      <c r="D700" s="3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</row>
    <row r="701" spans="1:73" ht="15.75" customHeight="1" thickBot="1">
      <c r="A701" s="14"/>
      <c r="B701" s="14"/>
      <c r="C701" s="8"/>
      <c r="D701" s="3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</row>
    <row r="702" spans="1:73" ht="15.75" customHeight="1" thickBot="1">
      <c r="A702" s="14"/>
      <c r="B702" s="14"/>
      <c r="C702" s="8"/>
      <c r="D702" s="3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</row>
    <row r="703" spans="1:73" ht="15.75" customHeight="1" thickBot="1">
      <c r="A703" s="14"/>
      <c r="B703" s="14"/>
      <c r="C703" s="8"/>
      <c r="D703" s="3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</row>
    <row r="704" spans="1:73" ht="15.75" customHeight="1" thickBot="1">
      <c r="A704" s="14"/>
      <c r="B704" s="14"/>
      <c r="C704" s="8"/>
      <c r="D704" s="3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</row>
    <row r="705" spans="1:73" ht="15.75" customHeight="1" thickBot="1">
      <c r="A705" s="14"/>
      <c r="B705" s="14"/>
      <c r="C705" s="8"/>
      <c r="D705" s="3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</row>
    <row r="706" spans="1:73" ht="15.75" customHeight="1" thickBot="1">
      <c r="A706" s="14"/>
      <c r="B706" s="14"/>
      <c r="C706" s="8"/>
      <c r="D706" s="3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</row>
    <row r="707" spans="1:73" ht="15.75" customHeight="1" thickBot="1">
      <c r="A707" s="14"/>
      <c r="B707" s="14"/>
      <c r="C707" s="8"/>
      <c r="D707" s="3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</row>
    <row r="708" spans="1:73" ht="15.75" customHeight="1" thickBot="1">
      <c r="A708" s="14"/>
      <c r="B708" s="14"/>
      <c r="C708" s="8"/>
      <c r="D708" s="3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</row>
    <row r="709" spans="1:73" ht="15.75" customHeight="1" thickBot="1">
      <c r="A709" s="14"/>
      <c r="B709" s="14"/>
      <c r="C709" s="8"/>
      <c r="D709" s="3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</row>
    <row r="710" spans="1:73" ht="15.75" customHeight="1" thickBot="1">
      <c r="A710" s="14"/>
      <c r="B710" s="14"/>
      <c r="C710" s="8"/>
      <c r="D710" s="3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</row>
    <row r="711" spans="1:73" ht="15.75" customHeight="1" thickBot="1">
      <c r="A711" s="14"/>
      <c r="B711" s="14"/>
      <c r="C711" s="8"/>
      <c r="D711" s="3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</row>
    <row r="712" spans="1:73" ht="15.75" customHeight="1" thickBot="1">
      <c r="A712" s="14"/>
      <c r="B712" s="14"/>
      <c r="C712" s="8"/>
      <c r="D712" s="3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</row>
    <row r="713" spans="1:73" ht="15.75" customHeight="1" thickBot="1">
      <c r="A713" s="14"/>
      <c r="B713" s="14"/>
      <c r="C713" s="8"/>
      <c r="D713" s="3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</row>
    <row r="714" spans="1:73" ht="15.75" customHeight="1" thickBot="1">
      <c r="A714" s="14"/>
      <c r="B714" s="14"/>
      <c r="C714" s="8"/>
      <c r="D714" s="3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</row>
    <row r="715" spans="1:73" ht="15.75" customHeight="1" thickBot="1">
      <c r="A715" s="14"/>
      <c r="B715" s="14"/>
      <c r="C715" s="8"/>
      <c r="D715" s="3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</row>
    <row r="716" spans="1:73" ht="15.75" customHeight="1" thickBot="1">
      <c r="A716" s="14"/>
      <c r="B716" s="14"/>
      <c r="C716" s="8"/>
      <c r="D716" s="3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</row>
    <row r="717" spans="1:73" ht="15.75" customHeight="1" thickBot="1">
      <c r="A717" s="14"/>
      <c r="B717" s="14"/>
      <c r="C717" s="8"/>
      <c r="D717" s="3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</row>
    <row r="718" spans="1:73" ht="15.75" customHeight="1" thickBot="1">
      <c r="A718" s="14"/>
      <c r="B718" s="14"/>
      <c r="C718" s="8"/>
      <c r="D718" s="3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</row>
    <row r="719" spans="1:73" ht="15.75" customHeight="1" thickBot="1">
      <c r="A719" s="14"/>
      <c r="B719" s="14"/>
      <c r="C719" s="8"/>
      <c r="D719" s="3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</row>
    <row r="720" spans="1:73" ht="15.75" customHeight="1" thickBot="1">
      <c r="A720" s="14"/>
      <c r="B720" s="14"/>
      <c r="C720" s="8"/>
      <c r="D720" s="3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</row>
    <row r="721" spans="1:73" ht="15.75" customHeight="1" thickBot="1">
      <c r="A721" s="14"/>
      <c r="B721" s="14"/>
      <c r="C721" s="8"/>
      <c r="D721" s="3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</row>
    <row r="722" spans="1:73" ht="15.75" customHeight="1" thickBot="1">
      <c r="A722" s="14"/>
      <c r="B722" s="14"/>
      <c r="C722" s="8"/>
      <c r="D722" s="3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</row>
    <row r="723" spans="1:73" ht="15.75" customHeight="1" thickBot="1">
      <c r="A723" s="14"/>
      <c r="B723" s="14"/>
      <c r="C723" s="8"/>
      <c r="D723" s="3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</row>
    <row r="724" spans="1:73" ht="15.75" customHeight="1" thickBot="1">
      <c r="A724" s="14"/>
      <c r="B724" s="14"/>
      <c r="C724" s="8"/>
      <c r="D724" s="3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</row>
    <row r="725" spans="1:73" ht="15.75" customHeight="1" thickBot="1">
      <c r="A725" s="14"/>
      <c r="B725" s="14"/>
      <c r="C725" s="8"/>
      <c r="D725" s="3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</row>
    <row r="726" spans="1:73" ht="15.75" customHeight="1" thickBot="1">
      <c r="A726" s="14"/>
      <c r="B726" s="14"/>
      <c r="C726" s="8"/>
      <c r="D726" s="3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</row>
    <row r="727" spans="1:73" ht="15.75" customHeight="1" thickBot="1">
      <c r="A727" s="14"/>
      <c r="B727" s="14"/>
      <c r="C727" s="8"/>
      <c r="D727" s="3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</row>
    <row r="728" spans="1:73" ht="15.75" customHeight="1" thickBot="1">
      <c r="A728" s="14"/>
      <c r="B728" s="14"/>
      <c r="C728" s="8"/>
      <c r="D728" s="3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</row>
    <row r="729" spans="1:73" ht="15.75" customHeight="1" thickBot="1">
      <c r="A729" s="14"/>
      <c r="B729" s="14"/>
      <c r="C729" s="8"/>
      <c r="D729" s="3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</row>
    <row r="730" spans="1:73" ht="15.75" customHeight="1" thickBot="1">
      <c r="A730" s="14"/>
      <c r="B730" s="14"/>
      <c r="C730" s="8"/>
      <c r="D730" s="3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</row>
    <row r="731" spans="1:73" ht="15.75" customHeight="1" thickBot="1">
      <c r="A731" s="14"/>
      <c r="B731" s="14"/>
      <c r="C731" s="8"/>
      <c r="D731" s="3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</row>
    <row r="732" spans="1:73" ht="15.75" customHeight="1" thickBot="1">
      <c r="A732" s="14"/>
      <c r="B732" s="14"/>
      <c r="C732" s="8"/>
      <c r="D732" s="3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</row>
    <row r="733" spans="1:73" ht="15.75" customHeight="1" thickBot="1">
      <c r="A733" s="14"/>
      <c r="B733" s="14"/>
      <c r="C733" s="8"/>
      <c r="D733" s="3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</row>
    <row r="734" spans="1:73" ht="15.75" customHeight="1" thickBot="1">
      <c r="A734" s="14"/>
      <c r="B734" s="14"/>
      <c r="C734" s="8"/>
      <c r="D734" s="3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</row>
    <row r="735" spans="1:73" ht="15.75" customHeight="1" thickBot="1">
      <c r="A735" s="14"/>
      <c r="B735" s="14"/>
      <c r="C735" s="8"/>
      <c r="D735" s="3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</row>
    <row r="736" spans="1:73" ht="15.75" customHeight="1" thickBot="1">
      <c r="A736" s="14"/>
      <c r="B736" s="14"/>
      <c r="C736" s="8"/>
      <c r="D736" s="3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</row>
    <row r="737" spans="1:73" ht="15.75" customHeight="1" thickBot="1">
      <c r="A737" s="14"/>
      <c r="B737" s="14"/>
      <c r="C737" s="8"/>
      <c r="D737" s="3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</row>
    <row r="738" spans="1:73" ht="15.75" customHeight="1" thickBot="1">
      <c r="A738" s="14"/>
      <c r="B738" s="14"/>
      <c r="C738" s="8"/>
      <c r="D738" s="3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</row>
    <row r="739" spans="1:73" ht="15.75" customHeight="1" thickBot="1">
      <c r="A739" s="14"/>
      <c r="B739" s="14"/>
      <c r="C739" s="8"/>
      <c r="D739" s="3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</row>
    <row r="740" spans="1:73" ht="15.75" customHeight="1" thickBot="1">
      <c r="A740" s="14"/>
      <c r="B740" s="14"/>
      <c r="C740" s="8"/>
      <c r="D740" s="3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</row>
    <row r="741" spans="1:73" ht="15.75" customHeight="1" thickBot="1">
      <c r="A741" s="14"/>
      <c r="B741" s="14"/>
      <c r="C741" s="8"/>
      <c r="D741" s="3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</row>
    <row r="742" spans="1:73" ht="15.75" customHeight="1" thickBot="1">
      <c r="A742" s="14"/>
      <c r="B742" s="14"/>
      <c r="C742" s="8"/>
      <c r="D742" s="3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</row>
    <row r="743" spans="1:73" ht="15.75" customHeight="1" thickBot="1">
      <c r="A743" s="14"/>
      <c r="B743" s="14"/>
      <c r="C743" s="8"/>
      <c r="D743" s="3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</row>
    <row r="744" spans="1:73" ht="15.75" customHeight="1" thickBot="1">
      <c r="A744" s="14"/>
      <c r="B744" s="14"/>
      <c r="C744" s="8"/>
      <c r="D744" s="3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</row>
    <row r="745" spans="1:73" ht="15.75" customHeight="1" thickBot="1">
      <c r="A745" s="14"/>
      <c r="B745" s="14"/>
      <c r="C745" s="8"/>
      <c r="D745" s="3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</row>
    <row r="746" spans="1:73" ht="15.75" customHeight="1" thickBot="1">
      <c r="A746" s="14"/>
      <c r="B746" s="14"/>
      <c r="C746" s="8"/>
      <c r="D746" s="3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</row>
    <row r="747" spans="1:73" ht="15.75" customHeight="1" thickBot="1">
      <c r="A747" s="14"/>
      <c r="B747" s="14"/>
      <c r="C747" s="8"/>
      <c r="D747" s="3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</row>
    <row r="748" spans="1:73" ht="15.75" customHeight="1" thickBot="1">
      <c r="A748" s="14"/>
      <c r="B748" s="14"/>
      <c r="C748" s="8"/>
      <c r="D748" s="3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</row>
    <row r="749" spans="1:73" ht="15.75" customHeight="1" thickBot="1">
      <c r="A749" s="14"/>
      <c r="B749" s="14"/>
      <c r="C749" s="8"/>
      <c r="D749" s="3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</row>
    <row r="750" spans="1:73" ht="15.75" customHeight="1" thickBot="1">
      <c r="A750" s="14"/>
      <c r="B750" s="14"/>
      <c r="C750" s="8"/>
      <c r="D750" s="3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</row>
    <row r="751" spans="1:73" ht="15.75" customHeight="1" thickBot="1">
      <c r="A751" s="14"/>
      <c r="B751" s="14"/>
      <c r="C751" s="8"/>
      <c r="D751" s="3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</row>
    <row r="752" spans="1:73" ht="15.75" customHeight="1" thickBot="1">
      <c r="A752" s="14"/>
      <c r="B752" s="14"/>
      <c r="C752" s="8"/>
      <c r="D752" s="3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</row>
    <row r="753" spans="1:73" ht="15.75" customHeight="1" thickBot="1">
      <c r="A753" s="14"/>
      <c r="B753" s="14"/>
      <c r="C753" s="8"/>
      <c r="D753" s="3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</row>
    <row r="754" spans="1:73" ht="15.75" customHeight="1" thickBot="1">
      <c r="A754" s="14"/>
      <c r="B754" s="14"/>
      <c r="C754" s="8"/>
      <c r="D754" s="3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</row>
    <row r="755" spans="1:73" ht="15.75" customHeight="1" thickBot="1">
      <c r="A755" s="14"/>
      <c r="B755" s="14"/>
      <c r="C755" s="8"/>
      <c r="D755" s="3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</row>
    <row r="756" spans="1:73" ht="15.75" customHeight="1" thickBot="1">
      <c r="A756" s="14"/>
      <c r="B756" s="14"/>
      <c r="C756" s="8"/>
      <c r="D756" s="3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</row>
    <row r="757" spans="1:73" ht="15.75" customHeight="1" thickBot="1">
      <c r="A757" s="14"/>
      <c r="B757" s="14"/>
      <c r="C757" s="8"/>
      <c r="D757" s="3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</row>
    <row r="758" spans="1:73" ht="15.75" customHeight="1" thickBot="1">
      <c r="A758" s="14"/>
      <c r="B758" s="14"/>
      <c r="C758" s="8"/>
      <c r="D758" s="3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</row>
    <row r="759" spans="1:73" ht="15.75" customHeight="1" thickBot="1">
      <c r="A759" s="14"/>
      <c r="B759" s="14"/>
      <c r="C759" s="8"/>
      <c r="D759" s="3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</row>
    <row r="760" spans="1:73" ht="15.75" customHeight="1" thickBot="1">
      <c r="A760" s="14"/>
      <c r="B760" s="14"/>
      <c r="C760" s="8"/>
      <c r="D760" s="3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</row>
    <row r="761" spans="1:73" ht="15.75" customHeight="1" thickBot="1">
      <c r="A761" s="14"/>
      <c r="B761" s="14"/>
      <c r="C761" s="8"/>
      <c r="D761" s="3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</row>
    <row r="762" spans="1:73" ht="15.75" customHeight="1" thickBot="1">
      <c r="A762" s="14"/>
      <c r="B762" s="14"/>
      <c r="C762" s="8"/>
      <c r="D762" s="3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</row>
    <row r="763" spans="1:73" ht="15.75" customHeight="1" thickBot="1">
      <c r="A763" s="14"/>
      <c r="B763" s="14"/>
      <c r="C763" s="8"/>
      <c r="D763" s="3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</row>
    <row r="764" spans="1:73" ht="15.75" customHeight="1" thickBot="1">
      <c r="A764" s="14"/>
      <c r="B764" s="14"/>
      <c r="C764" s="8"/>
      <c r="D764" s="3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</row>
    <row r="765" spans="1:73" ht="15.75" customHeight="1" thickBot="1">
      <c r="A765" s="14"/>
      <c r="B765" s="14"/>
      <c r="C765" s="8"/>
      <c r="D765" s="3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</row>
    <row r="766" spans="1:73" ht="15.75" customHeight="1" thickBot="1">
      <c r="A766" s="14"/>
      <c r="B766" s="14"/>
      <c r="C766" s="8"/>
      <c r="D766" s="3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</row>
    <row r="767" spans="1:73" ht="15.75" customHeight="1" thickBot="1">
      <c r="A767" s="14"/>
      <c r="B767" s="14"/>
      <c r="C767" s="8"/>
      <c r="D767" s="3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</row>
    <row r="768" spans="1:73" ht="15.75" customHeight="1" thickBot="1">
      <c r="A768" s="14"/>
      <c r="B768" s="14"/>
      <c r="C768" s="8"/>
      <c r="D768" s="3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</row>
    <row r="769" spans="1:73" ht="15.75" customHeight="1" thickBot="1">
      <c r="A769" s="14"/>
      <c r="B769" s="14"/>
      <c r="C769" s="8"/>
      <c r="D769" s="3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</row>
    <row r="770" spans="1:73" ht="15.75" customHeight="1" thickBot="1">
      <c r="A770" s="14"/>
      <c r="B770" s="14"/>
      <c r="C770" s="8"/>
      <c r="D770" s="3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</row>
    <row r="771" spans="1:73" ht="15.75" customHeight="1" thickBot="1">
      <c r="A771" s="14"/>
      <c r="B771" s="14"/>
      <c r="C771" s="8"/>
      <c r="D771" s="3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</row>
    <row r="772" spans="1:73" ht="15.75" customHeight="1" thickBot="1">
      <c r="A772" s="14"/>
      <c r="B772" s="14"/>
      <c r="C772" s="8"/>
      <c r="D772" s="3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</row>
    <row r="773" spans="1:73" ht="15.75" customHeight="1" thickBot="1">
      <c r="A773" s="14"/>
      <c r="B773" s="14"/>
      <c r="C773" s="8"/>
      <c r="D773" s="3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</row>
    <row r="774" spans="1:73" ht="15.75" customHeight="1" thickBot="1">
      <c r="A774" s="14"/>
      <c r="B774" s="14"/>
      <c r="C774" s="8"/>
      <c r="D774" s="3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</row>
    <row r="775" spans="1:73" ht="15.75" customHeight="1" thickBot="1">
      <c r="A775" s="14"/>
      <c r="B775" s="14"/>
      <c r="C775" s="8"/>
      <c r="D775" s="3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</row>
    <row r="776" spans="1:73" ht="15.75" customHeight="1" thickBot="1">
      <c r="A776" s="14"/>
      <c r="B776" s="14"/>
      <c r="C776" s="8"/>
      <c r="D776" s="3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</row>
    <row r="777" spans="1:73" ht="15.75" customHeight="1" thickBot="1">
      <c r="A777" s="14"/>
      <c r="B777" s="14"/>
      <c r="C777" s="8"/>
      <c r="D777" s="3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</row>
    <row r="778" spans="1:73" ht="15.75" customHeight="1" thickBot="1">
      <c r="A778" s="14"/>
      <c r="B778" s="14"/>
      <c r="C778" s="8"/>
      <c r="D778" s="3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</row>
    <row r="779" spans="1:73" ht="15.75" customHeight="1" thickBot="1">
      <c r="A779" s="14"/>
      <c r="B779" s="14"/>
      <c r="C779" s="8"/>
      <c r="D779" s="3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</row>
    <row r="780" spans="1:73" ht="15.75" customHeight="1" thickBot="1">
      <c r="A780" s="14"/>
      <c r="B780" s="14"/>
      <c r="C780" s="8"/>
      <c r="D780" s="3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</row>
    <row r="781" spans="1:73" ht="15.75" customHeight="1" thickBot="1">
      <c r="A781" s="14"/>
      <c r="B781" s="14"/>
      <c r="C781" s="8"/>
      <c r="D781" s="3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</row>
    <row r="782" spans="1:73" ht="15.75" customHeight="1" thickBot="1">
      <c r="A782" s="14"/>
      <c r="B782" s="14"/>
      <c r="C782" s="8"/>
      <c r="D782" s="3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</row>
    <row r="783" spans="1:73" ht="15.75" customHeight="1" thickBot="1">
      <c r="A783" s="14"/>
      <c r="B783" s="14"/>
      <c r="C783" s="8"/>
      <c r="D783" s="3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</row>
    <row r="784" spans="1:73" ht="15.75" customHeight="1" thickBot="1">
      <c r="A784" s="14"/>
      <c r="B784" s="14"/>
      <c r="C784" s="8"/>
      <c r="D784" s="3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</row>
    <row r="785" spans="1:73" ht="15.75" customHeight="1" thickBot="1">
      <c r="A785" s="14"/>
      <c r="B785" s="14"/>
      <c r="C785" s="8"/>
      <c r="D785" s="3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</row>
    <row r="786" spans="1:73" ht="15.75" customHeight="1" thickBot="1">
      <c r="A786" s="14"/>
      <c r="B786" s="14"/>
      <c r="C786" s="8"/>
      <c r="D786" s="3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</row>
    <row r="787" spans="1:73" ht="15.75" customHeight="1" thickBot="1">
      <c r="A787" s="14"/>
      <c r="B787" s="14"/>
      <c r="C787" s="8"/>
      <c r="D787" s="3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</row>
    <row r="788" spans="1:73" ht="15.75" customHeight="1" thickBot="1">
      <c r="A788" s="14"/>
      <c r="B788" s="14"/>
      <c r="C788" s="8"/>
      <c r="D788" s="3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</row>
    <row r="789" spans="1:73" ht="15.75" customHeight="1" thickBot="1">
      <c r="A789" s="14"/>
      <c r="B789" s="14"/>
      <c r="C789" s="8"/>
      <c r="D789" s="3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</row>
    <row r="790" spans="1:73" ht="15.75" customHeight="1" thickBot="1">
      <c r="A790" s="14"/>
      <c r="B790" s="14"/>
      <c r="C790" s="8"/>
      <c r="D790" s="3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</row>
    <row r="791" spans="1:73" ht="15.75" customHeight="1" thickBot="1">
      <c r="A791" s="14"/>
      <c r="B791" s="14"/>
      <c r="C791" s="8"/>
      <c r="D791" s="3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</row>
    <row r="792" spans="1:73" ht="15.75" customHeight="1" thickBot="1">
      <c r="A792" s="14"/>
      <c r="B792" s="14"/>
      <c r="C792" s="8"/>
      <c r="D792" s="3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</row>
    <row r="793" spans="1:73" ht="15.75" customHeight="1" thickBot="1">
      <c r="A793" s="14"/>
      <c r="B793" s="14"/>
      <c r="C793" s="8"/>
      <c r="D793" s="3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</row>
    <row r="794" spans="1:73" ht="15.75" customHeight="1" thickBot="1">
      <c r="A794" s="14"/>
      <c r="B794" s="14"/>
      <c r="C794" s="8"/>
      <c r="D794" s="3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</row>
    <row r="795" spans="1:73" ht="15.75" customHeight="1" thickBot="1">
      <c r="A795" s="14"/>
      <c r="B795" s="14"/>
      <c r="C795" s="8"/>
      <c r="D795" s="3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</row>
    <row r="796" spans="1:73" ht="15.75" customHeight="1" thickBot="1">
      <c r="A796" s="14"/>
      <c r="B796" s="14"/>
      <c r="C796" s="8"/>
      <c r="D796" s="3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</row>
    <row r="797" spans="1:73" ht="15.75" customHeight="1" thickBot="1">
      <c r="A797" s="14"/>
      <c r="B797" s="14"/>
      <c r="C797" s="8"/>
      <c r="D797" s="3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</row>
    <row r="798" spans="1:73" ht="15.75" customHeight="1" thickBot="1">
      <c r="A798" s="14"/>
      <c r="B798" s="14"/>
      <c r="C798" s="8"/>
      <c r="D798" s="3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</row>
    <row r="799" spans="1:73" ht="15.75" customHeight="1" thickBot="1">
      <c r="A799" s="14"/>
      <c r="B799" s="14"/>
      <c r="C799" s="8"/>
      <c r="D799" s="3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</row>
    <row r="800" spans="1:73" ht="15.75" customHeight="1" thickBot="1">
      <c r="A800" s="14"/>
      <c r="B800" s="14"/>
      <c r="C800" s="8"/>
      <c r="D800" s="3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</row>
    <row r="801" spans="1:73" ht="15.75" customHeight="1" thickBot="1">
      <c r="A801" s="14"/>
      <c r="B801" s="14"/>
      <c r="C801" s="8"/>
      <c r="D801" s="3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</row>
    <row r="802" spans="1:73" ht="15.75" customHeight="1" thickBot="1">
      <c r="A802" s="14"/>
      <c r="B802" s="14"/>
      <c r="C802" s="8"/>
      <c r="D802" s="3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</row>
    <row r="803" spans="1:73" ht="15.75" customHeight="1" thickBot="1">
      <c r="A803" s="14"/>
      <c r="B803" s="14"/>
      <c r="C803" s="8"/>
      <c r="D803" s="3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</row>
    <row r="804" spans="1:73" ht="15.75" customHeight="1" thickBot="1">
      <c r="A804" s="14"/>
      <c r="B804" s="14"/>
      <c r="C804" s="8"/>
      <c r="D804" s="3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</row>
    <row r="805" spans="1:73" ht="15.75" customHeight="1" thickBot="1">
      <c r="A805" s="14"/>
      <c r="B805" s="14"/>
      <c r="C805" s="8"/>
      <c r="D805" s="3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</row>
    <row r="806" spans="1:73" ht="15.75" customHeight="1" thickBot="1">
      <c r="A806" s="14"/>
      <c r="B806" s="14"/>
      <c r="C806" s="8"/>
      <c r="D806" s="3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</row>
    <row r="807" spans="1:73" ht="15.75" customHeight="1" thickBot="1">
      <c r="A807" s="14"/>
      <c r="B807" s="14"/>
      <c r="C807" s="8"/>
      <c r="D807" s="3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</row>
    <row r="808" spans="1:73" ht="15.75" customHeight="1" thickBot="1">
      <c r="A808" s="14"/>
      <c r="B808" s="14"/>
      <c r="C808" s="8"/>
      <c r="D808" s="3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</row>
    <row r="809" spans="1:73" ht="15.75" customHeight="1" thickBot="1">
      <c r="A809" s="14"/>
      <c r="B809" s="14"/>
      <c r="C809" s="8"/>
      <c r="D809" s="3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</row>
    <row r="810" spans="1:73" ht="15.75" customHeight="1" thickBot="1">
      <c r="A810" s="14"/>
      <c r="B810" s="14"/>
      <c r="C810" s="8"/>
      <c r="D810" s="3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</row>
    <row r="811" spans="1:73" ht="15.75" customHeight="1" thickBot="1">
      <c r="A811" s="14"/>
      <c r="B811" s="14"/>
      <c r="C811" s="8"/>
      <c r="D811" s="3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</row>
    <row r="812" spans="1:73" ht="15.75" customHeight="1" thickBot="1">
      <c r="A812" s="14"/>
      <c r="B812" s="14"/>
      <c r="C812" s="8"/>
      <c r="D812" s="3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</row>
    <row r="813" spans="1:73" ht="15.75" customHeight="1" thickBot="1">
      <c r="A813" s="14"/>
      <c r="B813" s="14"/>
      <c r="C813" s="8"/>
      <c r="D813" s="3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</row>
    <row r="814" spans="1:73" ht="15.75" customHeight="1" thickBot="1">
      <c r="A814" s="14"/>
      <c r="B814" s="14"/>
      <c r="C814" s="8"/>
      <c r="D814" s="3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</row>
    <row r="815" spans="1:73" ht="15.75" customHeight="1" thickBot="1">
      <c r="A815" s="14"/>
      <c r="B815" s="14"/>
      <c r="C815" s="8"/>
      <c r="D815" s="3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</row>
    <row r="816" spans="1:73" ht="15.75" customHeight="1" thickBot="1">
      <c r="A816" s="14"/>
      <c r="B816" s="14"/>
      <c r="C816" s="8"/>
      <c r="D816" s="3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</row>
    <row r="817" spans="1:73" ht="15.75" customHeight="1" thickBot="1">
      <c r="A817" s="14"/>
      <c r="B817" s="14"/>
      <c r="C817" s="8"/>
      <c r="D817" s="3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</row>
    <row r="818" spans="1:73" ht="15.75" customHeight="1" thickBot="1">
      <c r="A818" s="14"/>
      <c r="B818" s="14"/>
      <c r="C818" s="8"/>
      <c r="D818" s="3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</row>
    <row r="819" spans="1:73" ht="15.75" customHeight="1" thickBot="1">
      <c r="A819" s="14"/>
      <c r="B819" s="14"/>
      <c r="C819" s="8"/>
      <c r="D819" s="3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</row>
    <row r="820" spans="1:73" ht="15.75" customHeight="1" thickBot="1">
      <c r="A820" s="14"/>
      <c r="B820" s="14"/>
      <c r="C820" s="8"/>
      <c r="D820" s="3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</row>
    <row r="821" spans="1:73" ht="15.75" customHeight="1" thickBot="1">
      <c r="A821" s="14"/>
      <c r="B821" s="14"/>
      <c r="C821" s="8"/>
      <c r="D821" s="3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</row>
    <row r="822" spans="1:73" ht="15.75" customHeight="1" thickBot="1">
      <c r="A822" s="14"/>
      <c r="B822" s="14"/>
      <c r="C822" s="8"/>
      <c r="D822" s="3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</row>
    <row r="823" spans="1:73" ht="15.75" customHeight="1" thickBot="1">
      <c r="A823" s="14"/>
      <c r="B823" s="14"/>
      <c r="C823" s="8"/>
      <c r="D823" s="3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</row>
    <row r="824" spans="1:73" ht="15.75" customHeight="1" thickBot="1">
      <c r="A824" s="14"/>
      <c r="B824" s="14"/>
      <c r="C824" s="8"/>
      <c r="D824" s="3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</row>
    <row r="825" spans="1:73" ht="15.75" customHeight="1" thickBot="1">
      <c r="A825" s="14"/>
      <c r="B825" s="14"/>
      <c r="C825" s="8"/>
      <c r="D825" s="3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</row>
    <row r="826" spans="1:73" ht="15.75" customHeight="1" thickBot="1">
      <c r="A826" s="14"/>
      <c r="B826" s="14"/>
      <c r="C826" s="8"/>
      <c r="D826" s="3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</row>
    <row r="827" spans="1:73" ht="15.75" customHeight="1" thickBot="1">
      <c r="A827" s="14"/>
      <c r="B827" s="14"/>
      <c r="C827" s="8"/>
      <c r="D827" s="3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</row>
    <row r="828" spans="1:73" ht="15.75" customHeight="1" thickBot="1">
      <c r="A828" s="14"/>
      <c r="B828" s="14"/>
      <c r="C828" s="8"/>
      <c r="D828" s="3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</row>
    <row r="829" spans="1:73" ht="15.75" customHeight="1" thickBot="1">
      <c r="A829" s="14"/>
      <c r="B829" s="14"/>
      <c r="C829" s="8"/>
      <c r="D829" s="3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</row>
    <row r="830" spans="1:73" ht="15.75" customHeight="1" thickBot="1">
      <c r="A830" s="14"/>
      <c r="B830" s="14"/>
      <c r="C830" s="8"/>
      <c r="D830" s="3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</row>
    <row r="831" spans="1:73" ht="15.75" customHeight="1" thickBot="1">
      <c r="A831" s="14"/>
      <c r="B831" s="14"/>
      <c r="C831" s="8"/>
      <c r="D831" s="3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</row>
    <row r="832" spans="1:73" ht="15.75" customHeight="1" thickBot="1">
      <c r="A832" s="14"/>
      <c r="B832" s="14"/>
      <c r="C832" s="8"/>
      <c r="D832" s="3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</row>
    <row r="833" spans="1:73" ht="15.75" customHeight="1" thickBot="1">
      <c r="A833" s="14"/>
      <c r="B833" s="14"/>
      <c r="C833" s="8"/>
      <c r="D833" s="3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</row>
    <row r="834" spans="1:73" ht="15.75" customHeight="1" thickBot="1">
      <c r="A834" s="14"/>
      <c r="B834" s="14"/>
      <c r="C834" s="8"/>
      <c r="D834" s="3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</row>
    <row r="835" spans="1:73" ht="15.75" customHeight="1" thickBot="1">
      <c r="A835" s="14"/>
      <c r="B835" s="14"/>
      <c r="C835" s="8"/>
      <c r="D835" s="3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</row>
    <row r="836" spans="1:73" ht="15.75" customHeight="1" thickBot="1">
      <c r="A836" s="14"/>
      <c r="B836" s="14"/>
      <c r="C836" s="8"/>
      <c r="D836" s="3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</row>
    <row r="837" spans="1:73" ht="15.75" customHeight="1" thickBot="1">
      <c r="A837" s="14"/>
      <c r="B837" s="14"/>
      <c r="C837" s="8"/>
      <c r="D837" s="3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</row>
    <row r="838" spans="1:73" ht="15.75" customHeight="1" thickBot="1">
      <c r="A838" s="14"/>
      <c r="B838" s="14"/>
      <c r="C838" s="8"/>
      <c r="D838" s="3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</row>
    <row r="839" spans="1:73" ht="15.75" customHeight="1" thickBot="1">
      <c r="A839" s="14"/>
      <c r="B839" s="14"/>
      <c r="C839" s="8"/>
      <c r="D839" s="3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</row>
    <row r="840" spans="1:73" ht="15.75" customHeight="1" thickBot="1">
      <c r="A840" s="14"/>
      <c r="B840" s="14"/>
      <c r="C840" s="8"/>
      <c r="D840" s="3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</row>
    <row r="841" spans="1:73" ht="15.75" customHeight="1" thickBot="1">
      <c r="A841" s="14"/>
      <c r="B841" s="14"/>
      <c r="C841" s="8"/>
      <c r="D841" s="3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</row>
    <row r="842" spans="1:73" ht="15.75" customHeight="1" thickBot="1">
      <c r="A842" s="14"/>
      <c r="B842" s="14"/>
      <c r="C842" s="8"/>
      <c r="D842" s="3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</row>
    <row r="843" spans="1:73" ht="15.75" customHeight="1" thickBot="1">
      <c r="A843" s="14"/>
      <c r="B843" s="14"/>
      <c r="C843" s="8"/>
      <c r="D843" s="3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</row>
    <row r="844" spans="1:73" ht="15.75" customHeight="1" thickBot="1">
      <c r="A844" s="14"/>
      <c r="B844" s="14"/>
      <c r="C844" s="8"/>
      <c r="D844" s="3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</row>
    <row r="845" spans="1:73" ht="15.75" customHeight="1" thickBot="1">
      <c r="A845" s="14"/>
      <c r="B845" s="14"/>
      <c r="C845" s="8"/>
      <c r="D845" s="3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</row>
    <row r="846" spans="1:73" ht="15.75" customHeight="1" thickBot="1">
      <c r="A846" s="14"/>
      <c r="B846" s="14"/>
      <c r="C846" s="8"/>
      <c r="D846" s="3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</row>
    <row r="847" spans="1:73" ht="15.75" customHeight="1" thickBot="1">
      <c r="A847" s="14"/>
      <c r="B847" s="14"/>
      <c r="C847" s="8"/>
      <c r="D847" s="3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</row>
    <row r="848" spans="1:73" ht="15.75" customHeight="1" thickBot="1">
      <c r="A848" s="14"/>
      <c r="B848" s="14"/>
      <c r="C848" s="8"/>
      <c r="D848" s="3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</row>
    <row r="849" spans="1:73" ht="15.75" customHeight="1" thickBot="1">
      <c r="A849" s="14"/>
      <c r="B849" s="14"/>
      <c r="C849" s="8"/>
      <c r="D849" s="3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</row>
    <row r="850" spans="1:73" ht="15.75" customHeight="1" thickBot="1">
      <c r="A850" s="14"/>
      <c r="B850" s="14"/>
      <c r="C850" s="8"/>
      <c r="D850" s="3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</row>
    <row r="851" spans="1:73" ht="15.75" customHeight="1" thickBot="1">
      <c r="A851" s="14"/>
      <c r="B851" s="14"/>
      <c r="C851" s="8"/>
      <c r="D851" s="3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</row>
    <row r="852" spans="1:73" ht="15.75" customHeight="1" thickBot="1">
      <c r="A852" s="14"/>
      <c r="B852" s="14"/>
      <c r="C852" s="8"/>
      <c r="D852" s="3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</row>
    <row r="853" spans="1:73" ht="15.75" customHeight="1" thickBot="1">
      <c r="A853" s="14"/>
      <c r="B853" s="14"/>
      <c r="C853" s="8"/>
      <c r="D853" s="3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</row>
    <row r="854" spans="1:73" ht="15.75" customHeight="1" thickBot="1">
      <c r="A854" s="14"/>
      <c r="B854" s="14"/>
      <c r="C854" s="8"/>
      <c r="D854" s="3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</row>
    <row r="855" spans="1:73" ht="15.75" customHeight="1" thickBot="1">
      <c r="A855" s="14"/>
      <c r="B855" s="14"/>
      <c r="C855" s="8"/>
      <c r="D855" s="3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</row>
    <row r="856" spans="1:73" ht="15.75" customHeight="1" thickBot="1">
      <c r="A856" s="14"/>
      <c r="B856" s="14"/>
      <c r="C856" s="8"/>
      <c r="D856" s="3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</row>
    <row r="857" spans="1:73" ht="15.75" customHeight="1" thickBot="1">
      <c r="A857" s="14"/>
      <c r="B857" s="14"/>
      <c r="C857" s="8"/>
      <c r="D857" s="3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</row>
    <row r="858" spans="1:73" ht="15.75" customHeight="1" thickBot="1">
      <c r="A858" s="14"/>
      <c r="B858" s="14"/>
      <c r="C858" s="8"/>
      <c r="D858" s="3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</row>
    <row r="859" spans="1:73" ht="15.75" customHeight="1" thickBot="1">
      <c r="A859" s="14"/>
      <c r="B859" s="14"/>
      <c r="C859" s="8"/>
      <c r="D859" s="3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</row>
    <row r="860" spans="1:73" thickBot="1"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</row>
    <row r="861" spans="1:73" thickBot="1"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</row>
    <row r="862" spans="1:73" thickBot="1"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</row>
    <row r="863" spans="1:73" thickBot="1">
      <c r="A863" s="15"/>
      <c r="B863" s="15"/>
      <c r="C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</row>
    <row r="864" spans="1:73" thickBot="1">
      <c r="A864" s="15"/>
      <c r="B864" s="15"/>
      <c r="C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</row>
    <row r="865" spans="1:73" thickBot="1">
      <c r="A865" s="15"/>
      <c r="B865" s="15"/>
      <c r="C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</row>
    <row r="866" spans="1:73" thickBot="1">
      <c r="A866" s="15"/>
      <c r="B866" s="15"/>
      <c r="C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</row>
    <row r="867" spans="1:73" thickBot="1">
      <c r="A867" s="15"/>
      <c r="B867" s="15"/>
      <c r="C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</row>
    <row r="868" spans="1:73" thickBot="1">
      <c r="A868" s="15"/>
      <c r="B868" s="15"/>
      <c r="C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</row>
    <row r="869" spans="1:73" thickBot="1">
      <c r="A869" s="15"/>
      <c r="B869" s="15"/>
      <c r="C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</row>
    <row r="870" spans="1:73" thickBot="1">
      <c r="A870" s="15"/>
      <c r="B870" s="15"/>
      <c r="C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</row>
    <row r="871" spans="1:73" thickBot="1">
      <c r="A871" s="15"/>
      <c r="B871" s="15"/>
      <c r="C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</row>
    <row r="872" spans="1:73" thickBot="1">
      <c r="A872" s="15"/>
      <c r="B872" s="15"/>
      <c r="C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</row>
    <row r="873" spans="1:73" thickBot="1">
      <c r="A873" s="15"/>
      <c r="B873" s="15"/>
      <c r="C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</row>
    <row r="874" spans="1:73" thickBot="1">
      <c r="A874" s="15"/>
      <c r="B874" s="15"/>
      <c r="C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</row>
    <row r="875" spans="1:73" thickBot="1">
      <c r="A875" s="15"/>
      <c r="B875" s="15"/>
      <c r="C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</row>
    <row r="876" spans="1:73" thickBot="1">
      <c r="A876" s="15"/>
      <c r="B876" s="15"/>
      <c r="C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</row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</sheetData>
  <mergeCells count="12">
    <mergeCell ref="A123:B123"/>
    <mergeCell ref="A197:B197"/>
    <mergeCell ref="A206:B206"/>
    <mergeCell ref="A78:B78"/>
    <mergeCell ref="A3:D3"/>
    <mergeCell ref="A143:B143"/>
    <mergeCell ref="A127:B127"/>
    <mergeCell ref="A77:B77"/>
    <mergeCell ref="A98:B98"/>
    <mergeCell ref="A198:B198"/>
    <mergeCell ref="A199:B199"/>
    <mergeCell ref="A109:B109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  <rowBreaks count="4" manualBreakCount="4">
    <brk id="61" max="16383" man="1"/>
    <brk id="107" max="3" man="1"/>
    <brk id="164" max="3" man="1"/>
    <brk id="204" max="3" man="1"/>
  </rowBreaks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L148"/>
  <sheetViews>
    <sheetView view="pageBreakPreview" topLeftCell="A7" zoomScale="89" zoomScaleSheetLayoutView="89" workbookViewId="0">
      <selection activeCell="A6" sqref="A6:A10"/>
    </sheetView>
  </sheetViews>
  <sheetFormatPr defaultRowHeight="15"/>
  <cols>
    <col min="1" max="1" width="46.7109375" style="222" customWidth="1"/>
    <col min="2" max="2" width="13.42578125" style="222" customWidth="1"/>
    <col min="3" max="3" width="15.85546875" style="222" customWidth="1"/>
    <col min="4" max="4" width="14.140625" style="222" customWidth="1"/>
    <col min="5" max="5" width="15" style="222" customWidth="1"/>
    <col min="6" max="6" width="13.5703125" style="222" customWidth="1"/>
    <col min="7" max="7" width="16.5703125" style="222" customWidth="1"/>
    <col min="8" max="13" width="12" style="222" customWidth="1"/>
    <col min="14" max="14" width="13.28515625" style="222" customWidth="1"/>
    <col min="15" max="15" width="13.5703125" style="222" customWidth="1"/>
    <col min="16" max="17" width="12" style="222" customWidth="1"/>
    <col min="18" max="18" width="18" style="222" customWidth="1"/>
    <col min="19" max="19" width="14.5703125" style="222" customWidth="1"/>
    <col min="20" max="20" width="13.28515625" style="222" customWidth="1"/>
    <col min="21" max="21" width="15" style="222" customWidth="1"/>
    <col min="22" max="22" width="17.28515625" style="222" customWidth="1"/>
    <col min="23" max="23" width="17" style="222" customWidth="1"/>
    <col min="24" max="24" width="18" style="222" customWidth="1"/>
    <col min="25" max="25" width="19.140625" style="222" customWidth="1"/>
    <col min="26" max="26" width="13" style="222" customWidth="1"/>
    <col min="27" max="16384" width="9.140625" style="222"/>
  </cols>
  <sheetData>
    <row r="1" spans="1:64" s="2" customFormat="1" ht="16.5" customHeight="1">
      <c r="A1" s="271" t="s">
        <v>486</v>
      </c>
    </row>
    <row r="2" spans="1:64" s="24" customFormat="1" ht="6.75" customHeight="1">
      <c r="A2" s="23"/>
    </row>
    <row r="3" spans="1:64" s="24" customFormat="1" ht="6.75" customHeight="1">
      <c r="A3" s="23"/>
    </row>
    <row r="4" spans="1:64" s="52" customFormat="1" ht="37.5" customHeight="1">
      <c r="A4" s="584" t="s">
        <v>157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275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64" ht="16.5" thickBo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576" t="s">
        <v>0</v>
      </c>
      <c r="U5" s="576"/>
      <c r="V5" s="576"/>
      <c r="W5" s="99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s="291" customFormat="1" ht="13.5" customHeight="1" thickBot="1">
      <c r="A6" s="565" t="s">
        <v>95</v>
      </c>
      <c r="B6" s="289" t="s">
        <v>30</v>
      </c>
      <c r="C6" s="289" t="s">
        <v>30</v>
      </c>
      <c r="D6" s="289" t="s">
        <v>31</v>
      </c>
      <c r="E6" s="289" t="s">
        <v>31</v>
      </c>
      <c r="F6" s="289" t="s">
        <v>32</v>
      </c>
      <c r="G6" s="289" t="s">
        <v>32</v>
      </c>
      <c r="H6" s="289" t="s">
        <v>33</v>
      </c>
      <c r="I6" s="289" t="s">
        <v>33</v>
      </c>
      <c r="J6" s="289" t="s">
        <v>34</v>
      </c>
      <c r="K6" s="289" t="s">
        <v>34</v>
      </c>
      <c r="L6" s="289" t="s">
        <v>35</v>
      </c>
      <c r="M6" s="289" t="s">
        <v>35</v>
      </c>
      <c r="N6" s="289" t="s">
        <v>36</v>
      </c>
      <c r="O6" s="289" t="s">
        <v>36</v>
      </c>
      <c r="P6" s="289" t="s">
        <v>37</v>
      </c>
      <c r="Q6" s="289" t="s">
        <v>37</v>
      </c>
      <c r="R6" s="571" t="s">
        <v>115</v>
      </c>
      <c r="S6" s="571"/>
      <c r="T6" s="571"/>
      <c r="U6" s="571"/>
      <c r="V6" s="571"/>
      <c r="W6" s="571"/>
      <c r="X6" s="308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</row>
    <row r="7" spans="1:64" s="293" customFormat="1" ht="29.25" customHeight="1" thickBot="1">
      <c r="A7" s="566"/>
      <c r="B7" s="556" t="s">
        <v>5</v>
      </c>
      <c r="C7" s="557"/>
      <c r="D7" s="556" t="s">
        <v>6</v>
      </c>
      <c r="E7" s="557"/>
      <c r="F7" s="556" t="s">
        <v>7</v>
      </c>
      <c r="G7" s="557"/>
      <c r="H7" s="556" t="s">
        <v>16</v>
      </c>
      <c r="I7" s="557"/>
      <c r="J7" s="556" t="s">
        <v>8</v>
      </c>
      <c r="K7" s="557"/>
      <c r="L7" s="556" t="s">
        <v>10</v>
      </c>
      <c r="M7" s="557"/>
      <c r="N7" s="556" t="s">
        <v>9</v>
      </c>
      <c r="O7" s="557"/>
      <c r="P7" s="556" t="s">
        <v>11</v>
      </c>
      <c r="Q7" s="557"/>
      <c r="R7" s="572" t="s">
        <v>14</v>
      </c>
      <c r="S7" s="572"/>
      <c r="T7" s="572"/>
      <c r="U7" s="572"/>
      <c r="V7" s="572"/>
      <c r="W7" s="572"/>
      <c r="X7" s="309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</row>
    <row r="8" spans="1:64" s="293" customFormat="1" ht="12.75" hidden="1" customHeight="1" thickBot="1">
      <c r="A8" s="566"/>
      <c r="B8" s="582"/>
      <c r="C8" s="583"/>
      <c r="D8" s="582"/>
      <c r="E8" s="583"/>
      <c r="F8" s="582"/>
      <c r="G8" s="583"/>
      <c r="H8" s="582"/>
      <c r="I8" s="583"/>
      <c r="J8" s="582"/>
      <c r="K8" s="583"/>
      <c r="L8" s="582"/>
      <c r="M8" s="583"/>
      <c r="N8" s="582"/>
      <c r="O8" s="583"/>
      <c r="P8" s="582"/>
      <c r="Q8" s="583"/>
      <c r="R8" s="572"/>
      <c r="S8" s="572"/>
      <c r="T8" s="572"/>
      <c r="U8" s="572"/>
      <c r="V8" s="572"/>
      <c r="W8" s="572"/>
      <c r="X8" s="309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</row>
    <row r="9" spans="1:64" s="293" customFormat="1" ht="24.75" customHeight="1" thickBot="1">
      <c r="A9" s="566"/>
      <c r="B9" s="558"/>
      <c r="C9" s="559"/>
      <c r="D9" s="558"/>
      <c r="E9" s="559"/>
      <c r="F9" s="558"/>
      <c r="G9" s="559"/>
      <c r="H9" s="558"/>
      <c r="I9" s="559"/>
      <c r="J9" s="558"/>
      <c r="K9" s="559"/>
      <c r="L9" s="558"/>
      <c r="M9" s="559"/>
      <c r="N9" s="558"/>
      <c r="O9" s="559"/>
      <c r="P9" s="558"/>
      <c r="Q9" s="559"/>
      <c r="R9" s="572" t="s">
        <v>39</v>
      </c>
      <c r="S9" s="572"/>
      <c r="T9" s="572" t="s">
        <v>40</v>
      </c>
      <c r="U9" s="572"/>
      <c r="V9" s="572" t="s">
        <v>14</v>
      </c>
      <c r="W9" s="572"/>
      <c r="X9" s="309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</row>
    <row r="10" spans="1:64" s="293" customFormat="1" ht="38.25" customHeight="1" thickBot="1">
      <c r="A10" s="567"/>
      <c r="B10" s="310" t="s">
        <v>148</v>
      </c>
      <c r="C10" s="310" t="s">
        <v>149</v>
      </c>
      <c r="D10" s="310" t="s">
        <v>148</v>
      </c>
      <c r="E10" s="310" t="s">
        <v>149</v>
      </c>
      <c r="F10" s="310" t="s">
        <v>148</v>
      </c>
      <c r="G10" s="310" t="s">
        <v>149</v>
      </c>
      <c r="H10" s="310" t="s">
        <v>148</v>
      </c>
      <c r="I10" s="310" t="s">
        <v>149</v>
      </c>
      <c r="J10" s="310" t="s">
        <v>148</v>
      </c>
      <c r="K10" s="310" t="s">
        <v>149</v>
      </c>
      <c r="L10" s="310" t="s">
        <v>148</v>
      </c>
      <c r="M10" s="310" t="s">
        <v>149</v>
      </c>
      <c r="N10" s="310" t="s">
        <v>148</v>
      </c>
      <c r="O10" s="310" t="s">
        <v>149</v>
      </c>
      <c r="P10" s="310" t="s">
        <v>148</v>
      </c>
      <c r="Q10" s="310" t="s">
        <v>149</v>
      </c>
      <c r="R10" s="310" t="s">
        <v>148</v>
      </c>
      <c r="S10" s="310" t="s">
        <v>149</v>
      </c>
      <c r="T10" s="310" t="s">
        <v>148</v>
      </c>
      <c r="U10" s="310" t="s">
        <v>149</v>
      </c>
      <c r="V10" s="310" t="s">
        <v>148</v>
      </c>
      <c r="W10" s="310" t="s">
        <v>149</v>
      </c>
      <c r="X10" s="309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</row>
    <row r="11" spans="1:64" s="34" customFormat="1" ht="39.950000000000003" customHeight="1">
      <c r="A11" s="30" t="s">
        <v>15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</row>
    <row r="12" spans="1:64" s="34" customFormat="1" ht="39.950000000000003" customHeight="1">
      <c r="A12" s="35" t="s">
        <v>41</v>
      </c>
      <c r="B12" s="36">
        <v>412019000</v>
      </c>
      <c r="C12" s="36">
        <f>B12+12134100+10579548+10041077-7230275</f>
        <v>437543450</v>
      </c>
      <c r="D12" s="36">
        <v>80256000</v>
      </c>
      <c r="E12" s="36">
        <f>D12+2366150+1038534+1363977+1080028</f>
        <v>86104689</v>
      </c>
      <c r="F12" s="36">
        <v>149360000</v>
      </c>
      <c r="G12" s="36">
        <f>SUM(F12)+1104900-199300+6045350</f>
        <v>156310950</v>
      </c>
      <c r="H12" s="45"/>
      <c r="I12" s="45"/>
      <c r="J12" s="36"/>
      <c r="K12" s="36">
        <f>95000</f>
        <v>95000</v>
      </c>
      <c r="L12" s="36"/>
      <c r="M12" s="36">
        <f>500800+284800+423300</f>
        <v>1208900</v>
      </c>
      <c r="N12" s="36"/>
      <c r="O12" s="36"/>
      <c r="P12" s="36"/>
      <c r="Q12" s="36"/>
      <c r="R12" s="36">
        <f>SUM(B12+D12+F12+H12+J12)</f>
        <v>641635000</v>
      </c>
      <c r="S12" s="36">
        <f>SUM(C12+E12+G12+I12+K12)</f>
        <v>680054089</v>
      </c>
      <c r="T12" s="36">
        <f>SUM(L12+N12+P12)</f>
        <v>0</v>
      </c>
      <c r="U12" s="36">
        <f>SUM(M12+O12+Q12)</f>
        <v>1208900</v>
      </c>
      <c r="V12" s="36">
        <f>SUM(R12+T12)</f>
        <v>641635000</v>
      </c>
      <c r="W12" s="36">
        <f>SUM(S12+U12)</f>
        <v>681262989</v>
      </c>
      <c r="X12" s="54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64" s="34" customFormat="1" ht="39.950000000000003" customHeight="1" thickBot="1">
      <c r="A13" s="276" t="s">
        <v>59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6">
        <f>SUM(B13+D13+F13+H13+J13)</f>
        <v>0</v>
      </c>
      <c r="S13" s="36">
        <f>SUM(C13+E13+G13+I13+K13)</f>
        <v>0</v>
      </c>
      <c r="T13" s="36">
        <f>SUM(L13+N13+P13)</f>
        <v>0</v>
      </c>
      <c r="U13" s="36">
        <f>SUM(M13+O13+Q13)</f>
        <v>0</v>
      </c>
      <c r="V13" s="36">
        <f>SUM(R13+T13)</f>
        <v>0</v>
      </c>
      <c r="W13" s="36">
        <f>SUM(S13+U13)</f>
        <v>0</v>
      </c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s="315" customFormat="1" ht="39.950000000000003" customHeight="1" thickBot="1">
      <c r="A14" s="311" t="s">
        <v>98</v>
      </c>
      <c r="B14" s="312">
        <f>B12+B13</f>
        <v>412019000</v>
      </c>
      <c r="C14" s="312">
        <f>C12+C13</f>
        <v>437543450</v>
      </c>
      <c r="D14" s="312">
        <f t="shared" ref="D14:U14" si="0">D12+D13</f>
        <v>80256000</v>
      </c>
      <c r="E14" s="312">
        <f t="shared" si="0"/>
        <v>86104689</v>
      </c>
      <c r="F14" s="312">
        <f t="shared" si="0"/>
        <v>149360000</v>
      </c>
      <c r="G14" s="312">
        <f t="shared" si="0"/>
        <v>156310950</v>
      </c>
      <c r="H14" s="312">
        <f t="shared" si="0"/>
        <v>0</v>
      </c>
      <c r="I14" s="312">
        <f t="shared" si="0"/>
        <v>0</v>
      </c>
      <c r="J14" s="312">
        <f t="shared" si="0"/>
        <v>0</v>
      </c>
      <c r="K14" s="312">
        <f t="shared" si="0"/>
        <v>95000</v>
      </c>
      <c r="L14" s="312">
        <f t="shared" si="0"/>
        <v>0</v>
      </c>
      <c r="M14" s="312">
        <f t="shared" si="0"/>
        <v>1208900</v>
      </c>
      <c r="N14" s="312">
        <f t="shared" si="0"/>
        <v>0</v>
      </c>
      <c r="O14" s="312">
        <f t="shared" si="0"/>
        <v>0</v>
      </c>
      <c r="P14" s="312">
        <f t="shared" si="0"/>
        <v>0</v>
      </c>
      <c r="Q14" s="312">
        <f t="shared" si="0"/>
        <v>0</v>
      </c>
      <c r="R14" s="312">
        <f t="shared" si="0"/>
        <v>641635000</v>
      </c>
      <c r="S14" s="312">
        <f t="shared" si="0"/>
        <v>680054089</v>
      </c>
      <c r="T14" s="312">
        <f t="shared" si="0"/>
        <v>0</v>
      </c>
      <c r="U14" s="312">
        <f t="shared" si="0"/>
        <v>1208900</v>
      </c>
      <c r="V14" s="312">
        <f>V12+V13</f>
        <v>641635000</v>
      </c>
      <c r="W14" s="312">
        <f>W12+W13</f>
        <v>681262989</v>
      </c>
      <c r="X14" s="54">
        <f>SUM('4. sz. melléklet'!Z15)</f>
        <v>681262989</v>
      </c>
      <c r="Y14" s="313">
        <f>SUM(X14-W14)</f>
        <v>0</v>
      </c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</row>
    <row r="15" spans="1:64" s="34" customFormat="1" ht="39.950000000000003" customHeight="1">
      <c r="A15" s="30" t="s">
        <v>116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54"/>
      <c r="Y15" s="31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s="48" customFormat="1" ht="39.950000000000003" customHeight="1">
      <c r="A16" s="55" t="s">
        <v>41</v>
      </c>
      <c r="B16" s="45">
        <v>79530490</v>
      </c>
      <c r="C16" s="45">
        <f>SUM(B16+9304955+9328620+10998145+3424624)</f>
        <v>112586834</v>
      </c>
      <c r="D16" s="45">
        <v>14607000</v>
      </c>
      <c r="E16" s="45">
        <f>SUM(D16+1814466+1014115+1494597+667802)</f>
        <v>19597980</v>
      </c>
      <c r="F16" s="45">
        <v>69267256</v>
      </c>
      <c r="G16" s="45">
        <f>69267256+34247947+15000000+1389000</f>
        <v>119904203</v>
      </c>
      <c r="H16" s="45"/>
      <c r="I16" s="45"/>
      <c r="J16" s="45"/>
      <c r="K16" s="45">
        <f>569200</f>
        <v>569200</v>
      </c>
      <c r="L16" s="45"/>
      <c r="M16" s="45">
        <f>2849000+1536000</f>
        <v>4385000</v>
      </c>
      <c r="N16" s="45"/>
      <c r="O16" s="45">
        <f>20990000</f>
        <v>20990000</v>
      </c>
      <c r="P16" s="45"/>
      <c r="Q16" s="45"/>
      <c r="R16" s="36">
        <f>SUM(B16+D16+F16+H16+J16)</f>
        <v>163404746</v>
      </c>
      <c r="S16" s="36">
        <f>SUM(C16+E16+G16+I16+K16)</f>
        <v>252658217</v>
      </c>
      <c r="T16" s="36">
        <f>SUM(L16+N16+P16)</f>
        <v>0</v>
      </c>
      <c r="U16" s="36">
        <f>SUM(M16+O16+Q16)</f>
        <v>25375000</v>
      </c>
      <c r="V16" s="36">
        <f>SUM(R16+T16)</f>
        <v>163404746</v>
      </c>
      <c r="W16" s="36">
        <f>SUM(S16+U16)</f>
        <v>278033217</v>
      </c>
      <c r="X16" s="54"/>
      <c r="Y16" s="313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s="48" customFormat="1" ht="39.950000000000003" customHeight="1" thickBot="1">
      <c r="A17" s="43" t="s">
        <v>59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36">
        <f>SUM(B17+D17+F17+H17+J17)</f>
        <v>0</v>
      </c>
      <c r="S17" s="36">
        <f>SUM(C17+E17+G17+I17+K17)</f>
        <v>0</v>
      </c>
      <c r="T17" s="36">
        <f>SUM(L17+N17+P17)</f>
        <v>0</v>
      </c>
      <c r="U17" s="36">
        <f>SUM(M17+O17+Q17)</f>
        <v>0</v>
      </c>
      <c r="V17" s="36">
        <f>SUM(R17+T17)</f>
        <v>0</v>
      </c>
      <c r="W17" s="36">
        <f>SUM(S17+U17)</f>
        <v>0</v>
      </c>
      <c r="X17" s="54"/>
      <c r="Y17" s="313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64" s="315" customFormat="1" ht="39.950000000000003" customHeight="1" thickBot="1">
      <c r="A18" s="311" t="s">
        <v>100</v>
      </c>
      <c r="B18" s="312">
        <f>B16+B17</f>
        <v>79530490</v>
      </c>
      <c r="C18" s="312">
        <f t="shared" ref="C18:Q18" si="1">C16+C17</f>
        <v>112586834</v>
      </c>
      <c r="D18" s="312">
        <f t="shared" si="1"/>
        <v>14607000</v>
      </c>
      <c r="E18" s="312">
        <f t="shared" si="1"/>
        <v>19597980</v>
      </c>
      <c r="F18" s="312">
        <f t="shared" si="1"/>
        <v>69267256</v>
      </c>
      <c r="G18" s="312">
        <f t="shared" si="1"/>
        <v>119904203</v>
      </c>
      <c r="H18" s="312">
        <f t="shared" si="1"/>
        <v>0</v>
      </c>
      <c r="I18" s="312">
        <f t="shared" si="1"/>
        <v>0</v>
      </c>
      <c r="J18" s="312">
        <f t="shared" si="1"/>
        <v>0</v>
      </c>
      <c r="K18" s="312">
        <f t="shared" si="1"/>
        <v>569200</v>
      </c>
      <c r="L18" s="312">
        <f t="shared" si="1"/>
        <v>0</v>
      </c>
      <c r="M18" s="312">
        <f t="shared" si="1"/>
        <v>4385000</v>
      </c>
      <c r="N18" s="312">
        <f t="shared" si="1"/>
        <v>0</v>
      </c>
      <c r="O18" s="312">
        <f t="shared" si="1"/>
        <v>20990000</v>
      </c>
      <c r="P18" s="312">
        <f t="shared" si="1"/>
        <v>0</v>
      </c>
      <c r="Q18" s="312">
        <f t="shared" si="1"/>
        <v>0</v>
      </c>
      <c r="R18" s="312">
        <f t="shared" ref="R18:W18" si="2">R16+R17</f>
        <v>163404746</v>
      </c>
      <c r="S18" s="312">
        <f t="shared" si="2"/>
        <v>252658217</v>
      </c>
      <c r="T18" s="312">
        <f t="shared" si="2"/>
        <v>0</v>
      </c>
      <c r="U18" s="312">
        <f t="shared" si="2"/>
        <v>25375000</v>
      </c>
      <c r="V18" s="312">
        <f t="shared" si="2"/>
        <v>163404746</v>
      </c>
      <c r="W18" s="312">
        <f t="shared" si="2"/>
        <v>278033217</v>
      </c>
      <c r="X18" s="54">
        <f>SUM('4. sz. melléklet'!Z19)</f>
        <v>278033217</v>
      </c>
      <c r="Y18" s="313">
        <f>SUM(X18-W18)</f>
        <v>0</v>
      </c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</row>
    <row r="19" spans="1:64" s="34" customFormat="1" ht="39.950000000000003" customHeight="1">
      <c r="A19" s="30" t="s">
        <v>101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54"/>
      <c r="Y19" s="31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s="34" customFormat="1" ht="39.950000000000003" customHeight="1">
      <c r="A20" s="35" t="s">
        <v>41</v>
      </c>
      <c r="B20" s="36">
        <v>108639053</v>
      </c>
      <c r="C20" s="36">
        <f>B20+7449222+248301+18279-10958398</f>
        <v>105396457</v>
      </c>
      <c r="D20" s="36">
        <v>20314805</v>
      </c>
      <c r="E20" s="36">
        <f>SUM(D20+1452598+48419+4428+8112)</f>
        <v>21828362</v>
      </c>
      <c r="F20" s="36">
        <v>192635385</v>
      </c>
      <c r="G20" s="36">
        <f>SUM(F20+2103497-45993482+38148506)</f>
        <v>186893906</v>
      </c>
      <c r="H20" s="45"/>
      <c r="I20" s="45"/>
      <c r="J20" s="36"/>
      <c r="K20" s="36"/>
      <c r="L20" s="36"/>
      <c r="M20" s="36">
        <v>739187</v>
      </c>
      <c r="N20" s="36">
        <v>114167900</v>
      </c>
      <c r="O20" s="36">
        <f>31992827</f>
        <v>31992827</v>
      </c>
      <c r="P20" s="36"/>
      <c r="Q20" s="36"/>
      <c r="R20" s="36">
        <f t="shared" ref="R20:S23" si="3">SUM(B20+D20+F20+H20+J20)</f>
        <v>321589243</v>
      </c>
      <c r="S20" s="36">
        <f t="shared" si="3"/>
        <v>314118725</v>
      </c>
      <c r="T20" s="36">
        <f t="shared" ref="T20:U23" si="4">SUM(L20+N20+P20)</f>
        <v>114167900</v>
      </c>
      <c r="U20" s="36">
        <f t="shared" si="4"/>
        <v>32732014</v>
      </c>
      <c r="V20" s="36">
        <f t="shared" ref="V20:W23" si="5">SUM(R20+T20)</f>
        <v>435757143</v>
      </c>
      <c r="W20" s="36">
        <f t="shared" si="5"/>
        <v>346850739</v>
      </c>
      <c r="X20" s="54"/>
      <c r="Y20" s="31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s="34" customFormat="1" ht="39.950000000000003" customHeight="1">
      <c r="A21" s="42" t="s">
        <v>427</v>
      </c>
      <c r="B21" s="40"/>
      <c r="C21" s="40"/>
      <c r="D21" s="40"/>
      <c r="E21" s="40"/>
      <c r="F21" s="40"/>
      <c r="G21" s="40">
        <v>2300000</v>
      </c>
      <c r="H21" s="102"/>
      <c r="I21" s="102"/>
      <c r="J21" s="40"/>
      <c r="K21" s="40"/>
      <c r="L21" s="40"/>
      <c r="M21" s="40"/>
      <c r="N21" s="40"/>
      <c r="O21" s="40">
        <f>114167900-2300000</f>
        <v>111867900</v>
      </c>
      <c r="P21" s="40"/>
      <c r="Q21" s="40"/>
      <c r="R21" s="40">
        <f>SUM(B21+D21+F21+H21+J21)</f>
        <v>0</v>
      </c>
      <c r="S21" s="40">
        <f>SUM(C21+E21+G21+I21+K21)</f>
        <v>2300000</v>
      </c>
      <c r="T21" s="40">
        <f>SUM(L21+N21+P21)</f>
        <v>0</v>
      </c>
      <c r="U21" s="40">
        <f>SUM(M21+O21+Q21)</f>
        <v>111867900</v>
      </c>
      <c r="V21" s="40">
        <f>SUM(R21+T21)</f>
        <v>0</v>
      </c>
      <c r="W21" s="40">
        <f>SUM(S21+U21)</f>
        <v>114167900</v>
      </c>
      <c r="X21" s="54"/>
      <c r="Y21" s="31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64" s="34" customFormat="1" ht="39.950000000000003" customHeight="1">
      <c r="A22" s="462" t="s">
        <v>457</v>
      </c>
      <c r="B22" s="56"/>
      <c r="C22" s="56">
        <v>2158600</v>
      </c>
      <c r="D22" s="56"/>
      <c r="E22" s="56">
        <v>523000</v>
      </c>
      <c r="F22" s="56"/>
      <c r="G22" s="56"/>
      <c r="H22" s="480"/>
      <c r="I22" s="480"/>
      <c r="J22" s="56"/>
      <c r="K22" s="56"/>
      <c r="L22" s="56"/>
      <c r="M22" s="56"/>
      <c r="N22" s="56"/>
      <c r="O22" s="56"/>
      <c r="P22" s="56"/>
      <c r="Q22" s="56"/>
      <c r="R22" s="56">
        <f>SUM(B22+D22+F22+H22+J22)</f>
        <v>0</v>
      </c>
      <c r="S22" s="56">
        <f>SUM(C22+E22+G22+I22+K22)</f>
        <v>2681600</v>
      </c>
      <c r="T22" s="56">
        <f>SUM(L22+N22+P22)</f>
        <v>0</v>
      </c>
      <c r="U22" s="56">
        <f>SUM(M22+O22+Q22)</f>
        <v>0</v>
      </c>
      <c r="V22" s="56">
        <f>SUM(R22+T22)</f>
        <v>0</v>
      </c>
      <c r="W22" s="56">
        <f>SUM(S22+U22)</f>
        <v>2681600</v>
      </c>
      <c r="X22" s="54"/>
      <c r="Y22" s="31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</row>
    <row r="23" spans="1:64" s="34" customFormat="1" ht="39.950000000000003" customHeight="1" thickBot="1">
      <c r="A23" s="276" t="s">
        <v>426</v>
      </c>
      <c r="B23" s="39"/>
      <c r="C23" s="39">
        <f>168892752+35640300+63699994+12500000</f>
        <v>280733046</v>
      </c>
      <c r="D23" s="39"/>
      <c r="E23" s="39">
        <f>10517677+4953350+17957807+5278100</f>
        <v>38706934</v>
      </c>
      <c r="F23" s="39"/>
      <c r="G23" s="39">
        <f>39335414+53150+32431338-2300000-17778100</f>
        <v>51741802</v>
      </c>
      <c r="H23" s="39"/>
      <c r="I23" s="39"/>
      <c r="J23" s="39"/>
      <c r="K23" s="39">
        <f>4813000</f>
        <v>4813000</v>
      </c>
      <c r="L23" s="39"/>
      <c r="M23" s="39">
        <f>5153435+354450</f>
        <v>5507885</v>
      </c>
      <c r="N23" s="39"/>
      <c r="O23" s="39"/>
      <c r="P23" s="39"/>
      <c r="Q23" s="39"/>
      <c r="R23" s="36">
        <f t="shared" si="3"/>
        <v>0</v>
      </c>
      <c r="S23" s="36">
        <f t="shared" si="3"/>
        <v>375994782</v>
      </c>
      <c r="T23" s="36">
        <f t="shared" si="4"/>
        <v>0</v>
      </c>
      <c r="U23" s="36">
        <f t="shared" si="4"/>
        <v>5507885</v>
      </c>
      <c r="V23" s="36">
        <f t="shared" si="5"/>
        <v>0</v>
      </c>
      <c r="W23" s="36">
        <f t="shared" si="5"/>
        <v>381502667</v>
      </c>
      <c r="X23" s="54"/>
      <c r="Y23" s="31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64" s="315" customFormat="1" ht="39.950000000000003" customHeight="1" thickBot="1">
      <c r="A24" s="311" t="s">
        <v>102</v>
      </c>
      <c r="B24" s="312">
        <f>SUM(B20:B23)</f>
        <v>108639053</v>
      </c>
      <c r="C24" s="312">
        <f t="shared" ref="C24:W24" si="6">SUM(C20:C23)</f>
        <v>388288103</v>
      </c>
      <c r="D24" s="312">
        <f t="shared" si="6"/>
        <v>20314805</v>
      </c>
      <c r="E24" s="312">
        <f t="shared" si="6"/>
        <v>61058296</v>
      </c>
      <c r="F24" s="312">
        <f t="shared" si="6"/>
        <v>192635385</v>
      </c>
      <c r="G24" s="312">
        <f t="shared" si="6"/>
        <v>240935708</v>
      </c>
      <c r="H24" s="312">
        <f t="shared" si="6"/>
        <v>0</v>
      </c>
      <c r="I24" s="312">
        <f t="shared" si="6"/>
        <v>0</v>
      </c>
      <c r="J24" s="312">
        <f t="shared" si="6"/>
        <v>0</v>
      </c>
      <c r="K24" s="312">
        <f t="shared" si="6"/>
        <v>4813000</v>
      </c>
      <c r="L24" s="312">
        <f t="shared" si="6"/>
        <v>0</v>
      </c>
      <c r="M24" s="312">
        <f t="shared" si="6"/>
        <v>6247072</v>
      </c>
      <c r="N24" s="312">
        <f t="shared" si="6"/>
        <v>114167900</v>
      </c>
      <c r="O24" s="312">
        <f t="shared" si="6"/>
        <v>143860727</v>
      </c>
      <c r="P24" s="312">
        <f t="shared" si="6"/>
        <v>0</v>
      </c>
      <c r="Q24" s="312">
        <f t="shared" si="6"/>
        <v>0</v>
      </c>
      <c r="R24" s="312">
        <f t="shared" si="6"/>
        <v>321589243</v>
      </c>
      <c r="S24" s="312">
        <f t="shared" si="6"/>
        <v>695095107</v>
      </c>
      <c r="T24" s="312">
        <f t="shared" si="6"/>
        <v>114167900</v>
      </c>
      <c r="U24" s="312">
        <f t="shared" si="6"/>
        <v>150107799</v>
      </c>
      <c r="V24" s="312">
        <f t="shared" si="6"/>
        <v>435757143</v>
      </c>
      <c r="W24" s="312">
        <f t="shared" si="6"/>
        <v>845202906</v>
      </c>
      <c r="X24" s="54">
        <f>SUM('4. sz. melléklet'!Z25)</f>
        <v>845202906</v>
      </c>
      <c r="Y24" s="313">
        <f>SUM(X24-W24)</f>
        <v>0</v>
      </c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</row>
    <row r="25" spans="1:64" s="34" customFormat="1" ht="39.950000000000003" customHeight="1">
      <c r="A25" s="30" t="s">
        <v>103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54"/>
      <c r="Y25" s="31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1:64" s="34" customFormat="1" ht="39.950000000000003" customHeight="1">
      <c r="A26" s="42" t="s">
        <v>41</v>
      </c>
      <c r="B26" s="40">
        <v>26413456</v>
      </c>
      <c r="C26" s="40">
        <f>B26-9668258+1396945+1235699+1783824-130126</f>
        <v>21031540</v>
      </c>
      <c r="D26" s="40">
        <v>5063140</v>
      </c>
      <c r="E26" s="40">
        <f>D26-1449572+272404+211816+431696+182741</f>
        <v>4712225</v>
      </c>
      <c r="F26" s="40">
        <v>12288086</v>
      </c>
      <c r="G26" s="40">
        <f>F26-7080774+4281795-1020100</f>
        <v>8469007</v>
      </c>
      <c r="H26" s="40"/>
      <c r="I26" s="40"/>
      <c r="J26" s="40"/>
      <c r="K26" s="40">
        <f>2100</f>
        <v>2100</v>
      </c>
      <c r="L26" s="40"/>
      <c r="M26" s="40">
        <f>1196000+60100</f>
        <v>1256100</v>
      </c>
      <c r="N26" s="40"/>
      <c r="O26" s="40"/>
      <c r="P26" s="40"/>
      <c r="Q26" s="40"/>
      <c r="R26" s="36">
        <f>SUM(B26+D26+F26+H26+J26)</f>
        <v>43764682</v>
      </c>
      <c r="S26" s="36">
        <f>SUM(C26+E26+G26+I26+K26)</f>
        <v>34214872</v>
      </c>
      <c r="T26" s="36">
        <f>SUM(L26+N26+P26)</f>
        <v>0</v>
      </c>
      <c r="U26" s="36">
        <f>SUM(M26+O26+Q26)</f>
        <v>1256100</v>
      </c>
      <c r="V26" s="36">
        <f>SUM(R26+T26)</f>
        <v>43764682</v>
      </c>
      <c r="W26" s="36">
        <f>SUM(S26+U26)</f>
        <v>35470972</v>
      </c>
      <c r="X26" s="54"/>
      <c r="Y26" s="31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64" s="34" customFormat="1" ht="39.950000000000003" customHeight="1" thickBot="1">
      <c r="A27" s="276" t="s">
        <v>59</v>
      </c>
      <c r="B27" s="39"/>
      <c r="C27" s="39">
        <f>9668258+854062</f>
        <v>10522320</v>
      </c>
      <c r="D27" s="39"/>
      <c r="E27" s="39">
        <f>1449572+166542+44400</f>
        <v>1660514</v>
      </c>
      <c r="F27" s="39"/>
      <c r="G27" s="39">
        <f>7080774+122123</f>
        <v>7202897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6">
        <f>SUM(B27+D27+F27+H27+J27)</f>
        <v>0</v>
      </c>
      <c r="S27" s="36">
        <f>SUM(C27+E27+G27+I27+K27)</f>
        <v>19385731</v>
      </c>
      <c r="T27" s="36">
        <f>SUM(L27+N27+P27)</f>
        <v>0</v>
      </c>
      <c r="U27" s="36">
        <f>SUM(M27+O27+Q27)</f>
        <v>0</v>
      </c>
      <c r="V27" s="36">
        <f>SUM(R27+T27)</f>
        <v>0</v>
      </c>
      <c r="W27" s="36">
        <f>SUM(S27+U27)</f>
        <v>19385731</v>
      </c>
      <c r="X27" s="54"/>
      <c r="Y27" s="31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64" s="315" customFormat="1" ht="27" customHeight="1" thickBot="1">
      <c r="A28" s="311" t="s">
        <v>104</v>
      </c>
      <c r="B28" s="312">
        <f>B26+B27</f>
        <v>26413456</v>
      </c>
      <c r="C28" s="312">
        <f>C26+C27</f>
        <v>31553860</v>
      </c>
      <c r="D28" s="312">
        <f t="shared" ref="D28:W28" si="7">D26+D27</f>
        <v>5063140</v>
      </c>
      <c r="E28" s="312">
        <f t="shared" si="7"/>
        <v>6372739</v>
      </c>
      <c r="F28" s="312">
        <f t="shared" si="7"/>
        <v>12288086</v>
      </c>
      <c r="G28" s="312">
        <f t="shared" si="7"/>
        <v>15671904</v>
      </c>
      <c r="H28" s="312">
        <f t="shared" si="7"/>
        <v>0</v>
      </c>
      <c r="I28" s="312">
        <f t="shared" si="7"/>
        <v>0</v>
      </c>
      <c r="J28" s="312">
        <f t="shared" si="7"/>
        <v>0</v>
      </c>
      <c r="K28" s="312">
        <f t="shared" si="7"/>
        <v>2100</v>
      </c>
      <c r="L28" s="312">
        <f t="shared" si="7"/>
        <v>0</v>
      </c>
      <c r="M28" s="312">
        <f t="shared" si="7"/>
        <v>1256100</v>
      </c>
      <c r="N28" s="312">
        <f t="shared" si="7"/>
        <v>0</v>
      </c>
      <c r="O28" s="312">
        <f t="shared" si="7"/>
        <v>0</v>
      </c>
      <c r="P28" s="312">
        <f t="shared" si="7"/>
        <v>0</v>
      </c>
      <c r="Q28" s="312">
        <f t="shared" si="7"/>
        <v>0</v>
      </c>
      <c r="R28" s="312">
        <f t="shared" si="7"/>
        <v>43764682</v>
      </c>
      <c r="S28" s="312">
        <f t="shared" si="7"/>
        <v>53600603</v>
      </c>
      <c r="T28" s="312">
        <f t="shared" si="7"/>
        <v>0</v>
      </c>
      <c r="U28" s="312">
        <f t="shared" si="7"/>
        <v>1256100</v>
      </c>
      <c r="V28" s="312">
        <f t="shared" si="7"/>
        <v>43764682</v>
      </c>
      <c r="W28" s="312">
        <f t="shared" si="7"/>
        <v>54856703</v>
      </c>
      <c r="X28" s="54">
        <f>SUM('4. sz. melléklet'!Z29)</f>
        <v>54856703</v>
      </c>
      <c r="Y28" s="313">
        <f>SUM(X28-W28)</f>
        <v>0</v>
      </c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4"/>
      <c r="BK28" s="314"/>
      <c r="BL28" s="314"/>
    </row>
    <row r="29" spans="1:64" s="291" customFormat="1" ht="13.5" hidden="1" customHeight="1" thickBot="1">
      <c r="A29" s="565" t="s">
        <v>95</v>
      </c>
      <c r="B29" s="289" t="s">
        <v>30</v>
      </c>
      <c r="C29" s="289" t="s">
        <v>30</v>
      </c>
      <c r="D29" s="289" t="s">
        <v>31</v>
      </c>
      <c r="E29" s="289" t="s">
        <v>31</v>
      </c>
      <c r="F29" s="289" t="s">
        <v>32</v>
      </c>
      <c r="G29" s="289" t="s">
        <v>32</v>
      </c>
      <c r="H29" s="289" t="s">
        <v>33</v>
      </c>
      <c r="I29" s="289" t="s">
        <v>33</v>
      </c>
      <c r="J29" s="289" t="s">
        <v>34</v>
      </c>
      <c r="K29" s="289" t="s">
        <v>34</v>
      </c>
      <c r="L29" s="289" t="s">
        <v>35</v>
      </c>
      <c r="M29" s="289" t="s">
        <v>35</v>
      </c>
      <c r="N29" s="289" t="s">
        <v>36</v>
      </c>
      <c r="O29" s="289" t="s">
        <v>36</v>
      </c>
      <c r="P29" s="289" t="s">
        <v>37</v>
      </c>
      <c r="Q29" s="289" t="s">
        <v>37</v>
      </c>
      <c r="R29" s="571" t="s">
        <v>115</v>
      </c>
      <c r="S29" s="571"/>
      <c r="T29" s="571"/>
      <c r="U29" s="571"/>
      <c r="V29" s="571"/>
      <c r="W29" s="571"/>
      <c r="X29" s="54"/>
      <c r="Y29" s="313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90"/>
      <c r="BK29" s="290"/>
      <c r="BL29" s="290"/>
    </row>
    <row r="30" spans="1:64" s="293" customFormat="1" ht="29.25" hidden="1" customHeight="1" thickBot="1">
      <c r="A30" s="566"/>
      <c r="B30" s="556" t="s">
        <v>5</v>
      </c>
      <c r="C30" s="557"/>
      <c r="D30" s="556" t="s">
        <v>6</v>
      </c>
      <c r="E30" s="557"/>
      <c r="F30" s="556" t="s">
        <v>7</v>
      </c>
      <c r="G30" s="557"/>
      <c r="H30" s="556" t="s">
        <v>16</v>
      </c>
      <c r="I30" s="557"/>
      <c r="J30" s="556" t="s">
        <v>8</v>
      </c>
      <c r="K30" s="557"/>
      <c r="L30" s="556" t="s">
        <v>10</v>
      </c>
      <c r="M30" s="557"/>
      <c r="N30" s="556" t="s">
        <v>9</v>
      </c>
      <c r="O30" s="557"/>
      <c r="P30" s="556" t="s">
        <v>11</v>
      </c>
      <c r="Q30" s="557"/>
      <c r="R30" s="572" t="s">
        <v>14</v>
      </c>
      <c r="S30" s="572"/>
      <c r="T30" s="572"/>
      <c r="U30" s="572"/>
      <c r="V30" s="572"/>
      <c r="W30" s="572"/>
      <c r="X30" s="54"/>
      <c r="Y30" s="313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</row>
    <row r="31" spans="1:64" s="293" customFormat="1" ht="12.75" hidden="1" customHeight="1" thickBot="1">
      <c r="A31" s="566"/>
      <c r="B31" s="582"/>
      <c r="C31" s="583"/>
      <c r="D31" s="582"/>
      <c r="E31" s="583"/>
      <c r="F31" s="582"/>
      <c r="G31" s="583"/>
      <c r="H31" s="582"/>
      <c r="I31" s="583"/>
      <c r="J31" s="582"/>
      <c r="K31" s="583"/>
      <c r="L31" s="582"/>
      <c r="M31" s="583"/>
      <c r="N31" s="582"/>
      <c r="O31" s="583"/>
      <c r="P31" s="582"/>
      <c r="Q31" s="583"/>
      <c r="R31" s="572"/>
      <c r="S31" s="572"/>
      <c r="T31" s="572"/>
      <c r="U31" s="572"/>
      <c r="V31" s="572"/>
      <c r="W31" s="572"/>
      <c r="X31" s="54"/>
      <c r="Y31" s="313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</row>
    <row r="32" spans="1:64" s="293" customFormat="1" ht="24.75" hidden="1" customHeight="1" thickBot="1">
      <c r="A32" s="566"/>
      <c r="B32" s="558"/>
      <c r="C32" s="559"/>
      <c r="D32" s="558"/>
      <c r="E32" s="559"/>
      <c r="F32" s="558"/>
      <c r="G32" s="559"/>
      <c r="H32" s="558"/>
      <c r="I32" s="559"/>
      <c r="J32" s="558"/>
      <c r="K32" s="559"/>
      <c r="L32" s="558"/>
      <c r="M32" s="559"/>
      <c r="N32" s="558"/>
      <c r="O32" s="559"/>
      <c r="P32" s="558"/>
      <c r="Q32" s="559"/>
      <c r="R32" s="572" t="s">
        <v>39</v>
      </c>
      <c r="S32" s="572"/>
      <c r="T32" s="572" t="s">
        <v>40</v>
      </c>
      <c r="U32" s="572"/>
      <c r="V32" s="572" t="s">
        <v>14</v>
      </c>
      <c r="W32" s="572"/>
      <c r="X32" s="54"/>
      <c r="Y32" s="313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</row>
    <row r="33" spans="1:64" s="293" customFormat="1" ht="38.25" hidden="1" customHeight="1" thickBot="1">
      <c r="A33" s="567"/>
      <c r="B33" s="310" t="s">
        <v>148</v>
      </c>
      <c r="C33" s="310" t="s">
        <v>149</v>
      </c>
      <c r="D33" s="310" t="s">
        <v>148</v>
      </c>
      <c r="E33" s="310" t="s">
        <v>149</v>
      </c>
      <c r="F33" s="310" t="s">
        <v>148</v>
      </c>
      <c r="G33" s="310" t="s">
        <v>149</v>
      </c>
      <c r="H33" s="310" t="s">
        <v>148</v>
      </c>
      <c r="I33" s="310" t="s">
        <v>149</v>
      </c>
      <c r="J33" s="310" t="s">
        <v>148</v>
      </c>
      <c r="K33" s="310" t="s">
        <v>149</v>
      </c>
      <c r="L33" s="310" t="s">
        <v>148</v>
      </c>
      <c r="M33" s="310" t="s">
        <v>149</v>
      </c>
      <c r="N33" s="310" t="s">
        <v>148</v>
      </c>
      <c r="O33" s="310" t="s">
        <v>149</v>
      </c>
      <c r="P33" s="310" t="s">
        <v>148</v>
      </c>
      <c r="Q33" s="310" t="s">
        <v>149</v>
      </c>
      <c r="R33" s="310" t="s">
        <v>148</v>
      </c>
      <c r="S33" s="310" t="s">
        <v>149</v>
      </c>
      <c r="T33" s="310" t="s">
        <v>148</v>
      </c>
      <c r="U33" s="310" t="s">
        <v>149</v>
      </c>
      <c r="V33" s="310" t="s">
        <v>148</v>
      </c>
      <c r="W33" s="310" t="s">
        <v>149</v>
      </c>
      <c r="X33" s="54"/>
      <c r="Y33" s="313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</row>
    <row r="34" spans="1:64" s="34" customFormat="1" ht="50.1" customHeight="1" thickBot="1">
      <c r="A34" s="101" t="s">
        <v>105</v>
      </c>
      <c r="B34" s="316">
        <f t="shared" ref="B34:Q34" si="8">B12+B16+B20+B26</f>
        <v>626601999</v>
      </c>
      <c r="C34" s="316">
        <f t="shared" si="8"/>
        <v>676558281</v>
      </c>
      <c r="D34" s="316">
        <f t="shared" si="8"/>
        <v>120240945</v>
      </c>
      <c r="E34" s="316">
        <f t="shared" si="8"/>
        <v>132243256</v>
      </c>
      <c r="F34" s="316">
        <f t="shared" si="8"/>
        <v>423550727</v>
      </c>
      <c r="G34" s="316">
        <f t="shared" si="8"/>
        <v>471578066</v>
      </c>
      <c r="H34" s="316">
        <f t="shared" si="8"/>
        <v>0</v>
      </c>
      <c r="I34" s="316">
        <f t="shared" si="8"/>
        <v>0</v>
      </c>
      <c r="J34" s="316">
        <f t="shared" si="8"/>
        <v>0</v>
      </c>
      <c r="K34" s="316">
        <f t="shared" si="8"/>
        <v>666300</v>
      </c>
      <c r="L34" s="316">
        <f t="shared" si="8"/>
        <v>0</v>
      </c>
      <c r="M34" s="316">
        <f t="shared" si="8"/>
        <v>7589187</v>
      </c>
      <c r="N34" s="316">
        <f t="shared" si="8"/>
        <v>114167900</v>
      </c>
      <c r="O34" s="316">
        <f t="shared" si="8"/>
        <v>52982827</v>
      </c>
      <c r="P34" s="316">
        <f t="shared" si="8"/>
        <v>0</v>
      </c>
      <c r="Q34" s="316">
        <f t="shared" si="8"/>
        <v>0</v>
      </c>
      <c r="R34" s="40">
        <f>SUM(B34+D34+F34+H34+J34)</f>
        <v>1170393671</v>
      </c>
      <c r="S34" s="40">
        <f>SUM(C34+E34+G34+I34+K34)</f>
        <v>1281045903</v>
      </c>
      <c r="T34" s="40">
        <f>SUM(L34+N34+P34)</f>
        <v>114167900</v>
      </c>
      <c r="U34" s="40">
        <f>SUM(M34+O34+Q34)</f>
        <v>60572014</v>
      </c>
      <c r="V34" s="40">
        <f>SUM(R34+T34)</f>
        <v>1284561571</v>
      </c>
      <c r="W34" s="40">
        <f>SUM(S34+U34)</f>
        <v>1341617917</v>
      </c>
      <c r="X34" s="54"/>
      <c r="Y34" s="31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5" spans="1:64" s="34" customFormat="1" ht="50.1" customHeight="1" thickBot="1">
      <c r="A35" s="101" t="s">
        <v>106</v>
      </c>
      <c r="B35" s="40">
        <f>B13+B17+B23+B27+B21</f>
        <v>0</v>
      </c>
      <c r="C35" s="40">
        <f>C13+C17+C23+C27+C21+C22</f>
        <v>293413966</v>
      </c>
      <c r="D35" s="40">
        <f t="shared" ref="D35:V35" si="9">D13+D17+D23+D27+D21</f>
        <v>0</v>
      </c>
      <c r="E35" s="40">
        <f>E13+E17+E23+E27+E21+E22</f>
        <v>40890448</v>
      </c>
      <c r="F35" s="40">
        <f t="shared" si="9"/>
        <v>0</v>
      </c>
      <c r="G35" s="40">
        <f t="shared" si="9"/>
        <v>61244699</v>
      </c>
      <c r="H35" s="40">
        <f t="shared" si="9"/>
        <v>0</v>
      </c>
      <c r="I35" s="40">
        <f t="shared" si="9"/>
        <v>0</v>
      </c>
      <c r="J35" s="40">
        <f t="shared" si="9"/>
        <v>0</v>
      </c>
      <c r="K35" s="40">
        <f t="shared" si="9"/>
        <v>4813000</v>
      </c>
      <c r="L35" s="40">
        <f t="shared" si="9"/>
        <v>0</v>
      </c>
      <c r="M35" s="40">
        <f t="shared" si="9"/>
        <v>5507885</v>
      </c>
      <c r="N35" s="40">
        <f t="shared" si="9"/>
        <v>0</v>
      </c>
      <c r="O35" s="40">
        <f t="shared" si="9"/>
        <v>111867900</v>
      </c>
      <c r="P35" s="40">
        <f t="shared" si="9"/>
        <v>0</v>
      </c>
      <c r="Q35" s="40">
        <f t="shared" si="9"/>
        <v>0</v>
      </c>
      <c r="R35" s="316">
        <f t="shared" si="9"/>
        <v>0</v>
      </c>
      <c r="S35" s="316">
        <f>S13+S17+S23+S27+S21+S22</f>
        <v>400362113</v>
      </c>
      <c r="T35" s="316">
        <f t="shared" si="9"/>
        <v>0</v>
      </c>
      <c r="U35" s="316">
        <f t="shared" si="9"/>
        <v>117375785</v>
      </c>
      <c r="V35" s="316">
        <f t="shared" si="9"/>
        <v>0</v>
      </c>
      <c r="W35" s="316">
        <f>W13+W17+W23+W27+W21+W22</f>
        <v>517737898</v>
      </c>
      <c r="X35" s="54"/>
      <c r="Y35" s="31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64" s="320" customFormat="1" ht="50.1" customHeight="1" thickBot="1">
      <c r="A36" s="317" t="s">
        <v>107</v>
      </c>
      <c r="B36" s="318">
        <f t="shared" ref="B36:V36" si="10">B34+B35</f>
        <v>626601999</v>
      </c>
      <c r="C36" s="318">
        <f t="shared" si="10"/>
        <v>969972247</v>
      </c>
      <c r="D36" s="318">
        <f t="shared" si="10"/>
        <v>120240945</v>
      </c>
      <c r="E36" s="318">
        <f t="shared" si="10"/>
        <v>173133704</v>
      </c>
      <c r="F36" s="318">
        <f t="shared" si="10"/>
        <v>423550727</v>
      </c>
      <c r="G36" s="318">
        <f t="shared" si="10"/>
        <v>532822765</v>
      </c>
      <c r="H36" s="318">
        <f t="shared" si="10"/>
        <v>0</v>
      </c>
      <c r="I36" s="318">
        <f t="shared" si="10"/>
        <v>0</v>
      </c>
      <c r="J36" s="318">
        <f t="shared" si="10"/>
        <v>0</v>
      </c>
      <c r="K36" s="318">
        <f t="shared" si="10"/>
        <v>5479300</v>
      </c>
      <c r="L36" s="318">
        <f t="shared" si="10"/>
        <v>0</v>
      </c>
      <c r="M36" s="318">
        <f t="shared" si="10"/>
        <v>13097072</v>
      </c>
      <c r="N36" s="318">
        <f t="shared" si="10"/>
        <v>114167900</v>
      </c>
      <c r="O36" s="318">
        <f t="shared" si="10"/>
        <v>164850727</v>
      </c>
      <c r="P36" s="318">
        <f t="shared" si="10"/>
        <v>0</v>
      </c>
      <c r="Q36" s="318">
        <f t="shared" si="10"/>
        <v>0</v>
      </c>
      <c r="R36" s="318">
        <f t="shared" si="10"/>
        <v>1170393671</v>
      </c>
      <c r="S36" s="318">
        <f t="shared" si="10"/>
        <v>1681408016</v>
      </c>
      <c r="T36" s="318">
        <f t="shared" si="10"/>
        <v>114167900</v>
      </c>
      <c r="U36" s="318">
        <f t="shared" si="10"/>
        <v>177947799</v>
      </c>
      <c r="V36" s="318">
        <f t="shared" si="10"/>
        <v>1284561571</v>
      </c>
      <c r="W36" s="318">
        <f>W34+W35</f>
        <v>1859355815</v>
      </c>
      <c r="X36" s="54"/>
      <c r="Y36" s="313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19"/>
      <c r="BE36" s="319"/>
      <c r="BF36" s="319"/>
      <c r="BG36" s="319"/>
      <c r="BH36" s="319"/>
      <c r="BI36" s="319"/>
      <c r="BJ36" s="319"/>
      <c r="BK36" s="319"/>
      <c r="BL36" s="319"/>
    </row>
    <row r="37" spans="1:64" s="34" customFormat="1" ht="39.950000000000003" customHeight="1">
      <c r="A37" s="30" t="s">
        <v>108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54"/>
      <c r="Y37" s="31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:64" s="34" customFormat="1" ht="39.950000000000003" customHeight="1">
      <c r="A38" s="42" t="s">
        <v>41</v>
      </c>
      <c r="B38" s="36">
        <v>213060052</v>
      </c>
      <c r="C38" s="36">
        <f>B38+27818955+1209617+55218+23000000+114802</f>
        <v>265258644</v>
      </c>
      <c r="D38" s="36">
        <v>43050695</v>
      </c>
      <c r="E38" s="36">
        <f>D38+5424697+1147650+13376+10000000+22386</f>
        <v>59658804</v>
      </c>
      <c r="F38" s="36">
        <v>42592000</v>
      </c>
      <c r="G38" s="36">
        <f>F38+147236-5000000</f>
        <v>37739236</v>
      </c>
      <c r="H38" s="36"/>
      <c r="I38" s="36"/>
      <c r="J38" s="36"/>
      <c r="K38" s="36"/>
      <c r="L38" s="36">
        <v>12685000</v>
      </c>
      <c r="M38" s="36">
        <f>L38-8000000</f>
        <v>4685000</v>
      </c>
      <c r="N38" s="36"/>
      <c r="O38" s="36"/>
      <c r="P38" s="40"/>
      <c r="Q38" s="40"/>
      <c r="R38" s="36">
        <f>SUM(B38+D38+F38+H38+J38)</f>
        <v>298702747</v>
      </c>
      <c r="S38" s="36">
        <f>SUM(C38+E38+G38+I38+K38)</f>
        <v>362656684</v>
      </c>
      <c r="T38" s="36">
        <f t="shared" ref="T38:U42" si="11">SUM(L38+N38+P38)</f>
        <v>12685000</v>
      </c>
      <c r="U38" s="36">
        <f t="shared" si="11"/>
        <v>4685000</v>
      </c>
      <c r="V38" s="36">
        <f t="shared" ref="V38:W42" si="12">SUM(R38+T38)</f>
        <v>311387747</v>
      </c>
      <c r="W38" s="36">
        <f t="shared" si="12"/>
        <v>367341684</v>
      </c>
      <c r="X38" s="54"/>
      <c r="Y38" s="31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</row>
    <row r="39" spans="1:64" s="34" customFormat="1" ht="39.950000000000003" hidden="1" customHeight="1">
      <c r="A39" s="276" t="s">
        <v>59</v>
      </c>
      <c r="B39" s="40"/>
      <c r="C39" s="40"/>
      <c r="D39" s="40"/>
      <c r="E39" s="40"/>
      <c r="F39" s="40"/>
      <c r="G39" s="36">
        <f>F39</f>
        <v>0</v>
      </c>
      <c r="H39" s="40"/>
      <c r="I39" s="40"/>
      <c r="J39" s="40"/>
      <c r="K39" s="40"/>
      <c r="L39" s="40"/>
      <c r="M39" s="40"/>
      <c r="N39" s="40"/>
      <c r="O39" s="40"/>
      <c r="P39" s="56"/>
      <c r="Q39" s="56"/>
      <c r="R39" s="36">
        <f t="shared" ref="R39:S42" si="13">SUM(B39+D39+F39+H39+J39)</f>
        <v>0</v>
      </c>
      <c r="S39" s="36">
        <f t="shared" si="13"/>
        <v>0</v>
      </c>
      <c r="T39" s="36">
        <f t="shared" si="11"/>
        <v>0</v>
      </c>
      <c r="U39" s="36">
        <f t="shared" si="11"/>
        <v>0</v>
      </c>
      <c r="V39" s="36">
        <f t="shared" si="12"/>
        <v>0</v>
      </c>
      <c r="W39" s="36">
        <f t="shared" si="12"/>
        <v>0</v>
      </c>
      <c r="X39" s="54">
        <f>SUM('[1]4. sz. melléklet'!Z38)</f>
        <v>40000</v>
      </c>
      <c r="Y39" s="313">
        <f>SUM(X39-W39)</f>
        <v>40000</v>
      </c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</row>
    <row r="40" spans="1:64" s="48" customFormat="1" ht="39.950000000000003" hidden="1" customHeight="1">
      <c r="A40" s="43" t="s">
        <v>109</v>
      </c>
      <c r="B40" s="44"/>
      <c r="C40" s="44"/>
      <c r="D40" s="44"/>
      <c r="E40" s="44"/>
      <c r="F40" s="44"/>
      <c r="G40" s="36">
        <f>F40</f>
        <v>0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36">
        <f t="shared" si="13"/>
        <v>0</v>
      </c>
      <c r="S40" s="36">
        <f t="shared" si="13"/>
        <v>0</v>
      </c>
      <c r="T40" s="36">
        <f t="shared" si="11"/>
        <v>0</v>
      </c>
      <c r="U40" s="36">
        <f t="shared" si="11"/>
        <v>0</v>
      </c>
      <c r="V40" s="36">
        <f t="shared" si="12"/>
        <v>0</v>
      </c>
      <c r="W40" s="36">
        <f t="shared" si="12"/>
        <v>0</v>
      </c>
      <c r="X40" s="54">
        <f>SUM('[1]4. sz. melléklet'!Z39)</f>
        <v>2376210506</v>
      </c>
      <c r="Y40" s="313">
        <f>SUM(X40-W40)</f>
        <v>2376210506</v>
      </c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</row>
    <row r="41" spans="1:64" s="48" customFormat="1" ht="39.950000000000003" customHeight="1">
      <c r="A41" s="43" t="s">
        <v>109</v>
      </c>
      <c r="B41" s="44"/>
      <c r="C41" s="44">
        <f>4317486</f>
        <v>4317486</v>
      </c>
      <c r="D41" s="44"/>
      <c r="E41" s="44">
        <f>879185</f>
        <v>879185</v>
      </c>
      <c r="F41" s="44"/>
      <c r="G41" s="36">
        <f>618024</f>
        <v>618024</v>
      </c>
      <c r="H41" s="44"/>
      <c r="I41" s="44"/>
      <c r="J41" s="44"/>
      <c r="K41" s="44">
        <v>15343</v>
      </c>
      <c r="L41" s="44"/>
      <c r="M41" s="44"/>
      <c r="N41" s="44"/>
      <c r="O41" s="44"/>
      <c r="P41" s="44"/>
      <c r="Q41" s="44"/>
      <c r="R41" s="36">
        <f t="shared" si="13"/>
        <v>0</v>
      </c>
      <c r="S41" s="36">
        <f t="shared" si="13"/>
        <v>5830038</v>
      </c>
      <c r="T41" s="36">
        <f>SUM(L41+N41+P41)</f>
        <v>0</v>
      </c>
      <c r="U41" s="36">
        <f>SUM(M41+O41+Q41)</f>
        <v>0</v>
      </c>
      <c r="V41" s="36">
        <f>SUM(R41+T41)</f>
        <v>0</v>
      </c>
      <c r="W41" s="36">
        <f>SUM(S41+U41)</f>
        <v>5830038</v>
      </c>
      <c r="X41" s="54"/>
      <c r="Y41" s="313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</row>
    <row r="42" spans="1:64" s="48" customFormat="1" ht="39.950000000000003" customHeight="1" thickBot="1">
      <c r="A42" s="321" t="s">
        <v>59</v>
      </c>
      <c r="B42" s="322"/>
      <c r="C42" s="322">
        <f>12294000</f>
        <v>12294000</v>
      </c>
      <c r="D42" s="322"/>
      <c r="E42" s="322">
        <f>2300700</f>
        <v>2300700</v>
      </c>
      <c r="F42" s="322">
        <v>96776076</v>
      </c>
      <c r="G42" s="36">
        <f>F42-14594700-18929842</f>
        <v>63251534</v>
      </c>
      <c r="H42" s="322"/>
      <c r="I42" s="322"/>
      <c r="J42" s="322"/>
      <c r="K42" s="322"/>
      <c r="L42" s="322"/>
      <c r="M42" s="322">
        <v>18929842</v>
      </c>
      <c r="N42" s="322"/>
      <c r="O42" s="322"/>
      <c r="P42" s="322"/>
      <c r="Q42" s="322"/>
      <c r="R42" s="36">
        <f t="shared" si="13"/>
        <v>96776076</v>
      </c>
      <c r="S42" s="36">
        <f t="shared" si="13"/>
        <v>77846234</v>
      </c>
      <c r="T42" s="36">
        <f t="shared" si="11"/>
        <v>0</v>
      </c>
      <c r="U42" s="36">
        <f t="shared" si="11"/>
        <v>18929842</v>
      </c>
      <c r="V42" s="36">
        <f t="shared" si="12"/>
        <v>96776076</v>
      </c>
      <c r="W42" s="36">
        <f t="shared" si="12"/>
        <v>96776076</v>
      </c>
      <c r="X42" s="54"/>
      <c r="Y42" s="313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</row>
    <row r="43" spans="1:64" s="315" customFormat="1" ht="39.950000000000003" customHeight="1" thickBot="1">
      <c r="A43" s="311" t="s">
        <v>110</v>
      </c>
      <c r="B43" s="312">
        <f>SUM(B38:B42)</f>
        <v>213060052</v>
      </c>
      <c r="C43" s="312">
        <f>SUM(C38:C42)</f>
        <v>281870130</v>
      </c>
      <c r="D43" s="312">
        <f t="shared" ref="D43:V43" si="14">SUM(D38:D42)</f>
        <v>43050695</v>
      </c>
      <c r="E43" s="312">
        <f t="shared" si="14"/>
        <v>62838689</v>
      </c>
      <c r="F43" s="312">
        <f t="shared" si="14"/>
        <v>139368076</v>
      </c>
      <c r="G43" s="312">
        <f t="shared" si="14"/>
        <v>101608794</v>
      </c>
      <c r="H43" s="312">
        <f t="shared" si="14"/>
        <v>0</v>
      </c>
      <c r="I43" s="312">
        <f t="shared" si="14"/>
        <v>0</v>
      </c>
      <c r="J43" s="312">
        <f t="shared" si="14"/>
        <v>0</v>
      </c>
      <c r="K43" s="312">
        <f t="shared" si="14"/>
        <v>15343</v>
      </c>
      <c r="L43" s="312">
        <f t="shared" si="14"/>
        <v>12685000</v>
      </c>
      <c r="M43" s="312">
        <f t="shared" si="14"/>
        <v>23614842</v>
      </c>
      <c r="N43" s="312">
        <f t="shared" si="14"/>
        <v>0</v>
      </c>
      <c r="O43" s="312">
        <f t="shared" si="14"/>
        <v>0</v>
      </c>
      <c r="P43" s="312">
        <f t="shared" si="14"/>
        <v>0</v>
      </c>
      <c r="Q43" s="312">
        <f t="shared" si="14"/>
        <v>0</v>
      </c>
      <c r="R43" s="312">
        <f t="shared" si="14"/>
        <v>395478823</v>
      </c>
      <c r="S43" s="312">
        <f t="shared" si="14"/>
        <v>446332956</v>
      </c>
      <c r="T43" s="312">
        <f t="shared" si="14"/>
        <v>12685000</v>
      </c>
      <c r="U43" s="312">
        <f t="shared" si="14"/>
        <v>23614842</v>
      </c>
      <c r="V43" s="312">
        <f t="shared" si="14"/>
        <v>408163823</v>
      </c>
      <c r="W43" s="312">
        <f>SUM(W38:W42)</f>
        <v>469947798</v>
      </c>
      <c r="X43" s="54">
        <f>SUM('4. sz. melléklet'!Z37)</f>
        <v>469947798</v>
      </c>
      <c r="Y43" s="313">
        <f>SUM(X43-W43)</f>
        <v>0</v>
      </c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</row>
    <row r="44" spans="1:64" s="34" customFormat="1" ht="39.950000000000003" customHeight="1" thickBot="1">
      <c r="A44" s="104" t="s">
        <v>111</v>
      </c>
      <c r="B44" s="105">
        <f t="shared" ref="B44:Q44" si="15">B34+B38</f>
        <v>839662051</v>
      </c>
      <c r="C44" s="105">
        <f t="shared" si="15"/>
        <v>941816925</v>
      </c>
      <c r="D44" s="105">
        <f t="shared" si="15"/>
        <v>163291640</v>
      </c>
      <c r="E44" s="105">
        <f t="shared" si="15"/>
        <v>191902060</v>
      </c>
      <c r="F44" s="105">
        <f t="shared" si="15"/>
        <v>466142727</v>
      </c>
      <c r="G44" s="105">
        <f t="shared" si="15"/>
        <v>509317302</v>
      </c>
      <c r="H44" s="105">
        <f t="shared" si="15"/>
        <v>0</v>
      </c>
      <c r="I44" s="105">
        <f t="shared" si="15"/>
        <v>0</v>
      </c>
      <c r="J44" s="105">
        <f t="shared" si="15"/>
        <v>0</v>
      </c>
      <c r="K44" s="105">
        <f t="shared" si="15"/>
        <v>666300</v>
      </c>
      <c r="L44" s="105">
        <f t="shared" si="15"/>
        <v>12685000</v>
      </c>
      <c r="M44" s="105">
        <f t="shared" si="15"/>
        <v>12274187</v>
      </c>
      <c r="N44" s="105">
        <f t="shared" si="15"/>
        <v>114167900</v>
      </c>
      <c r="O44" s="105">
        <f t="shared" si="15"/>
        <v>52982827</v>
      </c>
      <c r="P44" s="105">
        <f t="shared" si="15"/>
        <v>0</v>
      </c>
      <c r="Q44" s="105">
        <f t="shared" si="15"/>
        <v>0</v>
      </c>
      <c r="R44" s="41">
        <f>SUM(B44+D44+F44+H44+J44)</f>
        <v>1469096418</v>
      </c>
      <c r="S44" s="41">
        <f>SUM(C44+E44+G44+I44+K44)</f>
        <v>1643702587</v>
      </c>
      <c r="T44" s="41">
        <f>SUM(L44+N44+P44)</f>
        <v>126852900</v>
      </c>
      <c r="U44" s="41">
        <f>SUM(M44+O44+Q44)</f>
        <v>65257014</v>
      </c>
      <c r="V44" s="41">
        <f>SUM(R44+T44)</f>
        <v>1595949318</v>
      </c>
      <c r="W44" s="41">
        <f>SUM(S44+U44)</f>
        <v>1708959601</v>
      </c>
      <c r="X44" s="54"/>
      <c r="Y44" s="31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</row>
    <row r="45" spans="1:64" s="34" customFormat="1" ht="39.950000000000003" customHeight="1" thickBot="1">
      <c r="A45" s="49" t="s">
        <v>112</v>
      </c>
      <c r="B45" s="41">
        <f>SUM(B35+B42)</f>
        <v>0</v>
      </c>
      <c r="C45" s="41">
        <f t="shared" ref="C45:K45" si="16">SUM(C35+C42)</f>
        <v>305707966</v>
      </c>
      <c r="D45" s="41">
        <f t="shared" si="16"/>
        <v>0</v>
      </c>
      <c r="E45" s="41">
        <f t="shared" si="16"/>
        <v>43191148</v>
      </c>
      <c r="F45" s="41">
        <f t="shared" si="16"/>
        <v>96776076</v>
      </c>
      <c r="G45" s="41">
        <f t="shared" si="16"/>
        <v>124496233</v>
      </c>
      <c r="H45" s="41">
        <f t="shared" si="16"/>
        <v>0</v>
      </c>
      <c r="I45" s="41">
        <f t="shared" si="16"/>
        <v>0</v>
      </c>
      <c r="J45" s="41">
        <f t="shared" si="16"/>
        <v>0</v>
      </c>
      <c r="K45" s="41">
        <f t="shared" si="16"/>
        <v>4813000</v>
      </c>
      <c r="L45" s="41">
        <f t="shared" ref="L45:W45" si="17">SUM(L35+L39+L42)</f>
        <v>0</v>
      </c>
      <c r="M45" s="41">
        <f t="shared" si="17"/>
        <v>24437727</v>
      </c>
      <c r="N45" s="41">
        <f t="shared" si="17"/>
        <v>0</v>
      </c>
      <c r="O45" s="41">
        <f t="shared" si="17"/>
        <v>111867900</v>
      </c>
      <c r="P45" s="41">
        <f t="shared" si="17"/>
        <v>0</v>
      </c>
      <c r="Q45" s="41">
        <f t="shared" si="17"/>
        <v>0</v>
      </c>
      <c r="R45" s="50">
        <f t="shared" si="17"/>
        <v>96776076</v>
      </c>
      <c r="S45" s="50">
        <f t="shared" si="17"/>
        <v>478208347</v>
      </c>
      <c r="T45" s="50">
        <f t="shared" si="17"/>
        <v>0</v>
      </c>
      <c r="U45" s="50">
        <f t="shared" si="17"/>
        <v>136305627</v>
      </c>
      <c r="V45" s="50">
        <f t="shared" si="17"/>
        <v>96776076</v>
      </c>
      <c r="W45" s="50">
        <f t="shared" si="17"/>
        <v>614513974</v>
      </c>
      <c r="X45" s="54"/>
      <c r="Y45" s="31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</row>
    <row r="46" spans="1:64" ht="39.950000000000003" customHeight="1" thickBot="1">
      <c r="A46" s="106" t="s">
        <v>113</v>
      </c>
      <c r="B46" s="51">
        <f>SUM(B41)</f>
        <v>0</v>
      </c>
      <c r="C46" s="51">
        <f t="shared" ref="C46:W46" si="18">SUM(C41)</f>
        <v>4317486</v>
      </c>
      <c r="D46" s="51">
        <f t="shared" si="18"/>
        <v>0</v>
      </c>
      <c r="E46" s="51">
        <f t="shared" si="18"/>
        <v>879185</v>
      </c>
      <c r="F46" s="51">
        <f t="shared" si="18"/>
        <v>0</v>
      </c>
      <c r="G46" s="51">
        <f t="shared" si="18"/>
        <v>618024</v>
      </c>
      <c r="H46" s="51">
        <f t="shared" si="18"/>
        <v>0</v>
      </c>
      <c r="I46" s="51">
        <f t="shared" si="18"/>
        <v>0</v>
      </c>
      <c r="J46" s="51">
        <f t="shared" si="18"/>
        <v>0</v>
      </c>
      <c r="K46" s="51">
        <f t="shared" si="18"/>
        <v>15343</v>
      </c>
      <c r="L46" s="51">
        <f t="shared" si="18"/>
        <v>0</v>
      </c>
      <c r="M46" s="51">
        <f t="shared" si="18"/>
        <v>0</v>
      </c>
      <c r="N46" s="51">
        <f t="shared" si="18"/>
        <v>0</v>
      </c>
      <c r="O46" s="51">
        <f t="shared" si="18"/>
        <v>0</v>
      </c>
      <c r="P46" s="51">
        <f t="shared" si="18"/>
        <v>0</v>
      </c>
      <c r="Q46" s="51">
        <f t="shared" si="18"/>
        <v>0</v>
      </c>
      <c r="R46" s="51">
        <f t="shared" si="18"/>
        <v>0</v>
      </c>
      <c r="S46" s="51">
        <f t="shared" si="18"/>
        <v>5830038</v>
      </c>
      <c r="T46" s="51">
        <f t="shared" si="18"/>
        <v>0</v>
      </c>
      <c r="U46" s="51">
        <f t="shared" si="18"/>
        <v>0</v>
      </c>
      <c r="V46" s="51">
        <f t="shared" si="18"/>
        <v>0</v>
      </c>
      <c r="W46" s="51">
        <f t="shared" si="18"/>
        <v>5830038</v>
      </c>
      <c r="X46" s="54"/>
      <c r="Y46" s="31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s="158" customFormat="1" ht="39.950000000000003" customHeight="1" thickBot="1">
      <c r="A47" s="311" t="s">
        <v>114</v>
      </c>
      <c r="B47" s="312">
        <f>SUM(B44:B46)</f>
        <v>839662051</v>
      </c>
      <c r="C47" s="312">
        <f>SUM(C44:C46)</f>
        <v>1251842377</v>
      </c>
      <c r="D47" s="312">
        <f t="shared" ref="D47:V47" si="19">SUM(D44:D46)</f>
        <v>163291640</v>
      </c>
      <c r="E47" s="312">
        <f t="shared" si="19"/>
        <v>235972393</v>
      </c>
      <c r="F47" s="312">
        <f t="shared" si="19"/>
        <v>562918803</v>
      </c>
      <c r="G47" s="312">
        <f t="shared" si="19"/>
        <v>634431559</v>
      </c>
      <c r="H47" s="312">
        <f t="shared" si="19"/>
        <v>0</v>
      </c>
      <c r="I47" s="312">
        <f t="shared" si="19"/>
        <v>0</v>
      </c>
      <c r="J47" s="312">
        <f t="shared" si="19"/>
        <v>0</v>
      </c>
      <c r="K47" s="312">
        <f t="shared" si="19"/>
        <v>5494643</v>
      </c>
      <c r="L47" s="312">
        <f t="shared" si="19"/>
        <v>12685000</v>
      </c>
      <c r="M47" s="312">
        <f t="shared" si="19"/>
        <v>36711914</v>
      </c>
      <c r="N47" s="312">
        <f t="shared" si="19"/>
        <v>114167900</v>
      </c>
      <c r="O47" s="312">
        <f t="shared" si="19"/>
        <v>164850727</v>
      </c>
      <c r="P47" s="312">
        <f t="shared" si="19"/>
        <v>0</v>
      </c>
      <c r="Q47" s="312">
        <f t="shared" si="19"/>
        <v>0</v>
      </c>
      <c r="R47" s="312">
        <f t="shared" si="19"/>
        <v>1565872494</v>
      </c>
      <c r="S47" s="312">
        <f t="shared" si="19"/>
        <v>2127740972</v>
      </c>
      <c r="T47" s="312">
        <f t="shared" si="19"/>
        <v>126852900</v>
      </c>
      <c r="U47" s="312">
        <f t="shared" si="19"/>
        <v>201562641</v>
      </c>
      <c r="V47" s="312">
        <f t="shared" si="19"/>
        <v>1692725394</v>
      </c>
      <c r="W47" s="312">
        <f>SUM(W44:W46)</f>
        <v>2329303613</v>
      </c>
      <c r="X47" s="54">
        <f>SUM('4. sz. melléklet'!Z41)</f>
        <v>2329303613</v>
      </c>
      <c r="Y47" s="313">
        <f>SUM(X47-W47)</f>
        <v>0</v>
      </c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</row>
    <row r="48" spans="1:64" s="24" customFormat="1" ht="14.25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4"/>
      <c r="Y48" s="313"/>
      <c r="Z48" s="58"/>
      <c r="AA48" s="58"/>
      <c r="AB48" s="58"/>
      <c r="AC48" s="58"/>
      <c r="AD48" s="58"/>
      <c r="AE48" s="58"/>
    </row>
    <row r="49" spans="1:31" s="24" customFormat="1" ht="17.2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4"/>
      <c r="Y49" s="313"/>
      <c r="Z49" s="58"/>
      <c r="AA49" s="58"/>
      <c r="AB49" s="58"/>
      <c r="AC49" s="58"/>
      <c r="AD49" s="58"/>
      <c r="AE49" s="58"/>
    </row>
    <row r="50" spans="1:31" s="24" customFormat="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</row>
    <row r="51" spans="1:31" s="24" customFormat="1" ht="17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</row>
    <row r="52" spans="1:31" s="24" customFormat="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</row>
    <row r="53" spans="1:31" s="24" customFormat="1" ht="17.2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</row>
    <row r="54" spans="1:31" s="24" customFormat="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</row>
    <row r="55" spans="1:31" s="24" customFormat="1" ht="17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</row>
    <row r="56" spans="1:31" s="24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</row>
    <row r="57" spans="1:31" s="24" customFormat="1" ht="17.2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</row>
    <row r="58" spans="1:31" s="24" customFormat="1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</row>
    <row r="59" spans="1:31" s="24" customFormat="1" ht="17.2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</row>
    <row r="60" spans="1:31" s="24" customFormat="1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</row>
    <row r="61" spans="1:31" s="24" customFormat="1" ht="17.2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</row>
    <row r="62" spans="1:31" s="24" customFormat="1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</row>
    <row r="63" spans="1:31" s="24" customFormat="1" ht="17.2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</row>
    <row r="64" spans="1:31" s="24" customFormat="1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</row>
    <row r="65" spans="1:31" s="24" customFormat="1" ht="17.2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</row>
    <row r="66" spans="1:31" s="24" customFormat="1" ht="12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</row>
    <row r="67" spans="1:31" s="24" customFormat="1" ht="17.2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</row>
    <row r="68" spans="1:31" s="24" customFormat="1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</row>
    <row r="69" spans="1:31" s="24" customFormat="1" ht="17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</row>
    <row r="70" spans="1:31" s="24" customFormat="1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</row>
    <row r="71" spans="1:31" s="24" customFormat="1" ht="17.2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</row>
    <row r="72" spans="1:31" s="24" customFormat="1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</row>
    <row r="73" spans="1:31" s="24" customFormat="1" ht="17.2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</row>
    <row r="74" spans="1:31" s="24" customFormat="1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</row>
    <row r="75" spans="1:31" s="24" customFormat="1" ht="17.2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</row>
    <row r="76" spans="1:31" s="24" customFormat="1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</row>
    <row r="77" spans="1:31" s="24" customFormat="1" ht="17.2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</row>
    <row r="78" spans="1:31" s="24" customFormat="1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</row>
    <row r="79" spans="1:31" s="24" customFormat="1" ht="17.2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</row>
    <row r="80" spans="1:31" s="24" customFormat="1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</row>
    <row r="81" spans="1:31" s="24" customFormat="1" ht="17.2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</row>
    <row r="82" spans="1:31" s="24" customFormat="1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</row>
    <row r="83" spans="1:31" s="24" customFormat="1" ht="17.2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</row>
    <row r="84" spans="1:31" s="24" customFormat="1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</row>
    <row r="85" spans="1:31" s="24" customFormat="1" ht="17.2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</row>
    <row r="86" spans="1:31" s="24" customFormat="1" ht="12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</row>
    <row r="87" spans="1:31" s="24" customFormat="1" ht="17.2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</row>
    <row r="88" spans="1:31" s="24" customFormat="1" ht="12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</row>
    <row r="89" spans="1:31" s="24" customFormat="1" ht="17.2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</row>
    <row r="90" spans="1:31" s="24" customFormat="1" ht="12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</row>
    <row r="91" spans="1:31" s="24" customFormat="1" ht="17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</row>
    <row r="92" spans="1:31" s="24" customFormat="1" ht="12.7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</row>
    <row r="93" spans="1:31" s="24" customFormat="1" ht="17.2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</row>
    <row r="94" spans="1:31" s="24" customFormat="1" ht="12.7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</row>
    <row r="95" spans="1:31" s="24" customFormat="1" ht="17.2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</row>
    <row r="96" spans="1:31" s="24" customFormat="1" ht="12.75"/>
    <row r="97" s="24" customFormat="1" ht="17.25" customHeight="1"/>
    <row r="98" s="24" customFormat="1" ht="12.75"/>
    <row r="99" s="24" customFormat="1" ht="17.25" customHeight="1"/>
    <row r="100" s="24" customFormat="1" ht="12.75"/>
    <row r="101" s="24" customFormat="1" ht="17.25" customHeight="1"/>
    <row r="102" s="24" customFormat="1" ht="12.75"/>
    <row r="103" s="24" customFormat="1" ht="17.25" customHeight="1"/>
    <row r="104" s="24" customFormat="1" ht="12.75"/>
    <row r="105" s="24" customFormat="1" ht="17.25" customHeight="1"/>
    <row r="106" s="24" customFormat="1" ht="12.75"/>
    <row r="107" s="24" customFormat="1" ht="17.25" customHeight="1"/>
    <row r="108" s="24" customFormat="1" ht="12.75"/>
    <row r="109" s="24" customFormat="1" ht="17.25" customHeight="1"/>
    <row r="110" s="24" customFormat="1" ht="12.75"/>
    <row r="111" s="24" customFormat="1" ht="17.25" customHeight="1"/>
    <row r="112" s="24" customFormat="1" ht="12.75"/>
    <row r="113" s="24" customFormat="1" ht="17.25" customHeight="1"/>
    <row r="114" s="24" customFormat="1" ht="12.75"/>
    <row r="115" s="24" customFormat="1" ht="17.25" customHeight="1"/>
    <row r="116" s="24" customFormat="1" ht="12.75"/>
    <row r="117" s="24" customFormat="1" ht="17.25" customHeight="1"/>
    <row r="118" s="24" customFormat="1" ht="12.75"/>
    <row r="119" s="24" customFormat="1" ht="17.25" customHeight="1"/>
    <row r="120" s="24" customFormat="1" ht="12.75"/>
    <row r="121" s="24" customFormat="1" ht="17.25" customHeight="1"/>
    <row r="122" s="24" customFormat="1" ht="12.75"/>
    <row r="123" s="24" customFormat="1" ht="17.25" customHeight="1"/>
    <row r="124" s="24" customFormat="1" ht="12.75"/>
    <row r="125" s="24" customFormat="1" ht="17.25" customHeight="1"/>
    <row r="126" s="24" customFormat="1" ht="12.75"/>
    <row r="127" s="24" customFormat="1" ht="17.25" customHeight="1"/>
    <row r="128" s="24" customFormat="1" ht="12.75"/>
    <row r="129" s="24" customFormat="1" ht="17.25" customHeight="1"/>
    <row r="130" s="24" customFormat="1" ht="12.75"/>
    <row r="131" s="24" customFormat="1" ht="17.25" customHeight="1"/>
    <row r="132" s="24" customFormat="1" ht="12.75"/>
    <row r="133" s="24" customFormat="1" ht="17.25" customHeight="1"/>
    <row r="134" s="24" customFormat="1" ht="12.75"/>
    <row r="135" s="24" customFormat="1" ht="17.25" customHeight="1"/>
    <row r="136" s="24" customFormat="1" ht="12.75"/>
    <row r="137" s="24" customFormat="1" ht="17.25" customHeight="1"/>
    <row r="138" s="24" customFormat="1" ht="12.75"/>
    <row r="139" s="24" customFormat="1" ht="17.25" customHeight="1"/>
    <row r="140" s="24" customFormat="1" ht="12.75"/>
    <row r="141" s="24" customFormat="1" ht="17.25" customHeight="1"/>
    <row r="142" s="24" customFormat="1" ht="12.75"/>
    <row r="143" s="24" customFormat="1" ht="17.25" customHeight="1"/>
    <row r="144" s="24" customFormat="1" ht="12.75"/>
    <row r="145" s="24" customFormat="1" ht="17.25" customHeight="1"/>
    <row r="146" s="24" customFormat="1" ht="12.75"/>
    <row r="147" s="24" customFormat="1" ht="17.25" customHeight="1"/>
    <row r="148" s="24" customFormat="1" ht="12.75"/>
  </sheetData>
  <mergeCells count="30">
    <mergeCell ref="J30:K32"/>
    <mergeCell ref="L30:M32"/>
    <mergeCell ref="N30:O32"/>
    <mergeCell ref="P30:Q32"/>
    <mergeCell ref="R30:W31"/>
    <mergeCell ref="R32:S32"/>
    <mergeCell ref="T32:U32"/>
    <mergeCell ref="V32:W32"/>
    <mergeCell ref="A4:V4"/>
    <mergeCell ref="T5:V5"/>
    <mergeCell ref="A6:A10"/>
    <mergeCell ref="A29:A33"/>
    <mergeCell ref="R6:W6"/>
    <mergeCell ref="B7:C9"/>
    <mergeCell ref="V9:W9"/>
    <mergeCell ref="R29:W29"/>
    <mergeCell ref="B30:C32"/>
    <mergeCell ref="D30:E32"/>
    <mergeCell ref="F30:G32"/>
    <mergeCell ref="H30:I32"/>
    <mergeCell ref="P7:Q9"/>
    <mergeCell ref="R7:W8"/>
    <mergeCell ref="R9:S9"/>
    <mergeCell ref="T9:U9"/>
    <mergeCell ref="D7:E9"/>
    <mergeCell ref="F7:G9"/>
    <mergeCell ref="H7:I9"/>
    <mergeCell ref="J7:K9"/>
    <mergeCell ref="L7:M9"/>
    <mergeCell ref="N7:O9"/>
  </mergeCells>
  <pageMargins left="0.7" right="0.7" top="0.75" bottom="0.75" header="0.3" footer="0.3"/>
  <pageSetup paperSize="9" scale="3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V35"/>
  <sheetViews>
    <sheetView view="pageBreakPreview" zoomScale="98" zoomScaleSheetLayoutView="98" workbookViewId="0"/>
  </sheetViews>
  <sheetFormatPr defaultRowHeight="15"/>
  <cols>
    <col min="1" max="1" width="92" customWidth="1"/>
    <col min="2" max="2" width="17.7109375" style="160" customWidth="1"/>
    <col min="3" max="3" width="17.7109375" style="222" customWidth="1"/>
    <col min="4" max="4" width="18.28515625" customWidth="1"/>
    <col min="5" max="5" width="10.5703125" hidden="1" customWidth="1"/>
  </cols>
  <sheetData>
    <row r="1" spans="1:74" s="163" customFormat="1">
      <c r="A1" s="161" t="s">
        <v>487</v>
      </c>
      <c r="B1" s="161"/>
      <c r="C1" s="162"/>
      <c r="D1" s="162"/>
      <c r="E1" s="162"/>
    </row>
    <row r="2" spans="1:74" s="160" customFormat="1">
      <c r="A2" s="164"/>
      <c r="B2" s="164"/>
      <c r="C2" s="165"/>
      <c r="D2" s="165"/>
      <c r="E2" s="165"/>
    </row>
    <row r="3" spans="1:74" s="160" customFormat="1">
      <c r="A3" s="164"/>
      <c r="B3" s="164"/>
      <c r="C3" s="165"/>
      <c r="D3" s="165"/>
      <c r="E3" s="165"/>
    </row>
    <row r="4" spans="1:74" s="166" customFormat="1">
      <c r="A4" s="586" t="s">
        <v>199</v>
      </c>
      <c r="B4" s="586"/>
      <c r="C4" s="586"/>
      <c r="D4" s="586"/>
      <c r="E4" s="586"/>
    </row>
    <row r="5" spans="1:74" s="166" customFormat="1">
      <c r="A5" s="586"/>
      <c r="B5" s="586"/>
      <c r="C5" s="586"/>
      <c r="D5" s="586"/>
      <c r="E5" s="586"/>
    </row>
    <row r="6" spans="1:74" s="166" customFormat="1">
      <c r="A6" s="586"/>
      <c r="B6" s="586"/>
      <c r="C6" s="586"/>
      <c r="D6" s="586"/>
      <c r="E6" s="586"/>
    </row>
    <row r="7" spans="1:74" s="63" customFormat="1" ht="16.5" thickBot="1">
      <c r="A7" s="587" t="s">
        <v>198</v>
      </c>
      <c r="B7" s="587"/>
      <c r="C7" s="587"/>
      <c r="D7" s="587"/>
      <c r="E7" s="587"/>
    </row>
    <row r="8" spans="1:74" s="66" customFormat="1" ht="66.75" customHeight="1" thickBot="1">
      <c r="A8" s="109" t="s">
        <v>124</v>
      </c>
      <c r="B8" s="167"/>
      <c r="C8" s="111" t="s">
        <v>148</v>
      </c>
      <c r="D8" s="111" t="s">
        <v>149</v>
      </c>
      <c r="E8" s="111" t="s">
        <v>149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</row>
    <row r="9" spans="1:74" s="97" customFormat="1" ht="38.25" customHeight="1" thickBot="1">
      <c r="A9" s="90" t="s">
        <v>84</v>
      </c>
      <c r="B9" s="93"/>
      <c r="C9" s="94">
        <v>200000000</v>
      </c>
      <c r="D9" s="94">
        <f>SUM(C9)-128247366-27978764-4237227-35598025-300000</f>
        <v>3638618</v>
      </c>
      <c r="E9" s="119">
        <f>SUM(D9-C9)</f>
        <v>-196361382</v>
      </c>
      <c r="F9" s="69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</row>
    <row r="10" spans="1:74" s="97" customFormat="1" ht="38.25" customHeight="1" thickBot="1">
      <c r="A10" s="20" t="s">
        <v>85</v>
      </c>
      <c r="B10" s="156"/>
      <c r="C10" s="98">
        <v>783410294</v>
      </c>
      <c r="D10" s="145">
        <f>SUM(B11+B12+B14+B15+B19+B20+B21+B22+B23+B24+B25+B34+B28+B30+B32+B26)</f>
        <v>1339409099</v>
      </c>
      <c r="E10" s="69"/>
      <c r="F10" s="95"/>
      <c r="G10" s="69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</row>
    <row r="11" spans="1:74" s="97" customFormat="1" ht="38.25" customHeight="1" thickBot="1">
      <c r="A11" s="152" t="s">
        <v>158</v>
      </c>
      <c r="B11" s="10">
        <v>3000000</v>
      </c>
      <c r="C11" s="13"/>
      <c r="D11" s="98"/>
      <c r="E11" s="69"/>
      <c r="F11" s="95"/>
      <c r="G11" s="69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</row>
    <row r="12" spans="1:74" s="12" customFormat="1" ht="44.25" customHeight="1" thickBot="1">
      <c r="A12" s="152" t="s">
        <v>182</v>
      </c>
      <c r="B12" s="10">
        <f>3875000-73+8870741+307517</f>
        <v>13053185</v>
      </c>
      <c r="C12" s="13"/>
      <c r="D12" s="1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</row>
    <row r="13" spans="1:74" s="133" customFormat="1" ht="38.25" customHeight="1" thickBot="1">
      <c r="A13" s="152" t="s">
        <v>86</v>
      </c>
      <c r="B13" s="127"/>
      <c r="C13" s="13"/>
      <c r="D13" s="13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</row>
    <row r="14" spans="1:74" s="12" customFormat="1" ht="59.25" customHeight="1" thickBot="1">
      <c r="A14" s="128" t="s">
        <v>83</v>
      </c>
      <c r="B14" s="10">
        <v>12148581</v>
      </c>
      <c r="C14" s="13"/>
      <c r="D14" s="1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</row>
    <row r="15" spans="1:74" s="12" customFormat="1" ht="38.25" thickBot="1">
      <c r="A15" s="152" t="s">
        <v>50</v>
      </c>
      <c r="B15" s="10">
        <f>SUM(B17:B18)</f>
        <v>211140184</v>
      </c>
      <c r="C15" s="13"/>
      <c r="D15" s="1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</row>
    <row r="16" spans="1:74" s="12" customFormat="1" ht="22.5" customHeight="1" thickBot="1">
      <c r="A16" s="128" t="s">
        <v>17</v>
      </c>
      <c r="B16" s="10"/>
      <c r="C16" s="13"/>
      <c r="D16" s="13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</row>
    <row r="17" spans="1:73" s="12" customFormat="1" ht="22.5" customHeight="1" thickBot="1">
      <c r="A17" s="128" t="s">
        <v>183</v>
      </c>
      <c r="B17" s="10">
        <v>49950000</v>
      </c>
      <c r="C17" s="13"/>
      <c r="D17" s="1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</row>
    <row r="18" spans="1:73" s="12" customFormat="1" ht="37.5" customHeight="1" thickBot="1">
      <c r="A18" s="128" t="s">
        <v>184</v>
      </c>
      <c r="B18" s="10">
        <f>164375993-3185809</f>
        <v>161190184</v>
      </c>
      <c r="C18" s="13"/>
      <c r="D18" s="1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s="133" customFormat="1" ht="58.5" customHeight="1" thickBot="1">
      <c r="A19" s="134" t="s">
        <v>152</v>
      </c>
      <c r="B19" s="10">
        <f>200700259-3733800</f>
        <v>196966459</v>
      </c>
      <c r="C19" s="13"/>
      <c r="D19" s="13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</row>
    <row r="20" spans="1:73" s="125" customFormat="1" ht="38.25" customHeight="1" thickBot="1">
      <c r="A20" s="153" t="s">
        <v>189</v>
      </c>
      <c r="B20" s="10">
        <f>94177093-385100</f>
        <v>93791993</v>
      </c>
      <c r="C20" s="13"/>
      <c r="D20" s="13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</row>
    <row r="21" spans="1:73" s="126" customFormat="1" ht="64.5" customHeight="1" thickBot="1">
      <c r="A21" s="152" t="s">
        <v>191</v>
      </c>
      <c r="B21" s="10">
        <f>23945785-3016366-4437637</f>
        <v>16491782</v>
      </c>
      <c r="C21" s="13"/>
      <c r="D21" s="13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</row>
    <row r="22" spans="1:73" s="126" customFormat="1" ht="37.5" customHeight="1" thickBot="1">
      <c r="A22" s="154" t="s">
        <v>192</v>
      </c>
      <c r="B22" s="10">
        <v>2409098</v>
      </c>
      <c r="C22" s="144"/>
      <c r="D22" s="14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</row>
    <row r="23" spans="1:73" s="125" customFormat="1" ht="52.5" customHeight="1" thickBot="1">
      <c r="A23" s="152" t="s">
        <v>193</v>
      </c>
      <c r="B23" s="10">
        <v>104737609</v>
      </c>
      <c r="C23" s="13"/>
      <c r="D23" s="13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</row>
    <row r="24" spans="1:73" s="133" customFormat="1" ht="52.5" customHeight="1" thickBot="1">
      <c r="A24" s="134" t="s">
        <v>195</v>
      </c>
      <c r="B24" s="10">
        <v>3730208</v>
      </c>
      <c r="C24" s="13"/>
      <c r="D24" s="13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</row>
    <row r="25" spans="1:73" s="133" customFormat="1" ht="52.5" customHeight="1" thickBot="1">
      <c r="A25" s="134" t="s">
        <v>196</v>
      </c>
      <c r="B25" s="10">
        <v>111490000</v>
      </c>
      <c r="C25" s="13"/>
      <c r="D25" s="13"/>
      <c r="E25" s="79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</row>
    <row r="26" spans="1:73" s="133" customFormat="1" ht="52.5" customHeight="1" thickBot="1">
      <c r="A26" s="134" t="s">
        <v>477</v>
      </c>
      <c r="B26" s="10">
        <v>554050000</v>
      </c>
      <c r="C26" s="13"/>
      <c r="D26" s="13"/>
      <c r="E26" s="79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</row>
    <row r="27" spans="1:73" s="133" customFormat="1" ht="29.25" customHeight="1" thickBot="1">
      <c r="A27" s="152" t="s">
        <v>140</v>
      </c>
      <c r="B27" s="127"/>
      <c r="C27" s="13"/>
      <c r="D27" s="13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</row>
    <row r="28" spans="1:73" s="12" customFormat="1" ht="24.75" customHeight="1" thickBot="1">
      <c r="A28" s="128" t="s">
        <v>153</v>
      </c>
      <c r="B28" s="10">
        <f>1000000-1000000</f>
        <v>0</v>
      </c>
      <c r="C28" s="13"/>
      <c r="D28" s="1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</row>
    <row r="29" spans="1:73" s="12" customFormat="1" ht="24.75" customHeight="1" thickBot="1">
      <c r="A29" s="128" t="s">
        <v>154</v>
      </c>
      <c r="B29" s="10">
        <f>1000000-1000000</f>
        <v>0</v>
      </c>
      <c r="C29" s="13"/>
      <c r="D29" s="1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:73" s="133" customFormat="1" ht="35.25" customHeight="1" thickBot="1">
      <c r="A30" s="153" t="s">
        <v>131</v>
      </c>
      <c r="B30" s="487">
        <v>16000000</v>
      </c>
      <c r="C30" s="13"/>
      <c r="D30" s="13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</row>
    <row r="31" spans="1:73" s="133" customFormat="1" ht="29.25" hidden="1" customHeight="1">
      <c r="A31" s="152"/>
      <c r="B31" s="127"/>
      <c r="C31" s="13"/>
      <c r="D31" s="13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</row>
    <row r="32" spans="1:73" s="12" customFormat="1" ht="24.75" hidden="1" customHeight="1">
      <c r="A32" s="128"/>
      <c r="B32" s="10"/>
      <c r="C32" s="13"/>
      <c r="D32" s="1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:73" s="12" customFormat="1" ht="24.75" hidden="1" customHeight="1">
      <c r="A33" s="128"/>
      <c r="B33" s="10"/>
      <c r="C33" s="13"/>
      <c r="D33" s="1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:73" s="475" customFormat="1" ht="52.5" customHeight="1" thickBot="1">
      <c r="A34" s="20" t="s">
        <v>72</v>
      </c>
      <c r="B34" s="474">
        <f>-1600000+2000000</f>
        <v>400000</v>
      </c>
      <c r="C34" s="98"/>
      <c r="D34" s="144"/>
      <c r="E34" s="79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</row>
    <row r="35" spans="1:73" s="490" customFormat="1" ht="38.25" customHeight="1" thickBot="1">
      <c r="A35" s="116" t="s">
        <v>470</v>
      </c>
      <c r="B35" s="117"/>
      <c r="C35" s="118">
        <f>SUM(C9:C10)</f>
        <v>983410294</v>
      </c>
      <c r="D35" s="118">
        <f>SUM(D9:D10)</f>
        <v>1343047717</v>
      </c>
      <c r="E35" s="488">
        <f>SUM(D35-C35)</f>
        <v>359637423</v>
      </c>
      <c r="F35" s="488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489"/>
      <c r="V35" s="489"/>
      <c r="W35" s="489"/>
      <c r="X35" s="489"/>
      <c r="Y35" s="489"/>
      <c r="Z35" s="489"/>
      <c r="AA35" s="489"/>
      <c r="AB35" s="489"/>
      <c r="AC35" s="489"/>
      <c r="AD35" s="489"/>
      <c r="AE35" s="489"/>
      <c r="AF35" s="489"/>
      <c r="AG35" s="489"/>
      <c r="AH35" s="489"/>
      <c r="AI35" s="489"/>
      <c r="AJ35" s="489"/>
      <c r="AK35" s="489"/>
      <c r="AL35" s="489"/>
      <c r="AM35" s="489"/>
      <c r="AN35" s="489"/>
      <c r="AO35" s="489"/>
      <c r="AP35" s="489"/>
      <c r="AQ35" s="489"/>
      <c r="AR35" s="489"/>
      <c r="AS35" s="489"/>
      <c r="AT35" s="489"/>
      <c r="AU35" s="489"/>
      <c r="AV35" s="489"/>
      <c r="AW35" s="489"/>
      <c r="AX35" s="489"/>
      <c r="AY35" s="489"/>
      <c r="AZ35" s="489"/>
      <c r="BA35" s="489"/>
      <c r="BB35" s="489"/>
      <c r="BC35" s="489"/>
      <c r="BD35" s="489"/>
      <c r="BE35" s="489"/>
      <c r="BF35" s="489"/>
      <c r="BG35" s="489"/>
      <c r="BH35" s="489"/>
      <c r="BI35" s="489"/>
      <c r="BJ35" s="489"/>
      <c r="BK35" s="489"/>
      <c r="BL35" s="489"/>
      <c r="BM35" s="489"/>
      <c r="BN35" s="489"/>
      <c r="BO35" s="489"/>
      <c r="BP35" s="489"/>
      <c r="BQ35" s="489"/>
      <c r="BR35" s="489"/>
      <c r="BS35" s="489"/>
      <c r="BT35" s="489"/>
      <c r="BU35" s="489"/>
    </row>
  </sheetData>
  <mergeCells count="2">
    <mergeCell ref="A4:E6"/>
    <mergeCell ref="A7:E7"/>
  </mergeCells>
  <pageMargins left="0.7" right="0.7" top="0.75" bottom="0.75" header="0.3" footer="0.3"/>
  <pageSetup paperSize="9" scale="5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11</vt:i4>
      </vt:variant>
    </vt:vector>
  </HeadingPairs>
  <TitlesOfParts>
    <vt:vector size="23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Munka1</vt:lpstr>
      <vt:lpstr>'1. sz. melléklet'!Nyomtatási_terület</vt:lpstr>
      <vt:lpstr>'10. sz. melléklet'!Nyomtatási_terület</vt:lpstr>
      <vt:lpstr>'11.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melléklet'!Nyomtatási_terület</vt:lpstr>
      <vt:lpstr>'6. sz. melléklet'!Nyomtatási_terület</vt:lpstr>
      <vt:lpstr>'7. sz. melléklet'!Nyomtatási_terület</vt:lpstr>
      <vt:lpstr>'8. sz. melléklet'!Nyomtatási_terület</vt:lpstr>
      <vt:lpstr>'9. sz.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samari</cp:lastModifiedBy>
  <cp:lastPrinted>2018-12-14T08:23:22Z</cp:lastPrinted>
  <dcterms:created xsi:type="dcterms:W3CDTF">2016-01-13T14:03:35Z</dcterms:created>
  <dcterms:modified xsi:type="dcterms:W3CDTF">2018-12-14T08:46:36Z</dcterms:modified>
</cp:coreProperties>
</file>