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2435" firstSheet="3" activeTab="7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  <sheet name="6. sz. melléklet" sheetId="6" r:id="rId6"/>
    <sheet name="7. sz. melléklet" sheetId="7" r:id="rId7"/>
    <sheet name="8. sz. melléklet" sheetId="8" r:id="rId8"/>
    <sheet name="9. sz. melléklet" sheetId="9" r:id="rId9"/>
    <sheet name="10. sz. melléklet" sheetId="10" r:id="rId10"/>
    <sheet name="11. sz. melléklet" sheetId="13" r:id="rId11"/>
    <sheet name="12. sz. melléklet" sheetId="14" r:id="rId12"/>
    <sheet name="13. sz. melléklet" sheetId="11" r:id="rId13"/>
    <sheet name="14. sz. melléklet" sheetId="15" r:id="rId14"/>
    <sheet name="15. sz. melléklet" sheetId="16" r:id="rId15"/>
    <sheet name="16. sz. melléklet" sheetId="17" r:id="rId16"/>
    <sheet name="17. sz. melléklet" sheetId="18" r:id="rId17"/>
    <sheet name="18. sz. melléklet" sheetId="12" r:id="rId18"/>
    <sheet name="19. sz. melléklet" sheetId="19" r:id="rId19"/>
    <sheet name="20. melléklet" sheetId="20" r:id="rId20"/>
  </sheets>
  <definedNames>
    <definedName name="_xlnm.Print_Area" localSheetId="0">'1. sz. melléklet'!$A$1:$E$34</definedName>
    <definedName name="_xlnm.Print_Area" localSheetId="9">'10. sz. melléklet'!$A$1:$AX$19</definedName>
    <definedName name="_xlnm.Print_Area" localSheetId="10">'11. sz. melléklet'!$A$1:$F$192</definedName>
    <definedName name="_xlnm.Print_Area" localSheetId="11">'12. sz. melléklet'!$A$1:$F$270</definedName>
    <definedName name="_xlnm.Print_Area" localSheetId="12">'13. sz. melléklet'!$A$1:$AS$41</definedName>
    <definedName name="_xlnm.Print_Area" localSheetId="13">'14. sz. melléklet'!$A$1:$Z$17</definedName>
    <definedName name="_xlnm.Print_Area" localSheetId="14">'15. sz. melléklet'!$A$1:$F$36</definedName>
    <definedName name="_xlnm.Print_Area" localSheetId="17">'18. sz. melléklet'!$A$1:$V$38</definedName>
    <definedName name="_xlnm.Print_Area" localSheetId="18">'19. sz. melléklet'!$A$1:$W$25</definedName>
    <definedName name="_xlnm.Print_Area" localSheetId="1">'2. sz. melléklet'!$A$1:$D$40</definedName>
    <definedName name="_xlnm.Print_Area" localSheetId="2">'3. sz. melléklet'!$A$1:$E$114</definedName>
    <definedName name="_xlnm.Print_Area" localSheetId="3">'4. sz. melléklet'!$A$1:$D$217</definedName>
    <definedName name="_xlnm.Print_Area" localSheetId="4">'5. sz. melléklet'!$A$1:$B$16</definedName>
    <definedName name="_xlnm.Print_Area" localSheetId="7">'8. sz. melléklet'!$A$1:$AT$64</definedName>
    <definedName name="_xlnm.Print_Area" localSheetId="8">'9. sz. melléklet'!$A$1:$BA$41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" i="19"/>
  <c r="V9"/>
  <c r="W9"/>
  <c r="U10"/>
  <c r="V10"/>
  <c r="W10"/>
  <c r="U11"/>
  <c r="V11"/>
  <c r="W11"/>
  <c r="U12"/>
  <c r="V12"/>
  <c r="W12"/>
  <c r="U13"/>
  <c r="V13"/>
  <c r="W13"/>
  <c r="U14"/>
  <c r="V14"/>
  <c r="W14"/>
  <c r="U15"/>
  <c r="V15"/>
  <c r="W15"/>
  <c r="U16"/>
  <c r="V16"/>
  <c r="W16"/>
  <c r="U17"/>
  <c r="V17"/>
  <c r="W17"/>
  <c r="U18"/>
  <c r="V18"/>
  <c r="W18"/>
  <c r="U19"/>
  <c r="V19"/>
  <c r="W19"/>
  <c r="U20"/>
  <c r="V20"/>
  <c r="W20"/>
  <c r="U21"/>
  <c r="V21"/>
  <c r="W21"/>
  <c r="U22"/>
  <c r="V22"/>
  <c r="W22"/>
  <c r="U23"/>
  <c r="V23"/>
  <c r="W23"/>
  <c r="U24"/>
  <c r="V24"/>
  <c r="W24"/>
  <c r="U25"/>
  <c r="V25"/>
  <c r="W25"/>
  <c r="V8"/>
  <c r="W8"/>
  <c r="U8"/>
  <c r="C13" i="20" l="1"/>
  <c r="L13" s="1"/>
  <c r="C16"/>
  <c r="L16" s="1"/>
  <c r="C12"/>
  <c r="J20"/>
  <c r="K20"/>
  <c r="L28"/>
  <c r="K28"/>
  <c r="J28"/>
  <c r="I28"/>
  <c r="I36" s="1"/>
  <c r="H28"/>
  <c r="G28"/>
  <c r="F28"/>
  <c r="E28"/>
  <c r="E36" s="1"/>
  <c r="D28"/>
  <c r="C28"/>
  <c r="L27"/>
  <c r="K36"/>
  <c r="J36"/>
  <c r="I20"/>
  <c r="H20"/>
  <c r="G20"/>
  <c r="G36" s="1"/>
  <c r="F20"/>
  <c r="F36" s="1"/>
  <c r="E20"/>
  <c r="D20"/>
  <c r="C20"/>
  <c r="C36" s="1"/>
  <c r="F19"/>
  <c r="K18"/>
  <c r="K19" s="1"/>
  <c r="J18"/>
  <c r="J19" s="1"/>
  <c r="I18"/>
  <c r="I19" s="1"/>
  <c r="H18"/>
  <c r="H19" s="1"/>
  <c r="G18"/>
  <c r="G19" s="1"/>
  <c r="F18"/>
  <c r="E18"/>
  <c r="E19" s="1"/>
  <c r="D18"/>
  <c r="D19" s="1"/>
  <c r="L17"/>
  <c r="L15"/>
  <c r="L14"/>
  <c r="G37" l="1"/>
  <c r="K37"/>
  <c r="D37"/>
  <c r="H37"/>
  <c r="E37"/>
  <c r="D36"/>
  <c r="H36"/>
  <c r="C18"/>
  <c r="C19" s="1"/>
  <c r="C37" s="1"/>
  <c r="F37"/>
  <c r="I37"/>
  <c r="J37"/>
  <c r="L20"/>
  <c r="L36" s="1"/>
  <c r="L12"/>
  <c r="L18" s="1"/>
  <c r="L19" s="1"/>
  <c r="L37" l="1"/>
  <c r="R29" i="12" l="1"/>
  <c r="P29"/>
  <c r="R27"/>
  <c r="Q19"/>
  <c r="R19"/>
  <c r="P19"/>
  <c r="R18"/>
  <c r="E140" i="13"/>
  <c r="F124"/>
  <c r="E36" i="16"/>
  <c r="C36"/>
  <c r="B36"/>
  <c r="B35"/>
  <c r="B34"/>
  <c r="B33"/>
  <c r="B32"/>
  <c r="B27"/>
  <c r="B26"/>
  <c r="B24"/>
  <c r="B23"/>
  <c r="B22"/>
  <c r="B21"/>
  <c r="B18" s="1"/>
  <c r="B15"/>
  <c r="F12"/>
  <c r="AH24" i="11"/>
  <c r="AF31"/>
  <c r="AE31"/>
  <c r="AD31"/>
  <c r="AB31"/>
  <c r="AA31"/>
  <c r="Z31"/>
  <c r="X31"/>
  <c r="W31"/>
  <c r="V31"/>
  <c r="T31"/>
  <c r="S31"/>
  <c r="R31"/>
  <c r="P31"/>
  <c r="O31"/>
  <c r="N31"/>
  <c r="L31"/>
  <c r="K31"/>
  <c r="J31"/>
  <c r="H31"/>
  <c r="G31"/>
  <c r="F31"/>
  <c r="C31"/>
  <c r="D31"/>
  <c r="B31"/>
  <c r="B30"/>
  <c r="B38" s="1"/>
  <c r="E189" i="13"/>
  <c r="F172" i="14"/>
  <c r="E52"/>
  <c r="E85"/>
  <c r="E72" i="13"/>
  <c r="D13" i="16" l="1"/>
  <c r="D36" s="1"/>
  <c r="F13"/>
  <c r="E248" i="14"/>
  <c r="E228"/>
  <c r="E87" i="13"/>
  <c r="E62"/>
  <c r="E27"/>
  <c r="E66" i="14"/>
  <c r="E120"/>
  <c r="E77"/>
  <c r="E169"/>
  <c r="E205" s="1"/>
  <c r="T18" i="10" s="1"/>
  <c r="E104" i="13"/>
  <c r="E105" l="1"/>
  <c r="E59" i="14"/>
  <c r="E20" i="13"/>
  <c r="E44" l="1"/>
  <c r="C233" i="14"/>
  <c r="D233" s="1"/>
  <c r="E70"/>
  <c r="E133"/>
  <c r="E157" i="13"/>
  <c r="E105" i="14"/>
  <c r="E116" i="13"/>
  <c r="E43" i="14"/>
  <c r="E19"/>
  <c r="E106"/>
  <c r="E20"/>
  <c r="E41"/>
  <c r="E36" i="13"/>
  <c r="E139" i="14"/>
  <c r="F119" i="13"/>
  <c r="F115"/>
  <c r="F105"/>
  <c r="F104"/>
  <c r="F101"/>
  <c r="F99"/>
  <c r="F94"/>
  <c r="F89"/>
  <c r="F88"/>
  <c r="F86"/>
  <c r="F85"/>
  <c r="F84"/>
  <c r="F61"/>
  <c r="F60"/>
  <c r="F43"/>
  <c r="F35"/>
  <c r="F257" i="14"/>
  <c r="F251"/>
  <c r="F250"/>
  <c r="F247"/>
  <c r="F246"/>
  <c r="F232"/>
  <c r="F226"/>
  <c r="F224"/>
  <c r="F177"/>
  <c r="F176"/>
  <c r="F175"/>
  <c r="F169"/>
  <c r="F168"/>
  <c r="F159"/>
  <c r="F146"/>
  <c r="F108"/>
  <c r="F96"/>
  <c r="F95"/>
  <c r="F94"/>
  <c r="F76"/>
  <c r="F44"/>
  <c r="F24"/>
  <c r="F21"/>
  <c r="E122" i="13"/>
  <c r="F23" i="14"/>
  <c r="E36"/>
  <c r="E15"/>
  <c r="E136" i="13"/>
  <c r="E235" i="14"/>
  <c r="X18" i="10" s="1"/>
  <c r="E258" i="14"/>
  <c r="AC18" i="10" s="1"/>
  <c r="E262" i="14"/>
  <c r="E268"/>
  <c r="AK18" i="10" s="1"/>
  <c r="C268" i="14"/>
  <c r="AI18" i="10" s="1"/>
  <c r="D267" i="14"/>
  <c r="F267" s="1"/>
  <c r="D266"/>
  <c r="F266" s="1"/>
  <c r="D265"/>
  <c r="F265" s="1"/>
  <c r="C262"/>
  <c r="AE18" i="10" s="1"/>
  <c r="D261" i="14"/>
  <c r="D262" s="1"/>
  <c r="AF18" i="10" s="1"/>
  <c r="D256" i="14"/>
  <c r="F256" s="1"/>
  <c r="D253"/>
  <c r="F253" s="1"/>
  <c r="D245"/>
  <c r="F245" s="1"/>
  <c r="C244"/>
  <c r="D244" s="1"/>
  <c r="F244" s="1"/>
  <c r="C243"/>
  <c r="D243" s="1"/>
  <c r="F243" s="1"/>
  <c r="D240"/>
  <c r="F240" s="1"/>
  <c r="C240"/>
  <c r="C239"/>
  <c r="D239" s="1"/>
  <c r="F239" s="1"/>
  <c r="C238"/>
  <c r="D234"/>
  <c r="D228"/>
  <c r="F228" s="1"/>
  <c r="D225"/>
  <c r="F225" s="1"/>
  <c r="D221"/>
  <c r="F221" s="1"/>
  <c r="D220"/>
  <c r="F220" s="1"/>
  <c r="C219"/>
  <c r="D219" s="1"/>
  <c r="F219" s="1"/>
  <c r="D218"/>
  <c r="F218" s="1"/>
  <c r="C217"/>
  <c r="D217" s="1"/>
  <c r="F217" s="1"/>
  <c r="D216"/>
  <c r="F216" s="1"/>
  <c r="D215"/>
  <c r="D213"/>
  <c r="F213" s="1"/>
  <c r="B210"/>
  <c r="D209" s="1"/>
  <c r="F209" s="1"/>
  <c r="C205"/>
  <c r="R18" i="10" s="1"/>
  <c r="B204" i="14"/>
  <c r="B203"/>
  <c r="B202"/>
  <c r="B201"/>
  <c r="B195"/>
  <c r="B194"/>
  <c r="B192"/>
  <c r="B191"/>
  <c r="B190"/>
  <c r="B189"/>
  <c r="B186" s="1"/>
  <c r="B183"/>
  <c r="D174"/>
  <c r="D173"/>
  <c r="D171"/>
  <c r="F171" s="1"/>
  <c r="D170"/>
  <c r="F170" s="1"/>
  <c r="B167"/>
  <c r="D166" s="1"/>
  <c r="F166" s="1"/>
  <c r="B164"/>
  <c r="D162" s="1"/>
  <c r="F162" s="1"/>
  <c r="D161"/>
  <c r="F161" s="1"/>
  <c r="D158"/>
  <c r="F158" s="1"/>
  <c r="D157"/>
  <c r="F157" s="1"/>
  <c r="D156"/>
  <c r="D155"/>
  <c r="F155" s="1"/>
  <c r="B150"/>
  <c r="D147"/>
  <c r="F147" s="1"/>
  <c r="D145"/>
  <c r="F145" s="1"/>
  <c r="C139"/>
  <c r="C152" s="1"/>
  <c r="N18" i="10" s="1"/>
  <c r="D135" i="14"/>
  <c r="D133"/>
  <c r="B130"/>
  <c r="B129"/>
  <c r="B122"/>
  <c r="B121"/>
  <c r="D119"/>
  <c r="F119" s="1"/>
  <c r="C111"/>
  <c r="D111" s="1"/>
  <c r="F111" s="1"/>
  <c r="D110"/>
  <c r="F110" s="1"/>
  <c r="D109"/>
  <c r="F109" s="1"/>
  <c r="D107"/>
  <c r="F107" s="1"/>
  <c r="D106"/>
  <c r="F106" s="1"/>
  <c r="D105"/>
  <c r="D103"/>
  <c r="F103" s="1"/>
  <c r="D100"/>
  <c r="F100" s="1"/>
  <c r="D99"/>
  <c r="F99" s="1"/>
  <c r="D98"/>
  <c r="F98" s="1"/>
  <c r="C93"/>
  <c r="D93" s="1"/>
  <c r="C92"/>
  <c r="D92" s="1"/>
  <c r="F92" s="1"/>
  <c r="C91"/>
  <c r="D91" s="1"/>
  <c r="F91" s="1"/>
  <c r="C90"/>
  <c r="D90" s="1"/>
  <c r="F90" s="1"/>
  <c r="C89"/>
  <c r="D89" s="1"/>
  <c r="F89" s="1"/>
  <c r="C88"/>
  <c r="D88" s="1"/>
  <c r="F88" s="1"/>
  <c r="C87"/>
  <c r="D87" s="1"/>
  <c r="F87" s="1"/>
  <c r="C85"/>
  <c r="D85" s="1"/>
  <c r="F85" s="1"/>
  <c r="C77"/>
  <c r="D77" s="1"/>
  <c r="F77" s="1"/>
  <c r="B75"/>
  <c r="D74" s="1"/>
  <c r="F74" s="1"/>
  <c r="C70"/>
  <c r="D70" s="1"/>
  <c r="D66"/>
  <c r="F66" s="1"/>
  <c r="D65"/>
  <c r="F65" s="1"/>
  <c r="D59"/>
  <c r="F59" s="1"/>
  <c r="C59"/>
  <c r="B58"/>
  <c r="C57" s="1"/>
  <c r="D57" s="1"/>
  <c r="F57" s="1"/>
  <c r="D55"/>
  <c r="F55" s="1"/>
  <c r="B53"/>
  <c r="D52" s="1"/>
  <c r="F52" s="1"/>
  <c r="C50"/>
  <c r="D49"/>
  <c r="F49" s="1"/>
  <c r="D45"/>
  <c r="F45" s="1"/>
  <c r="D42"/>
  <c r="F42" s="1"/>
  <c r="D41"/>
  <c r="D39"/>
  <c r="F39" s="1"/>
  <c r="B38"/>
  <c r="D36" s="1"/>
  <c r="D35"/>
  <c r="F35" s="1"/>
  <c r="D34"/>
  <c r="F34" s="1"/>
  <c r="C32"/>
  <c r="D32" s="1"/>
  <c r="F32" s="1"/>
  <c r="C29"/>
  <c r="D29" s="1"/>
  <c r="F29" s="1"/>
  <c r="D25"/>
  <c r="F25" s="1"/>
  <c r="D22"/>
  <c r="F22" s="1"/>
  <c r="D20"/>
  <c r="D18"/>
  <c r="B17"/>
  <c r="D15" s="1"/>
  <c r="D14"/>
  <c r="F14" s="1"/>
  <c r="D13"/>
  <c r="F13" s="1"/>
  <c r="C11"/>
  <c r="D11" s="1"/>
  <c r="F11" s="1"/>
  <c r="C8"/>
  <c r="D8" s="1"/>
  <c r="F8" s="1"/>
  <c r="F189" i="13"/>
  <c r="B191"/>
  <c r="D189" s="1"/>
  <c r="C189"/>
  <c r="B187"/>
  <c r="B183"/>
  <c r="B182"/>
  <c r="B181"/>
  <c r="B176"/>
  <c r="B175"/>
  <c r="B173"/>
  <c r="B172"/>
  <c r="B171"/>
  <c r="B170"/>
  <c r="B167" s="1"/>
  <c r="B164"/>
  <c r="D160"/>
  <c r="F160" s="1"/>
  <c r="D157"/>
  <c r="D156"/>
  <c r="F156" s="1"/>
  <c r="D155"/>
  <c r="F155" s="1"/>
  <c r="D154"/>
  <c r="B150"/>
  <c r="B149"/>
  <c r="B142"/>
  <c r="B141"/>
  <c r="B138"/>
  <c r="D136" s="1"/>
  <c r="D135"/>
  <c r="F135" s="1"/>
  <c r="C127"/>
  <c r="D127" s="1"/>
  <c r="F127" s="1"/>
  <c r="D126"/>
  <c r="F126" s="1"/>
  <c r="D125"/>
  <c r="F125" s="1"/>
  <c r="D123"/>
  <c r="F123" s="1"/>
  <c r="D122"/>
  <c r="D121"/>
  <c r="F121" s="1"/>
  <c r="D120"/>
  <c r="F120" s="1"/>
  <c r="D118"/>
  <c r="F118" s="1"/>
  <c r="D117"/>
  <c r="F117" s="1"/>
  <c r="D116"/>
  <c r="D112"/>
  <c r="F112" s="1"/>
  <c r="C112"/>
  <c r="D108"/>
  <c r="F108" s="1"/>
  <c r="D107"/>
  <c r="F107" s="1"/>
  <c r="D106"/>
  <c r="B103"/>
  <c r="D102" s="1"/>
  <c r="F102" s="1"/>
  <c r="D100"/>
  <c r="F100" s="1"/>
  <c r="D98"/>
  <c r="F98" s="1"/>
  <c r="D97"/>
  <c r="F97" s="1"/>
  <c r="D96"/>
  <c r="F96" s="1"/>
  <c r="D91"/>
  <c r="F91" s="1"/>
  <c r="D83"/>
  <c r="F83" s="1"/>
  <c r="D82"/>
  <c r="F82" s="1"/>
  <c r="D81"/>
  <c r="F81" s="1"/>
  <c r="B79"/>
  <c r="D78" s="1"/>
  <c r="F78" s="1"/>
  <c r="D77"/>
  <c r="F77" s="1"/>
  <c r="D76"/>
  <c r="F76" s="1"/>
  <c r="D75"/>
  <c r="F75" s="1"/>
  <c r="D74"/>
  <c r="F74" s="1"/>
  <c r="D73"/>
  <c r="F73" s="1"/>
  <c r="D72"/>
  <c r="F72" s="1"/>
  <c r="C62"/>
  <c r="D62" s="1"/>
  <c r="F62" s="1"/>
  <c r="C58"/>
  <c r="D58" s="1"/>
  <c r="F58" s="1"/>
  <c r="D57"/>
  <c r="F57" s="1"/>
  <c r="D55"/>
  <c r="B54"/>
  <c r="D53" s="1"/>
  <c r="F53" s="1"/>
  <c r="D52"/>
  <c r="F52" s="1"/>
  <c r="B50"/>
  <c r="D48" s="1"/>
  <c r="F48" s="1"/>
  <c r="C44"/>
  <c r="D44" s="1"/>
  <c r="D42"/>
  <c r="F42" s="1"/>
  <c r="C36"/>
  <c r="D36" s="1"/>
  <c r="D34"/>
  <c r="F34" s="1"/>
  <c r="C33"/>
  <c r="D33" s="1"/>
  <c r="F33" s="1"/>
  <c r="D32"/>
  <c r="F32" s="1"/>
  <c r="D31"/>
  <c r="F31" s="1"/>
  <c r="B30"/>
  <c r="D27" s="1"/>
  <c r="F27" s="1"/>
  <c r="D26"/>
  <c r="F26" s="1"/>
  <c r="D20"/>
  <c r="F20" s="1"/>
  <c r="C20"/>
  <c r="B19"/>
  <c r="B18"/>
  <c r="D16"/>
  <c r="F16" s="1"/>
  <c r="B13"/>
  <c r="B12"/>
  <c r="C9"/>
  <c r="D9" s="1"/>
  <c r="F9" s="1"/>
  <c r="D8"/>
  <c r="F8" s="1"/>
  <c r="F116" l="1"/>
  <c r="F122"/>
  <c r="D11"/>
  <c r="F11" s="1"/>
  <c r="F36"/>
  <c r="F157"/>
  <c r="F136"/>
  <c r="D17"/>
  <c r="F17" s="1"/>
  <c r="C69"/>
  <c r="F105" i="14"/>
  <c r="F262"/>
  <c r="AG18" i="10"/>
  <c r="E158" i="13"/>
  <c r="F44"/>
  <c r="F133" i="14"/>
  <c r="F156"/>
  <c r="G158"/>
  <c r="F20"/>
  <c r="F70"/>
  <c r="E152"/>
  <c r="P18" i="10" s="1"/>
  <c r="F36" i="14"/>
  <c r="C258"/>
  <c r="AA18" i="10" s="1"/>
  <c r="F261" i="14"/>
  <c r="E26"/>
  <c r="D18" i="10" s="1"/>
  <c r="F18" i="14"/>
  <c r="E136"/>
  <c r="L18" i="10" s="1"/>
  <c r="D120" i="14"/>
  <c r="F120" s="1"/>
  <c r="F15"/>
  <c r="D181"/>
  <c r="E46"/>
  <c r="C136"/>
  <c r="J18" i="10" s="1"/>
  <c r="D46" i="14"/>
  <c r="G18" i="10" s="1"/>
  <c r="C235" i="14"/>
  <c r="V18" i="10" s="1"/>
  <c r="D268" i="14"/>
  <c r="C158" i="13"/>
  <c r="D140"/>
  <c r="F140" s="1"/>
  <c r="D162"/>
  <c r="D26" i="14"/>
  <c r="C18" i="10" s="1"/>
  <c r="D235" i="14"/>
  <c r="C26"/>
  <c r="B18" i="10" s="1"/>
  <c r="D139" i="14"/>
  <c r="D152" s="1"/>
  <c r="O18" i="10" s="1"/>
  <c r="C46" i="14"/>
  <c r="F18" i="10" s="1"/>
  <c r="D50" i="14"/>
  <c r="D238"/>
  <c r="E69" i="13"/>
  <c r="D69" l="1"/>
  <c r="F69"/>
  <c r="D158"/>
  <c r="F158" s="1"/>
  <c r="C159"/>
  <c r="C192" s="1"/>
  <c r="F268" i="14"/>
  <c r="AJ18" i="10"/>
  <c r="F46" i="14"/>
  <c r="H18" i="10"/>
  <c r="F235" i="14"/>
  <c r="W18" i="10"/>
  <c r="D205" i="14"/>
  <c r="F26"/>
  <c r="F152"/>
  <c r="D258"/>
  <c r="F238"/>
  <c r="D136"/>
  <c r="F50"/>
  <c r="F139"/>
  <c r="E159" i="13"/>
  <c r="E270" i="14"/>
  <c r="C270"/>
  <c r="E192" i="13" l="1"/>
  <c r="F159"/>
  <c r="F192" s="1"/>
  <c r="D159"/>
  <c r="D192" s="1"/>
  <c r="F258" i="14"/>
  <c r="AB18" i="10"/>
  <c r="F205" i="14"/>
  <c r="S18" i="10"/>
  <c r="F136" i="14"/>
  <c r="K18" i="10"/>
  <c r="E193" i="13"/>
  <c r="D270" i="14"/>
  <c r="F270" s="1"/>
  <c r="D193" i="13" l="1"/>
  <c r="G11" i="15"/>
  <c r="F11"/>
  <c r="E11"/>
  <c r="D11"/>
  <c r="C11"/>
  <c r="B11"/>
  <c r="H14" i="17" l="1"/>
  <c r="B13" i="15"/>
  <c r="C13"/>
  <c r="M36" i="11"/>
  <c r="I36"/>
  <c r="U35" l="1"/>
  <c r="M35"/>
  <c r="I35"/>
  <c r="E36"/>
  <c r="E35"/>
  <c r="M22"/>
  <c r="Y24"/>
  <c r="U24"/>
  <c r="M24"/>
  <c r="I23"/>
  <c r="E24"/>
  <c r="E23"/>
  <c r="AN21"/>
  <c r="AJ21"/>
  <c r="AR21" s="1"/>
  <c r="AP22" l="1"/>
  <c r="AP23"/>
  <c r="AM22"/>
  <c r="AN22"/>
  <c r="AM23"/>
  <c r="AN23"/>
  <c r="AM24"/>
  <c r="AN24"/>
  <c r="C40"/>
  <c r="AH34"/>
  <c r="AJ22"/>
  <c r="AJ23"/>
  <c r="AI22"/>
  <c r="AQ22" s="1"/>
  <c r="AI23"/>
  <c r="AH13"/>
  <c r="AC22"/>
  <c r="Y36"/>
  <c r="Y21"/>
  <c r="AF40"/>
  <c r="AE40"/>
  <c r="AD40"/>
  <c r="AB40"/>
  <c r="AA40"/>
  <c r="Z40"/>
  <c r="AA39"/>
  <c r="X40"/>
  <c r="W40"/>
  <c r="V40"/>
  <c r="T40"/>
  <c r="S40"/>
  <c r="R40"/>
  <c r="P40"/>
  <c r="O40"/>
  <c r="N40"/>
  <c r="L40"/>
  <c r="K40"/>
  <c r="J40"/>
  <c r="H40"/>
  <c r="G40"/>
  <c r="F40"/>
  <c r="K39"/>
  <c r="G39"/>
  <c r="F30"/>
  <c r="F38" s="1"/>
  <c r="AF25"/>
  <c r="AE25"/>
  <c r="AD25"/>
  <c r="AB25"/>
  <c r="AA25"/>
  <c r="Z25"/>
  <c r="X25"/>
  <c r="W25"/>
  <c r="V25"/>
  <c r="T25"/>
  <c r="S25"/>
  <c r="R25"/>
  <c r="P25"/>
  <c r="O25"/>
  <c r="N25"/>
  <c r="L25"/>
  <c r="K25"/>
  <c r="J25"/>
  <c r="H25"/>
  <c r="G25"/>
  <c r="F25"/>
  <c r="C25"/>
  <c r="D25"/>
  <c r="B25"/>
  <c r="C37"/>
  <c r="C39"/>
  <c r="I25" l="1"/>
  <c r="AQ23"/>
  <c r="AO24"/>
  <c r="AO22"/>
  <c r="AR23"/>
  <c r="AK22"/>
  <c r="AR22"/>
  <c r="AS22" s="1"/>
  <c r="AK23"/>
  <c r="AC25"/>
  <c r="Y25"/>
  <c r="U25"/>
  <c r="M25"/>
  <c r="AS23" l="1"/>
  <c r="AK29" i="9"/>
  <c r="AP21"/>
  <c r="AT22"/>
  <c r="AS22"/>
  <c r="E36" l="1"/>
  <c r="AO23"/>
  <c r="AK31" l="1"/>
  <c r="AJ31"/>
  <c r="AI31"/>
  <c r="AG31"/>
  <c r="AF31"/>
  <c r="AE31"/>
  <c r="AC31"/>
  <c r="AB31"/>
  <c r="AA31"/>
  <c r="Y31"/>
  <c r="X31"/>
  <c r="W31"/>
  <c r="T31"/>
  <c r="S31"/>
  <c r="R31"/>
  <c r="P31"/>
  <c r="O31"/>
  <c r="N31"/>
  <c r="L31"/>
  <c r="K31"/>
  <c r="J31"/>
  <c r="H31"/>
  <c r="G31"/>
  <c r="F31"/>
  <c r="C31"/>
  <c r="D31"/>
  <c r="B31"/>
  <c r="B30"/>
  <c r="E23"/>
  <c r="AK25"/>
  <c r="AJ25"/>
  <c r="AI25"/>
  <c r="AG25"/>
  <c r="AF25"/>
  <c r="AE25"/>
  <c r="AC25"/>
  <c r="AB25"/>
  <c r="AA25"/>
  <c r="Y25"/>
  <c r="X25"/>
  <c r="W25"/>
  <c r="T25"/>
  <c r="U25" s="1"/>
  <c r="S25"/>
  <c r="R25"/>
  <c r="P25"/>
  <c r="O25"/>
  <c r="N25"/>
  <c r="L25"/>
  <c r="K25"/>
  <c r="J25"/>
  <c r="H25"/>
  <c r="G25"/>
  <c r="F25"/>
  <c r="D25"/>
  <c r="B25"/>
  <c r="C25"/>
  <c r="AT24"/>
  <c r="AS24"/>
  <c r="AR24"/>
  <c r="AP24"/>
  <c r="AX24" s="1"/>
  <c r="AO24"/>
  <c r="AN24"/>
  <c r="AV24" s="1"/>
  <c r="AH24"/>
  <c r="Q24"/>
  <c r="E24"/>
  <c r="AT23"/>
  <c r="AS23"/>
  <c r="AR23"/>
  <c r="AP23"/>
  <c r="AN23"/>
  <c r="AR22"/>
  <c r="AW22"/>
  <c r="AN22"/>
  <c r="AH22"/>
  <c r="AI61" i="8"/>
  <c r="AJ61"/>
  <c r="AK61"/>
  <c r="AM61"/>
  <c r="AN61"/>
  <c r="AO61"/>
  <c r="AQ61"/>
  <c r="AR61"/>
  <c r="AS61"/>
  <c r="AE63"/>
  <c r="AH62"/>
  <c r="AH51"/>
  <c r="AS62"/>
  <c r="AR62"/>
  <c r="AQ62"/>
  <c r="AO62"/>
  <c r="AN62"/>
  <c r="AM62"/>
  <c r="AK62"/>
  <c r="AJ62"/>
  <c r="AI62"/>
  <c r="AS60"/>
  <c r="AR60"/>
  <c r="AQ60"/>
  <c r="AO60"/>
  <c r="AN60"/>
  <c r="AM60"/>
  <c r="AK60"/>
  <c r="AJ60"/>
  <c r="AI60"/>
  <c r="AS59"/>
  <c r="AR59"/>
  <c r="AQ59"/>
  <c r="AO59"/>
  <c r="AN59"/>
  <c r="AM59"/>
  <c r="AK59"/>
  <c r="AJ59"/>
  <c r="AI59"/>
  <c r="AS58"/>
  <c r="AR58"/>
  <c r="AQ58"/>
  <c r="AO58"/>
  <c r="AN58"/>
  <c r="AM58"/>
  <c r="AK58"/>
  <c r="AJ58"/>
  <c r="AI58"/>
  <c r="AS57"/>
  <c r="AR57"/>
  <c r="AQ57"/>
  <c r="AO57"/>
  <c r="AN57"/>
  <c r="AM57"/>
  <c r="AK57"/>
  <c r="AJ57"/>
  <c r="AI57"/>
  <c r="AS56"/>
  <c r="AR56"/>
  <c r="AQ56"/>
  <c r="AO56"/>
  <c r="AN56"/>
  <c r="AM56"/>
  <c r="AK56"/>
  <c r="AJ56"/>
  <c r="AI56"/>
  <c r="AS55"/>
  <c r="AR55"/>
  <c r="AQ55"/>
  <c r="AO55"/>
  <c r="AN55"/>
  <c r="AM55"/>
  <c r="AK55"/>
  <c r="AJ55"/>
  <c r="AI55"/>
  <c r="AS54"/>
  <c r="AR54"/>
  <c r="AQ54"/>
  <c r="AO54"/>
  <c r="AN54"/>
  <c r="AM54"/>
  <c r="AK54"/>
  <c r="AJ54"/>
  <c r="AI54"/>
  <c r="AS53"/>
  <c r="AR53"/>
  <c r="AQ53"/>
  <c r="AO53"/>
  <c r="AN53"/>
  <c r="AM53"/>
  <c r="AK53"/>
  <c r="AJ53"/>
  <c r="AI53"/>
  <c r="AS52"/>
  <c r="AR52"/>
  <c r="AQ52"/>
  <c r="AO52"/>
  <c r="AN52"/>
  <c r="AM52"/>
  <c r="AK52"/>
  <c r="AJ52"/>
  <c r="AI52"/>
  <c r="AS51"/>
  <c r="AR51"/>
  <c r="AQ51"/>
  <c r="AO51"/>
  <c r="AN51"/>
  <c r="AM51"/>
  <c r="AK51"/>
  <c r="AJ51"/>
  <c r="AI51"/>
  <c r="AS50"/>
  <c r="AR50"/>
  <c r="AQ50"/>
  <c r="AO50"/>
  <c r="AN50"/>
  <c r="AM50"/>
  <c r="AK50"/>
  <c r="AJ50"/>
  <c r="AI50"/>
  <c r="AS49"/>
  <c r="AR49"/>
  <c r="AQ49"/>
  <c r="AO49"/>
  <c r="AN49"/>
  <c r="AM49"/>
  <c r="AK49"/>
  <c r="AJ49"/>
  <c r="AI49"/>
  <c r="AS48"/>
  <c r="AR48"/>
  <c r="AQ48"/>
  <c r="AO48"/>
  <c r="AN48"/>
  <c r="AM48"/>
  <c r="AK48"/>
  <c r="AJ48"/>
  <c r="AI48"/>
  <c r="AS47"/>
  <c r="AR47"/>
  <c r="AQ47"/>
  <c r="AO47"/>
  <c r="AN47"/>
  <c r="AM47"/>
  <c r="AK47"/>
  <c r="AJ47"/>
  <c r="AI47"/>
  <c r="AS46"/>
  <c r="AR46"/>
  <c r="AQ46"/>
  <c r="AO46"/>
  <c r="AN46"/>
  <c r="AM46"/>
  <c r="AK46"/>
  <c r="AJ46"/>
  <c r="AI46"/>
  <c r="AS45"/>
  <c r="AR45"/>
  <c r="AQ45"/>
  <c r="AO45"/>
  <c r="AN45"/>
  <c r="AM45"/>
  <c r="AK45"/>
  <c r="AJ45"/>
  <c r="AI45"/>
  <c r="AS44"/>
  <c r="AR44"/>
  <c r="AQ44"/>
  <c r="AO44"/>
  <c r="AN44"/>
  <c r="AM44"/>
  <c r="AK44"/>
  <c r="AJ44"/>
  <c r="AI44"/>
  <c r="AS43"/>
  <c r="AR43"/>
  <c r="AQ43"/>
  <c r="AO43"/>
  <c r="AN43"/>
  <c r="AM43"/>
  <c r="AK43"/>
  <c r="AJ43"/>
  <c r="AL43" s="1"/>
  <c r="AI43"/>
  <c r="AS42"/>
  <c r="AR42"/>
  <c r="AQ42"/>
  <c r="AO42"/>
  <c r="AN42"/>
  <c r="AM42"/>
  <c r="AK42"/>
  <c r="AJ42"/>
  <c r="AI42"/>
  <c r="AS41"/>
  <c r="AR41"/>
  <c r="AQ41"/>
  <c r="AO41"/>
  <c r="AN41"/>
  <c r="AM41"/>
  <c r="AK41"/>
  <c r="AJ41"/>
  <c r="AI41"/>
  <c r="AS40"/>
  <c r="AR40"/>
  <c r="AQ40"/>
  <c r="AO40"/>
  <c r="AN40"/>
  <c r="AM40"/>
  <c r="AK40"/>
  <c r="AJ40"/>
  <c r="AI40"/>
  <c r="AS39"/>
  <c r="AR39"/>
  <c r="AQ39"/>
  <c r="AO39"/>
  <c r="AN39"/>
  <c r="AM39"/>
  <c r="AK39"/>
  <c r="AJ39"/>
  <c r="AI39"/>
  <c r="AS38"/>
  <c r="AR38"/>
  <c r="AQ38"/>
  <c r="AO38"/>
  <c r="AN38"/>
  <c r="AM38"/>
  <c r="AK38"/>
  <c r="AJ38"/>
  <c r="AI38"/>
  <c r="AS37"/>
  <c r="AR37"/>
  <c r="AQ37"/>
  <c r="AO37"/>
  <c r="AN37"/>
  <c r="AM37"/>
  <c r="AK37"/>
  <c r="AJ37"/>
  <c r="AI37"/>
  <c r="AS36"/>
  <c r="AR36"/>
  <c r="AQ36"/>
  <c r="AO36"/>
  <c r="AN36"/>
  <c r="AM36"/>
  <c r="AK36"/>
  <c r="AJ36"/>
  <c r="AI36"/>
  <c r="AS35"/>
  <c r="AR35"/>
  <c r="AQ35"/>
  <c r="AO35"/>
  <c r="AN35"/>
  <c r="AM35"/>
  <c r="AK35"/>
  <c r="AJ35"/>
  <c r="AI35"/>
  <c r="AS34"/>
  <c r="AR34"/>
  <c r="AQ34"/>
  <c r="AO34"/>
  <c r="AN34"/>
  <c r="AM34"/>
  <c r="AK34"/>
  <c r="AJ34"/>
  <c r="AI34"/>
  <c r="AS33"/>
  <c r="AR33"/>
  <c r="AQ33"/>
  <c r="AO33"/>
  <c r="AN33"/>
  <c r="AM33"/>
  <c r="AK33"/>
  <c r="AJ33"/>
  <c r="AI33"/>
  <c r="AI15"/>
  <c r="AJ15"/>
  <c r="AK15"/>
  <c r="AM15"/>
  <c r="AN15"/>
  <c r="AO15"/>
  <c r="AQ15"/>
  <c r="AR15"/>
  <c r="AS15"/>
  <c r="AI16"/>
  <c r="AJ16"/>
  <c r="AK16"/>
  <c r="AM16"/>
  <c r="AN16"/>
  <c r="AO16"/>
  <c r="AQ16"/>
  <c r="AR16"/>
  <c r="AS16"/>
  <c r="AI17"/>
  <c r="AJ17"/>
  <c r="AK17"/>
  <c r="AM17"/>
  <c r="AN17"/>
  <c r="AO17"/>
  <c r="AQ17"/>
  <c r="AR17"/>
  <c r="AS17"/>
  <c r="AI18"/>
  <c r="AJ18"/>
  <c r="AK18"/>
  <c r="AM18"/>
  <c r="AN18"/>
  <c r="AO18"/>
  <c r="AQ18"/>
  <c r="AR18"/>
  <c r="AS18"/>
  <c r="AI19"/>
  <c r="AJ19"/>
  <c r="AK19"/>
  <c r="AM19"/>
  <c r="AN19"/>
  <c r="AO19"/>
  <c r="AQ19"/>
  <c r="AR19"/>
  <c r="AS19"/>
  <c r="AI20"/>
  <c r="AJ20"/>
  <c r="AM20"/>
  <c r="AN20"/>
  <c r="AO20"/>
  <c r="AQ20"/>
  <c r="AR20"/>
  <c r="AI21"/>
  <c r="AJ21"/>
  <c r="AK21"/>
  <c r="AM21"/>
  <c r="AN21"/>
  <c r="AO21"/>
  <c r="AQ21"/>
  <c r="AR21"/>
  <c r="AS21"/>
  <c r="AT21" s="1"/>
  <c r="AI22"/>
  <c r="AJ22"/>
  <c r="AK22"/>
  <c r="AM22"/>
  <c r="AN22"/>
  <c r="AO22"/>
  <c r="AQ22"/>
  <c r="AR22"/>
  <c r="AS22"/>
  <c r="AI23"/>
  <c r="AJ23"/>
  <c r="AK23"/>
  <c r="AM23"/>
  <c r="AN23"/>
  <c r="AO23"/>
  <c r="AQ23"/>
  <c r="AR23"/>
  <c r="AS23"/>
  <c r="AI24"/>
  <c r="AJ24"/>
  <c r="AK24"/>
  <c r="AM24"/>
  <c r="AN24"/>
  <c r="AO24"/>
  <c r="AQ24"/>
  <c r="AR24"/>
  <c r="AS24"/>
  <c r="AI25"/>
  <c r="AJ25"/>
  <c r="AK25"/>
  <c r="AM25"/>
  <c r="AN25"/>
  <c r="AO25"/>
  <c r="AQ25"/>
  <c r="AR25"/>
  <c r="AS25"/>
  <c r="AI26"/>
  <c r="AJ26"/>
  <c r="AK26"/>
  <c r="AM26"/>
  <c r="AN26"/>
  <c r="AO26"/>
  <c r="AQ26"/>
  <c r="AR26"/>
  <c r="AS26"/>
  <c r="AI27"/>
  <c r="AJ27"/>
  <c r="AK27"/>
  <c r="AM27"/>
  <c r="AN27"/>
  <c r="AO27"/>
  <c r="AQ27"/>
  <c r="AR27"/>
  <c r="AS27"/>
  <c r="AI28"/>
  <c r="AJ28"/>
  <c r="AK28"/>
  <c r="AM28"/>
  <c r="AN28"/>
  <c r="AO28"/>
  <c r="AQ28"/>
  <c r="AR28"/>
  <c r="AS28"/>
  <c r="AI29"/>
  <c r="AJ29"/>
  <c r="AK29"/>
  <c r="AM29"/>
  <c r="AN29"/>
  <c r="AO29"/>
  <c r="AQ29"/>
  <c r="AR29"/>
  <c r="AS29"/>
  <c r="AI30"/>
  <c r="AJ30"/>
  <c r="AK30"/>
  <c r="AM30"/>
  <c r="AN30"/>
  <c r="AO30"/>
  <c r="AQ30"/>
  <c r="AR30"/>
  <c r="AS30"/>
  <c r="AS14"/>
  <c r="AR14"/>
  <c r="AQ14"/>
  <c r="AO14"/>
  <c r="AN14"/>
  <c r="AM14"/>
  <c r="AK14"/>
  <c r="AJ14"/>
  <c r="AI14"/>
  <c r="AE31"/>
  <c r="AF31"/>
  <c r="AG31"/>
  <c r="AH31"/>
  <c r="AF63"/>
  <c r="AG63"/>
  <c r="AD40"/>
  <c r="U48"/>
  <c r="AL22" l="1"/>
  <c r="AT42"/>
  <c r="AP45"/>
  <c r="AR25" i="9"/>
  <c r="AT34" i="8"/>
  <c r="AT50"/>
  <c r="AL35"/>
  <c r="AL51"/>
  <c r="AT28"/>
  <c r="AT24"/>
  <c r="AT16"/>
  <c r="AP55"/>
  <c r="AF64"/>
  <c r="AL23"/>
  <c r="AL19"/>
  <c r="AT17"/>
  <c r="AL15"/>
  <c r="AL33"/>
  <c r="AT37"/>
  <c r="AL39"/>
  <c r="AP40"/>
  <c r="AT45"/>
  <c r="AP48"/>
  <c r="AP54"/>
  <c r="AT55"/>
  <c r="AP58"/>
  <c r="AL30"/>
  <c r="AL18"/>
  <c r="AP59"/>
  <c r="AL28"/>
  <c r="AL24"/>
  <c r="AL16"/>
  <c r="AT39"/>
  <c r="AL41"/>
  <c r="AP46"/>
  <c r="AP47"/>
  <c r="AT47"/>
  <c r="AP53"/>
  <c r="AT53"/>
  <c r="AP56"/>
  <c r="AP57"/>
  <c r="AT58"/>
  <c r="AL21"/>
  <c r="AT19"/>
  <c r="AT46"/>
  <c r="AL26"/>
  <c r="AT23"/>
  <c r="AL17"/>
  <c r="AT15"/>
  <c r="AT38"/>
  <c r="AT54"/>
  <c r="AX23" i="9"/>
  <c r="AW24"/>
  <c r="E25"/>
  <c r="AL25"/>
  <c r="AH25"/>
  <c r="AX22"/>
  <c r="AY22" s="1"/>
  <c r="Q25"/>
  <c r="AV22"/>
  <c r="AV23"/>
  <c r="AW23"/>
  <c r="AY23"/>
  <c r="AT26" i="8"/>
  <c r="AL34"/>
  <c r="AL36"/>
  <c r="AT40"/>
  <c r="AL42"/>
  <c r="AL44"/>
  <c r="AT48"/>
  <c r="AL52"/>
  <c r="AT56"/>
  <c r="AL27"/>
  <c r="AT33"/>
  <c r="AT35"/>
  <c r="AL37"/>
  <c r="AT41"/>
  <c r="AT43"/>
  <c r="AT49"/>
  <c r="AT57"/>
  <c r="AT59"/>
  <c r="AL62"/>
  <c r="AT30"/>
  <c r="AT27"/>
  <c r="AT22"/>
  <c r="AT18"/>
  <c r="AT36"/>
  <c r="AL38"/>
  <c r="AT44"/>
  <c r="AT52"/>
  <c r="AT62"/>
  <c r="AG64"/>
  <c r="AT51"/>
  <c r="AE64"/>
  <c r="AH63"/>
  <c r="AH64" l="1"/>
  <c r="Q39"/>
  <c r="Q28"/>
  <c r="Q19"/>
  <c r="L20" l="1"/>
  <c r="M26"/>
  <c r="M27"/>
  <c r="I59"/>
  <c r="I58"/>
  <c r="I57"/>
  <c r="I56"/>
  <c r="I55"/>
  <c r="I54"/>
  <c r="I53"/>
  <c r="I47"/>
  <c r="I46"/>
  <c r="I45"/>
  <c r="AK20" l="1"/>
  <c r="AL20" s="1"/>
  <c r="AS20"/>
  <c r="AT20" s="1"/>
  <c r="E44"/>
  <c r="E43"/>
  <c r="E42"/>
  <c r="E41"/>
  <c r="E30" l="1"/>
  <c r="E63" l="1"/>
  <c r="F119" i="7"/>
  <c r="E117"/>
  <c r="G117" s="1"/>
  <c r="D119"/>
  <c r="E113"/>
  <c r="G113" s="1"/>
  <c r="F111"/>
  <c r="D111"/>
  <c r="E110"/>
  <c r="E111" s="1"/>
  <c r="G109"/>
  <c r="G107"/>
  <c r="E106"/>
  <c r="G105"/>
  <c r="C105"/>
  <c r="D105" s="1"/>
  <c r="G104"/>
  <c r="D104"/>
  <c r="F101"/>
  <c r="G101" s="1"/>
  <c r="D101"/>
  <c r="F98"/>
  <c r="G98" s="1"/>
  <c r="D98"/>
  <c r="C94"/>
  <c r="F93"/>
  <c r="G93" s="1"/>
  <c r="E90"/>
  <c r="G90" s="1"/>
  <c r="D90"/>
  <c r="G88"/>
  <c r="G87"/>
  <c r="F85"/>
  <c r="D85"/>
  <c r="C85"/>
  <c r="E84"/>
  <c r="G84" s="1"/>
  <c r="F82"/>
  <c r="E78"/>
  <c r="G78" s="1"/>
  <c r="E77"/>
  <c r="G77" s="1"/>
  <c r="B76"/>
  <c r="E76" s="1"/>
  <c r="G76" s="1"/>
  <c r="B75"/>
  <c r="F74"/>
  <c r="D74"/>
  <c r="B73"/>
  <c r="C74" s="1"/>
  <c r="G71"/>
  <c r="G69"/>
  <c r="F66"/>
  <c r="D66"/>
  <c r="C65"/>
  <c r="E65" s="1"/>
  <c r="G65" s="1"/>
  <c r="B64"/>
  <c r="B62"/>
  <c r="B58"/>
  <c r="C58" s="1"/>
  <c r="E58" s="1"/>
  <c r="G58" s="1"/>
  <c r="B57"/>
  <c r="B56"/>
  <c r="B54"/>
  <c r="B53"/>
  <c r="B49"/>
  <c r="B47"/>
  <c r="B46"/>
  <c r="B44"/>
  <c r="B43"/>
  <c r="B42"/>
  <c r="E38"/>
  <c r="F35"/>
  <c r="D35"/>
  <c r="C33"/>
  <c r="E33" s="1"/>
  <c r="G33" s="1"/>
  <c r="C32"/>
  <c r="E32" s="1"/>
  <c r="G32" s="1"/>
  <c r="C30"/>
  <c r="G27"/>
  <c r="F26"/>
  <c r="F28" s="1"/>
  <c r="E26"/>
  <c r="E28" s="1"/>
  <c r="D26"/>
  <c r="D28" s="1"/>
  <c r="C26"/>
  <c r="C28" s="1"/>
  <c r="G25"/>
  <c r="B24"/>
  <c r="G22"/>
  <c r="G16"/>
  <c r="G13"/>
  <c r="G10"/>
  <c r="F119" i="6"/>
  <c r="R36" i="12" s="1"/>
  <c r="G109" i="6"/>
  <c r="F86" i="7" l="1"/>
  <c r="C55"/>
  <c r="E55" s="1"/>
  <c r="G55" s="1"/>
  <c r="C39"/>
  <c r="E39" s="1"/>
  <c r="C59"/>
  <c r="E59" s="1"/>
  <c r="G59" s="1"/>
  <c r="D106"/>
  <c r="E119"/>
  <c r="G119" s="1"/>
  <c r="G26"/>
  <c r="C35"/>
  <c r="C51"/>
  <c r="E51" s="1"/>
  <c r="G51" s="1"/>
  <c r="C82"/>
  <c r="G111"/>
  <c r="C66"/>
  <c r="F89"/>
  <c r="F106"/>
  <c r="G106" s="1"/>
  <c r="G28"/>
  <c r="G38"/>
  <c r="E73"/>
  <c r="E75"/>
  <c r="D86"/>
  <c r="D89" s="1"/>
  <c r="D114" s="1"/>
  <c r="D120" s="1"/>
  <c r="E85"/>
  <c r="G85" s="1"/>
  <c r="E30"/>
  <c r="G116"/>
  <c r="G39" l="1"/>
  <c r="E66"/>
  <c r="G66" s="1"/>
  <c r="E35"/>
  <c r="G30"/>
  <c r="G73"/>
  <c r="E74"/>
  <c r="G74" s="1"/>
  <c r="F114"/>
  <c r="F120" s="1"/>
  <c r="E82"/>
  <c r="G82" s="1"/>
  <c r="G75"/>
  <c r="E86" l="1"/>
  <c r="G35"/>
  <c r="E89" l="1"/>
  <c r="G86"/>
  <c r="E114" l="1"/>
  <c r="G89"/>
  <c r="E120" l="1"/>
  <c r="G120" s="1"/>
  <c r="G114"/>
  <c r="G105" i="6" l="1"/>
  <c r="G104"/>
  <c r="F101"/>
  <c r="G101" s="1"/>
  <c r="F98"/>
  <c r="G98" s="1"/>
  <c r="G93"/>
  <c r="F93"/>
  <c r="G88"/>
  <c r="G71"/>
  <c r="G69"/>
  <c r="G27"/>
  <c r="G25"/>
  <c r="G22"/>
  <c r="G16"/>
  <c r="G13"/>
  <c r="G10"/>
  <c r="D119"/>
  <c r="P36" i="12" s="1"/>
  <c r="C85" i="6"/>
  <c r="E84"/>
  <c r="E85" s="1"/>
  <c r="E77"/>
  <c r="G77" s="1"/>
  <c r="E78"/>
  <c r="G78" s="1"/>
  <c r="E38"/>
  <c r="G38" s="1"/>
  <c r="E117"/>
  <c r="G117" s="1"/>
  <c r="E116"/>
  <c r="E113"/>
  <c r="E110"/>
  <c r="E111" s="1"/>
  <c r="Q28" i="12" s="1"/>
  <c r="E107" i="6"/>
  <c r="Q18" i="12" s="1"/>
  <c r="E106" i="6"/>
  <c r="Q17" i="12" s="1"/>
  <c r="E90" i="6"/>
  <c r="Q27" i="12" s="1"/>
  <c r="E87" i="6"/>
  <c r="G87" s="1"/>
  <c r="E26"/>
  <c r="E28" s="1"/>
  <c r="D116"/>
  <c r="F111"/>
  <c r="D111"/>
  <c r="P28" i="12" s="1"/>
  <c r="D107" i="6"/>
  <c r="P18" i="12" s="1"/>
  <c r="C105" i="6"/>
  <c r="D105" s="1"/>
  <c r="D104"/>
  <c r="D101"/>
  <c r="D98"/>
  <c r="C94"/>
  <c r="D90"/>
  <c r="P27" i="12" s="1"/>
  <c r="D87" i="6"/>
  <c r="D85"/>
  <c r="F85"/>
  <c r="B76"/>
  <c r="E76" s="1"/>
  <c r="G76" s="1"/>
  <c r="B75"/>
  <c r="E75" s="1"/>
  <c r="D74"/>
  <c r="B73"/>
  <c r="F74" s="1"/>
  <c r="D66"/>
  <c r="C65"/>
  <c r="E65" s="1"/>
  <c r="G65" s="1"/>
  <c r="B64"/>
  <c r="B62"/>
  <c r="B58"/>
  <c r="C58" s="1"/>
  <c r="E58" s="1"/>
  <c r="G58" s="1"/>
  <c r="B57"/>
  <c r="B56"/>
  <c r="B54"/>
  <c r="B53"/>
  <c r="B49"/>
  <c r="B47"/>
  <c r="B46"/>
  <c r="B44"/>
  <c r="B43"/>
  <c r="B42"/>
  <c r="D35"/>
  <c r="C33"/>
  <c r="E33" s="1"/>
  <c r="G33" s="1"/>
  <c r="C32"/>
  <c r="E32" s="1"/>
  <c r="G32" s="1"/>
  <c r="F35"/>
  <c r="C30"/>
  <c r="E30" s="1"/>
  <c r="G30" s="1"/>
  <c r="D26"/>
  <c r="D86" s="1"/>
  <c r="C26"/>
  <c r="C28" s="1"/>
  <c r="F26"/>
  <c r="F28" s="1"/>
  <c r="G28" s="1"/>
  <c r="B24"/>
  <c r="F106" l="1"/>
  <c r="G106" s="1"/>
  <c r="R17" i="12"/>
  <c r="D89" i="6"/>
  <c r="P12" i="12" s="1"/>
  <c r="P33"/>
  <c r="C59" i="6"/>
  <c r="E59" s="1"/>
  <c r="G59" s="1"/>
  <c r="E82"/>
  <c r="G26"/>
  <c r="G90"/>
  <c r="C51"/>
  <c r="E51" s="1"/>
  <c r="G51" s="1"/>
  <c r="C82"/>
  <c r="D106"/>
  <c r="P17" i="12" s="1"/>
  <c r="R28"/>
  <c r="G111" i="6"/>
  <c r="Q29" i="12"/>
  <c r="G113" i="6"/>
  <c r="E35"/>
  <c r="G35" s="1"/>
  <c r="C39"/>
  <c r="E39" s="1"/>
  <c r="G39" s="1"/>
  <c r="C55"/>
  <c r="E55" s="1"/>
  <c r="G55" s="1"/>
  <c r="C74"/>
  <c r="G85"/>
  <c r="E119"/>
  <c r="G116"/>
  <c r="E73"/>
  <c r="G75"/>
  <c r="G84"/>
  <c r="G107"/>
  <c r="C66"/>
  <c r="F66"/>
  <c r="D28"/>
  <c r="C35"/>
  <c r="F82"/>
  <c r="P25" i="12" l="1"/>
  <c r="E66" i="6"/>
  <c r="G66" s="1"/>
  <c r="D114"/>
  <c r="D120" s="1"/>
  <c r="E74"/>
  <c r="G74" s="1"/>
  <c r="G73"/>
  <c r="G82"/>
  <c r="Q36" i="12"/>
  <c r="G119" i="6"/>
  <c r="F86"/>
  <c r="F89" l="1"/>
  <c r="E86"/>
  <c r="E89" s="1"/>
  <c r="B10" i="5"/>
  <c r="E98" i="3"/>
  <c r="C98"/>
  <c r="E93"/>
  <c r="C93"/>
  <c r="E78"/>
  <c r="C78"/>
  <c r="C74"/>
  <c r="E67"/>
  <c r="E74" s="1"/>
  <c r="E40"/>
  <c r="E54" s="1"/>
  <c r="C54"/>
  <c r="C10"/>
  <c r="C113"/>
  <c r="C108"/>
  <c r="C103"/>
  <c r="C86"/>
  <c r="C83"/>
  <c r="C80"/>
  <c r="C66"/>
  <c r="C35"/>
  <c r="C33"/>
  <c r="C30"/>
  <c r="C26"/>
  <c r="C27" s="1"/>
  <c r="C21"/>
  <c r="C18"/>
  <c r="C15"/>
  <c r="B38" i="2"/>
  <c r="B35"/>
  <c r="D33"/>
  <c r="D34"/>
  <c r="C19"/>
  <c r="D9"/>
  <c r="D10"/>
  <c r="D12"/>
  <c r="D13"/>
  <c r="D15"/>
  <c r="D16"/>
  <c r="D17"/>
  <c r="D18"/>
  <c r="D20"/>
  <c r="D21"/>
  <c r="D22"/>
  <c r="D23"/>
  <c r="D25"/>
  <c r="D26"/>
  <c r="D27"/>
  <c r="D29"/>
  <c r="D30"/>
  <c r="D32"/>
  <c r="D36"/>
  <c r="D37"/>
  <c r="D8"/>
  <c r="E32" i="1"/>
  <c r="E28"/>
  <c r="E34" s="1"/>
  <c r="E21"/>
  <c r="E17"/>
  <c r="E14"/>
  <c r="E12"/>
  <c r="E24" s="1"/>
  <c r="C32"/>
  <c r="G86" i="6" l="1"/>
  <c r="E114"/>
  <c r="E120" s="1"/>
  <c r="Q12" i="12"/>
  <c r="R12"/>
  <c r="F114" i="6"/>
  <c r="G89"/>
  <c r="C75" i="3"/>
  <c r="C22"/>
  <c r="C36"/>
  <c r="C109"/>
  <c r="C114" s="1"/>
  <c r="G114" i="6" l="1"/>
  <c r="F120"/>
  <c r="G120" s="1"/>
  <c r="C87" i="3"/>
  <c r="R37" i="12" l="1"/>
  <c r="P37"/>
  <c r="P38" s="1"/>
  <c r="J36"/>
  <c r="F36"/>
  <c r="Q35"/>
  <c r="J35"/>
  <c r="F35"/>
  <c r="Q37" l="1"/>
  <c r="R25"/>
  <c r="R33"/>
  <c r="F12" i="15"/>
  <c r="B13" i="5"/>
  <c r="B14" s="1"/>
  <c r="B15" s="1"/>
  <c r="B16" s="1"/>
  <c r="E113" i="3"/>
  <c r="E108"/>
  <c r="E103"/>
  <c r="E86"/>
  <c r="E83"/>
  <c r="E80"/>
  <c r="E66"/>
  <c r="E33"/>
  <c r="E35"/>
  <c r="E30"/>
  <c r="E26"/>
  <c r="E27" s="1"/>
  <c r="E21"/>
  <c r="E18"/>
  <c r="E15"/>
  <c r="E10"/>
  <c r="D38" i="2"/>
  <c r="D35"/>
  <c r="B28"/>
  <c r="D28" s="1"/>
  <c r="B24"/>
  <c r="D24" s="1"/>
  <c r="C11"/>
  <c r="C14"/>
  <c r="B19"/>
  <c r="D19" s="1"/>
  <c r="B14"/>
  <c r="B11"/>
  <c r="D14" l="1"/>
  <c r="B31"/>
  <c r="D31" s="1"/>
  <c r="D11"/>
  <c r="R38" i="12"/>
  <c r="E109" i="3"/>
  <c r="E114" s="1"/>
  <c r="B39" i="2"/>
  <c r="D39" s="1"/>
  <c r="E75" i="3"/>
  <c r="E36"/>
  <c r="E22"/>
  <c r="B40" i="2" l="1"/>
  <c r="D40" s="1"/>
  <c r="E87" i="3"/>
  <c r="E115" s="1"/>
  <c r="E35" i="1"/>
  <c r="C28"/>
  <c r="C21"/>
  <c r="C17"/>
  <c r="C14"/>
  <c r="C12"/>
  <c r="I14" i="17"/>
  <c r="D14"/>
  <c r="C34" i="1" l="1"/>
  <c r="C24"/>
  <c r="C35" l="1"/>
  <c r="W14" i="15"/>
  <c r="X14"/>
  <c r="Y14"/>
  <c r="S14"/>
  <c r="Q14"/>
  <c r="M14"/>
  <c r="K14"/>
  <c r="AH35" i="11"/>
  <c r="AH40" s="1"/>
  <c r="AI35"/>
  <c r="AJ35"/>
  <c r="AL35"/>
  <c r="AM35"/>
  <c r="AM40" s="1"/>
  <c r="AN35"/>
  <c r="AR35" s="1"/>
  <c r="Y27"/>
  <c r="AC17"/>
  <c r="Y13"/>
  <c r="C29"/>
  <c r="D40"/>
  <c r="B40"/>
  <c r="AF37"/>
  <c r="AE37"/>
  <c r="AD37"/>
  <c r="AB37"/>
  <c r="AA37"/>
  <c r="Z37"/>
  <c r="X37"/>
  <c r="W37"/>
  <c r="V37"/>
  <c r="T37"/>
  <c r="S37"/>
  <c r="R37"/>
  <c r="P37"/>
  <c r="O37"/>
  <c r="N37"/>
  <c r="L37"/>
  <c r="K37"/>
  <c r="J37"/>
  <c r="H37"/>
  <c r="G37"/>
  <c r="F37"/>
  <c r="D37"/>
  <c r="B37"/>
  <c r="AN36"/>
  <c r="AN40" s="1"/>
  <c r="AM36"/>
  <c r="AL36"/>
  <c r="AL40" s="1"/>
  <c r="AJ36"/>
  <c r="AI36"/>
  <c r="AH36"/>
  <c r="AH37" s="1"/>
  <c r="AN34"/>
  <c r="AM34"/>
  <c r="AL34"/>
  <c r="AJ34"/>
  <c r="AI34"/>
  <c r="Y34"/>
  <c r="M34"/>
  <c r="I34"/>
  <c r="E34"/>
  <c r="AE39"/>
  <c r="AD39"/>
  <c r="AB39"/>
  <c r="AC39" s="1"/>
  <c r="Z39"/>
  <c r="X39"/>
  <c r="W39"/>
  <c r="V39"/>
  <c r="T39"/>
  <c r="S39"/>
  <c r="R39"/>
  <c r="P39"/>
  <c r="O39"/>
  <c r="N39"/>
  <c r="L39"/>
  <c r="M39" s="1"/>
  <c r="J39"/>
  <c r="H39"/>
  <c r="I39" s="1"/>
  <c r="F39"/>
  <c r="B39"/>
  <c r="AF30"/>
  <c r="AF38" s="1"/>
  <c r="AE30"/>
  <c r="AD30"/>
  <c r="AD38" s="1"/>
  <c r="AB30"/>
  <c r="AB38" s="1"/>
  <c r="AA30"/>
  <c r="AA38" s="1"/>
  <c r="Z30"/>
  <c r="X30"/>
  <c r="X38" s="1"/>
  <c r="W30"/>
  <c r="W38" s="1"/>
  <c r="V30"/>
  <c r="V38" s="1"/>
  <c r="T30"/>
  <c r="T38" s="1"/>
  <c r="S30"/>
  <c r="S38" s="1"/>
  <c r="R30"/>
  <c r="P30"/>
  <c r="P38" s="1"/>
  <c r="O30"/>
  <c r="O38" s="1"/>
  <c r="N30"/>
  <c r="L30"/>
  <c r="L38" s="1"/>
  <c r="K30"/>
  <c r="K38" s="1"/>
  <c r="J30"/>
  <c r="J38" s="1"/>
  <c r="H30"/>
  <c r="H38" s="1"/>
  <c r="G30"/>
  <c r="D30"/>
  <c r="C30"/>
  <c r="AF29"/>
  <c r="AE29"/>
  <c r="AD29"/>
  <c r="AB29"/>
  <c r="AA29"/>
  <c r="Z29"/>
  <c r="X29"/>
  <c r="W29"/>
  <c r="V29"/>
  <c r="T29"/>
  <c r="S29"/>
  <c r="R29"/>
  <c r="P29"/>
  <c r="O29"/>
  <c r="N29"/>
  <c r="L29"/>
  <c r="K29"/>
  <c r="J29"/>
  <c r="H29"/>
  <c r="G29"/>
  <c r="F29"/>
  <c r="D29"/>
  <c r="B29"/>
  <c r="AN28"/>
  <c r="AM28"/>
  <c r="AL28"/>
  <c r="AJ28"/>
  <c r="AI28"/>
  <c r="AH28"/>
  <c r="M28"/>
  <c r="I28"/>
  <c r="E28"/>
  <c r="AN27"/>
  <c r="AM27"/>
  <c r="AL27"/>
  <c r="AJ27"/>
  <c r="AI27"/>
  <c r="AH27"/>
  <c r="U27"/>
  <c r="M27"/>
  <c r="I27"/>
  <c r="E27"/>
  <c r="E25"/>
  <c r="AL24"/>
  <c r="AJ24"/>
  <c r="AI24"/>
  <c r="AQ24" s="1"/>
  <c r="AN25"/>
  <c r="AM21"/>
  <c r="AM25" s="1"/>
  <c r="AL21"/>
  <c r="AI21"/>
  <c r="AH21"/>
  <c r="AH25" s="1"/>
  <c r="AC21"/>
  <c r="U21"/>
  <c r="M21"/>
  <c r="I21"/>
  <c r="E21"/>
  <c r="AF19"/>
  <c r="AE19"/>
  <c r="AD19"/>
  <c r="AB19"/>
  <c r="AA19"/>
  <c r="Z19"/>
  <c r="X19"/>
  <c r="W19"/>
  <c r="V19"/>
  <c r="T19"/>
  <c r="S19"/>
  <c r="R19"/>
  <c r="P19"/>
  <c r="O19"/>
  <c r="N19"/>
  <c r="L19"/>
  <c r="K19"/>
  <c r="J19"/>
  <c r="H19"/>
  <c r="G19"/>
  <c r="F19"/>
  <c r="D19"/>
  <c r="C19"/>
  <c r="B19"/>
  <c r="AN18"/>
  <c r="AM18"/>
  <c r="AL18"/>
  <c r="AJ18"/>
  <c r="AI18"/>
  <c r="AH18"/>
  <c r="AN17"/>
  <c r="AM17"/>
  <c r="AL17"/>
  <c r="AJ17"/>
  <c r="AI17"/>
  <c r="AH17"/>
  <c r="Y17"/>
  <c r="U17"/>
  <c r="M17"/>
  <c r="I17"/>
  <c r="E17"/>
  <c r="AF15"/>
  <c r="AE15"/>
  <c r="AD15"/>
  <c r="AB15"/>
  <c r="AA15"/>
  <c r="Z15"/>
  <c r="X15"/>
  <c r="W15"/>
  <c r="V15"/>
  <c r="T15"/>
  <c r="S15"/>
  <c r="R15"/>
  <c r="P15"/>
  <c r="O15"/>
  <c r="N15"/>
  <c r="L15"/>
  <c r="K15"/>
  <c r="J15"/>
  <c r="H15"/>
  <c r="G15"/>
  <c r="F15"/>
  <c r="D15"/>
  <c r="C15"/>
  <c r="B15"/>
  <c r="AN14"/>
  <c r="AM14"/>
  <c r="AL14"/>
  <c r="AJ14"/>
  <c r="AI14"/>
  <c r="AH14"/>
  <c r="AN13"/>
  <c r="AM13"/>
  <c r="AL13"/>
  <c r="AJ13"/>
  <c r="AI13"/>
  <c r="U13"/>
  <c r="M13"/>
  <c r="I13"/>
  <c r="E13"/>
  <c r="Y29" l="1"/>
  <c r="M38"/>
  <c r="AP36"/>
  <c r="AP40" s="1"/>
  <c r="U19"/>
  <c r="I15"/>
  <c r="AL25"/>
  <c r="G38"/>
  <c r="I38" s="1"/>
  <c r="G32"/>
  <c r="R32"/>
  <c r="R38"/>
  <c r="R41" s="1"/>
  <c r="AP28"/>
  <c r="AJ15"/>
  <c r="U38"/>
  <c r="AE38"/>
  <c r="AE41" s="1"/>
  <c r="AP24"/>
  <c r="AL29"/>
  <c r="U29"/>
  <c r="U39"/>
  <c r="AF39"/>
  <c r="AF41" s="1"/>
  <c r="AL37"/>
  <c r="AP35"/>
  <c r="AR36"/>
  <c r="AR40" s="1"/>
  <c r="AJ40"/>
  <c r="AQ35"/>
  <c r="AQ40" s="1"/>
  <c r="AI40"/>
  <c r="Y39"/>
  <c r="AR24"/>
  <c r="AS24" s="1"/>
  <c r="AK24"/>
  <c r="AJ25"/>
  <c r="AC38"/>
  <c r="N38"/>
  <c r="N41" s="1"/>
  <c r="O41"/>
  <c r="Y19"/>
  <c r="Z32"/>
  <c r="Z38"/>
  <c r="Z41" s="1"/>
  <c r="AQ36"/>
  <c r="AM37"/>
  <c r="AO25"/>
  <c r="AP17"/>
  <c r="Y38"/>
  <c r="Y15"/>
  <c r="AK35"/>
  <c r="U15"/>
  <c r="AI25"/>
  <c r="AH29"/>
  <c r="F32"/>
  <c r="AI37"/>
  <c r="E15"/>
  <c r="AQ14"/>
  <c r="AR14"/>
  <c r="AL19"/>
  <c r="AP18"/>
  <c r="AP21"/>
  <c r="AP25" s="1"/>
  <c r="AI15"/>
  <c r="AK15" s="1"/>
  <c r="AN15"/>
  <c r="U30"/>
  <c r="N32"/>
  <c r="AP14"/>
  <c r="AM19"/>
  <c r="AQ18"/>
  <c r="AN19"/>
  <c r="AH30"/>
  <c r="E31"/>
  <c r="O32"/>
  <c r="D39"/>
  <c r="E39" s="1"/>
  <c r="AL15"/>
  <c r="AL30"/>
  <c r="AL38" s="1"/>
  <c r="AE32"/>
  <c r="F41"/>
  <c r="AD41"/>
  <c r="AH15"/>
  <c r="AM15"/>
  <c r="AD32"/>
  <c r="AH19"/>
  <c r="AR34"/>
  <c r="I31"/>
  <c r="AN29"/>
  <c r="AR17"/>
  <c r="I19"/>
  <c r="E19"/>
  <c r="X32"/>
  <c r="X41"/>
  <c r="AQ17"/>
  <c r="AM30"/>
  <c r="AM38" s="1"/>
  <c r="AC30"/>
  <c r="AP34"/>
  <c r="AM29"/>
  <c r="AO29" s="1"/>
  <c r="W32"/>
  <c r="Y30"/>
  <c r="K41"/>
  <c r="M37"/>
  <c r="M31"/>
  <c r="M29"/>
  <c r="M19"/>
  <c r="M15"/>
  <c r="AJ31"/>
  <c r="AJ39" s="1"/>
  <c r="AK28"/>
  <c r="AI29"/>
  <c r="I29"/>
  <c r="AK27"/>
  <c r="AQ27"/>
  <c r="E29"/>
  <c r="AK13"/>
  <c r="AP13"/>
  <c r="AP15" s="1"/>
  <c r="P41"/>
  <c r="P32"/>
  <c r="AQ13"/>
  <c r="AN31"/>
  <c r="AN39" s="1"/>
  <c r="AK17"/>
  <c r="AR18"/>
  <c r="AJ19"/>
  <c r="L32"/>
  <c r="M30"/>
  <c r="V32"/>
  <c r="AM31"/>
  <c r="AM39" s="1"/>
  <c r="AH31"/>
  <c r="AH39" s="1"/>
  <c r="AF32"/>
  <c r="AN30"/>
  <c r="AN38" s="1"/>
  <c r="AR13"/>
  <c r="AK21"/>
  <c r="AQ21"/>
  <c r="AQ25" s="1"/>
  <c r="C38"/>
  <c r="AI30"/>
  <c r="AI38" s="1"/>
  <c r="H32"/>
  <c r="I30"/>
  <c r="B32"/>
  <c r="J32"/>
  <c r="S32"/>
  <c r="AA32"/>
  <c r="AN37"/>
  <c r="AO34"/>
  <c r="E37"/>
  <c r="U37"/>
  <c r="J41"/>
  <c r="S41"/>
  <c r="AA41"/>
  <c r="AR28"/>
  <c r="AJ29"/>
  <c r="AO21"/>
  <c r="AR27"/>
  <c r="I37"/>
  <c r="Y37"/>
  <c r="AO13"/>
  <c r="AI19"/>
  <c r="AO27"/>
  <c r="AQ28"/>
  <c r="D38"/>
  <c r="AJ30"/>
  <c r="AJ38" s="1"/>
  <c r="D32"/>
  <c r="E30"/>
  <c r="AI31"/>
  <c r="AI39" s="1"/>
  <c r="U31"/>
  <c r="AL31"/>
  <c r="C32"/>
  <c r="K32"/>
  <c r="T32"/>
  <c r="AB32"/>
  <c r="AJ37"/>
  <c r="AK34"/>
  <c r="AQ34"/>
  <c r="V41"/>
  <c r="T41"/>
  <c r="AB41"/>
  <c r="AC16" i="10" s="1"/>
  <c r="AP27" i="11"/>
  <c r="AR37" l="1"/>
  <c r="G41"/>
  <c r="AP37"/>
  <c r="AQ15"/>
  <c r="AO15"/>
  <c r="AP19"/>
  <c r="AP29"/>
  <c r="AL32"/>
  <c r="AL39"/>
  <c r="AL41" s="1"/>
  <c r="AO37"/>
  <c r="AK39"/>
  <c r="AQ37"/>
  <c r="AS37" s="1"/>
  <c r="AS35"/>
  <c r="AI41"/>
  <c r="AK25"/>
  <c r="AP30"/>
  <c r="AP38" s="1"/>
  <c r="AH38"/>
  <c r="AH41" s="1"/>
  <c r="AJ41"/>
  <c r="AK41" s="1"/>
  <c r="AK38"/>
  <c r="AR25"/>
  <c r="AS25" s="1"/>
  <c r="AO39"/>
  <c r="AN41"/>
  <c r="Y32"/>
  <c r="AO38"/>
  <c r="AK37"/>
  <c r="AH32"/>
  <c r="AR19"/>
  <c r="U41"/>
  <c r="AS17"/>
  <c r="B41"/>
  <c r="B16" i="10" s="1"/>
  <c r="AR31" i="11"/>
  <c r="AR39" s="1"/>
  <c r="AQ19"/>
  <c r="AC41"/>
  <c r="AM32"/>
  <c r="AQ31"/>
  <c r="AQ39" s="1"/>
  <c r="AS39" s="1"/>
  <c r="AQ29"/>
  <c r="AS28"/>
  <c r="AK31"/>
  <c r="AK29"/>
  <c r="AS34"/>
  <c r="AK19"/>
  <c r="AS21"/>
  <c r="I32"/>
  <c r="AR15"/>
  <c r="AS13"/>
  <c r="AM41"/>
  <c r="AR30"/>
  <c r="AR38" s="1"/>
  <c r="AK30"/>
  <c r="AJ32"/>
  <c r="AS27"/>
  <c r="AR29"/>
  <c r="AI32"/>
  <c r="AQ30"/>
  <c r="AQ38" s="1"/>
  <c r="L41"/>
  <c r="M41" s="1"/>
  <c r="W41"/>
  <c r="Y41" s="1"/>
  <c r="E38"/>
  <c r="D41"/>
  <c r="D16" i="10" s="1"/>
  <c r="C41" i="11"/>
  <c r="C16" i="10" s="1"/>
  <c r="AC32" i="11"/>
  <c r="AP31"/>
  <c r="U32"/>
  <c r="E32"/>
  <c r="H41"/>
  <c r="I41" s="1"/>
  <c r="AO30"/>
  <c r="AN32"/>
  <c r="M32"/>
  <c r="AR41" l="1"/>
  <c r="AS15"/>
  <c r="AP32"/>
  <c r="AP39"/>
  <c r="AO41"/>
  <c r="AO32"/>
  <c r="AS38"/>
  <c r="AP41"/>
  <c r="AS19"/>
  <c r="AS29"/>
  <c r="AS31"/>
  <c r="AQ32"/>
  <c r="AK32"/>
  <c r="AQ41"/>
  <c r="E41"/>
  <c r="AR32"/>
  <c r="AS30"/>
  <c r="AS32" l="1"/>
  <c r="AS41"/>
  <c r="AR27" i="9" l="1"/>
  <c r="AR28"/>
  <c r="AR17"/>
  <c r="AS21"/>
  <c r="AS25" s="1"/>
  <c r="AS17"/>
  <c r="AN21"/>
  <c r="AN25" s="1"/>
  <c r="AI30"/>
  <c r="AI38"/>
  <c r="X30"/>
  <c r="Q17"/>
  <c r="E35"/>
  <c r="E34"/>
  <c r="O29"/>
  <c r="AC63" i="8" l="1"/>
  <c r="Q37"/>
  <c r="Q36"/>
  <c r="Q35"/>
  <c r="Q34"/>
  <c r="Q33"/>
  <c r="M24"/>
  <c r="N31" l="1"/>
  <c r="M23"/>
  <c r="E17"/>
  <c r="E15"/>
  <c r="E16"/>
  <c r="E14"/>
  <c r="D31"/>
  <c r="D63"/>
  <c r="D64" l="1"/>
  <c r="AC31"/>
  <c r="AC64" s="1"/>
  <c r="AD31"/>
  <c r="AA63"/>
  <c r="AB63"/>
  <c r="AB31"/>
  <c r="AA31"/>
  <c r="X31"/>
  <c r="Y31"/>
  <c r="X63"/>
  <c r="V63"/>
  <c r="W63"/>
  <c r="T63"/>
  <c r="R63"/>
  <c r="S63"/>
  <c r="U31"/>
  <c r="T31"/>
  <c r="S31"/>
  <c r="R31"/>
  <c r="P31"/>
  <c r="P63"/>
  <c r="L31"/>
  <c r="L63"/>
  <c r="O63"/>
  <c r="N63"/>
  <c r="N64" s="1"/>
  <c r="Q38"/>
  <c r="K63"/>
  <c r="J63"/>
  <c r="J31"/>
  <c r="M22"/>
  <c r="M21"/>
  <c r="M18"/>
  <c r="H31"/>
  <c r="H63"/>
  <c r="G63"/>
  <c r="F63"/>
  <c r="G31"/>
  <c r="F31"/>
  <c r="C63"/>
  <c r="B63"/>
  <c r="C31"/>
  <c r="B31"/>
  <c r="B64" l="1"/>
  <c r="F64"/>
  <c r="Q63"/>
  <c r="I63"/>
  <c r="G64"/>
  <c r="J64"/>
  <c r="C64"/>
  <c r="E64" s="1"/>
  <c r="E31"/>
  <c r="O31"/>
  <c r="O64" s="1"/>
  <c r="U63"/>
  <c r="AB64"/>
  <c r="AD64" s="1"/>
  <c r="K31"/>
  <c r="M31" s="1"/>
  <c r="M20"/>
  <c r="AA64"/>
  <c r="AD63"/>
  <c r="R64"/>
  <c r="X64"/>
  <c r="S64"/>
  <c r="T64"/>
  <c r="L64"/>
  <c r="P64"/>
  <c r="H64"/>
  <c r="K64" l="1"/>
  <c r="M64" s="1"/>
  <c r="I64"/>
  <c r="Q31"/>
  <c r="Q64"/>
  <c r="U64"/>
  <c r="I15" i="17" l="1"/>
  <c r="I16" s="1"/>
  <c r="G15"/>
  <c r="G16" s="1"/>
  <c r="F15"/>
  <c r="F16" s="1"/>
  <c r="E15"/>
  <c r="E16" s="1"/>
  <c r="C15"/>
  <c r="C16" s="1"/>
  <c r="H15"/>
  <c r="H16" s="1"/>
  <c r="D15" l="1"/>
  <c r="D16" s="1"/>
  <c r="R14" i="15"/>
  <c r="R17" s="1"/>
  <c r="W17"/>
  <c r="Y17"/>
  <c r="S17"/>
  <c r="Q17"/>
  <c r="M17"/>
  <c r="K17"/>
  <c r="G16"/>
  <c r="F16"/>
  <c r="E16"/>
  <c r="D16"/>
  <c r="C16"/>
  <c r="B16"/>
  <c r="G15"/>
  <c r="F15"/>
  <c r="E15"/>
  <c r="D15"/>
  <c r="C15"/>
  <c r="B15"/>
  <c r="X17"/>
  <c r="V14"/>
  <c r="V17" s="1"/>
  <c r="U14"/>
  <c r="U17" s="1"/>
  <c r="T14"/>
  <c r="T17" s="1"/>
  <c r="P14"/>
  <c r="P17" s="1"/>
  <c r="O14"/>
  <c r="O17" s="1"/>
  <c r="N14"/>
  <c r="N17" s="1"/>
  <c r="L14"/>
  <c r="L17" s="1"/>
  <c r="J14"/>
  <c r="J17" s="1"/>
  <c r="I14"/>
  <c r="I17" s="1"/>
  <c r="C17" s="1"/>
  <c r="H14"/>
  <c r="G14"/>
  <c r="E14"/>
  <c r="C14"/>
  <c r="G13"/>
  <c r="F13"/>
  <c r="E13"/>
  <c r="D13"/>
  <c r="G12"/>
  <c r="E12"/>
  <c r="D12"/>
  <c r="C12"/>
  <c r="B12"/>
  <c r="H17" l="1"/>
  <c r="B17" s="1"/>
  <c r="B14"/>
  <c r="E17"/>
  <c r="D17"/>
  <c r="G17"/>
  <c r="F17"/>
  <c r="F14"/>
  <c r="D14"/>
  <c r="F20" i="12" l="1"/>
  <c r="J20"/>
  <c r="Q20"/>
  <c r="F21"/>
  <c r="J21"/>
  <c r="Q21"/>
  <c r="F22"/>
  <c r="J22"/>
  <c r="Q22"/>
  <c r="F23"/>
  <c r="Q23"/>
  <c r="Q24"/>
  <c r="D25"/>
  <c r="E25"/>
  <c r="G25"/>
  <c r="H25"/>
  <c r="I25"/>
  <c r="K25"/>
  <c r="L25"/>
  <c r="M25"/>
  <c r="N25"/>
  <c r="O25"/>
  <c r="Q30"/>
  <c r="G33"/>
  <c r="Q31"/>
  <c r="Q32"/>
  <c r="D33"/>
  <c r="H33"/>
  <c r="J33"/>
  <c r="K33"/>
  <c r="L33"/>
  <c r="M33"/>
  <c r="N33"/>
  <c r="O33"/>
  <c r="Q33" l="1"/>
  <c r="Q25"/>
  <c r="N38"/>
  <c r="H38"/>
  <c r="K38"/>
  <c r="G38"/>
  <c r="J25"/>
  <c r="J38" s="1"/>
  <c r="O38"/>
  <c r="F25"/>
  <c r="M38"/>
  <c r="L38"/>
  <c r="D38"/>
  <c r="Q38" l="1"/>
  <c r="F33"/>
  <c r="F38" s="1"/>
  <c r="E33"/>
  <c r="E38" s="1"/>
  <c r="I33"/>
  <c r="I38" s="1"/>
  <c r="AJ19" i="10"/>
  <c r="T35" i="12" s="1"/>
  <c r="T37" s="1"/>
  <c r="AI19" i="10"/>
  <c r="S35" i="12" s="1"/>
  <c r="S37" s="1"/>
  <c r="AD18" i="10"/>
  <c r="M18"/>
  <c r="AP28" i="9"/>
  <c r="AP27"/>
  <c r="AO28"/>
  <c r="AO27"/>
  <c r="AN27"/>
  <c r="AH28"/>
  <c r="AK40"/>
  <c r="AJ40"/>
  <c r="AI40"/>
  <c r="AG40"/>
  <c r="AF40"/>
  <c r="AE40"/>
  <c r="AC40"/>
  <c r="AB40"/>
  <c r="AA40"/>
  <c r="Y40"/>
  <c r="X40"/>
  <c r="W40"/>
  <c r="T40"/>
  <c r="S40"/>
  <c r="R40"/>
  <c r="P40"/>
  <c r="O40"/>
  <c r="N40"/>
  <c r="L40"/>
  <c r="K40"/>
  <c r="J40"/>
  <c r="H40"/>
  <c r="G40"/>
  <c r="F40"/>
  <c r="D40"/>
  <c r="C40"/>
  <c r="B40"/>
  <c r="AK37"/>
  <c r="AJ37"/>
  <c r="AI37"/>
  <c r="AG37"/>
  <c r="AF37"/>
  <c r="AE37"/>
  <c r="AC37"/>
  <c r="AB37"/>
  <c r="AA37"/>
  <c r="Y37"/>
  <c r="X37"/>
  <c r="W37"/>
  <c r="T37"/>
  <c r="S37"/>
  <c r="R37"/>
  <c r="P37"/>
  <c r="N37"/>
  <c r="L37"/>
  <c r="K37"/>
  <c r="J37"/>
  <c r="H37"/>
  <c r="G37"/>
  <c r="F37"/>
  <c r="D37"/>
  <c r="C37"/>
  <c r="B37"/>
  <c r="AT36"/>
  <c r="AT40" s="1"/>
  <c r="AS36"/>
  <c r="AS40" s="1"/>
  <c r="AR36"/>
  <c r="AR40" s="1"/>
  <c r="AP36"/>
  <c r="AO36"/>
  <c r="AN36"/>
  <c r="AN40" s="1"/>
  <c r="AT35"/>
  <c r="AS35"/>
  <c r="AR35"/>
  <c r="AP35"/>
  <c r="AO35"/>
  <c r="AN35"/>
  <c r="AT34"/>
  <c r="AS34"/>
  <c r="AS37" s="1"/>
  <c r="AR34"/>
  <c r="AR37" s="1"/>
  <c r="AP34"/>
  <c r="AN34"/>
  <c r="AL34"/>
  <c r="AH34"/>
  <c r="O37"/>
  <c r="AK39"/>
  <c r="AI39"/>
  <c r="AG39"/>
  <c r="AF39"/>
  <c r="AE39"/>
  <c r="AC39"/>
  <c r="AB39"/>
  <c r="AA39"/>
  <c r="Y39"/>
  <c r="X39"/>
  <c r="W39"/>
  <c r="T39"/>
  <c r="S39"/>
  <c r="R39"/>
  <c r="P39"/>
  <c r="N39"/>
  <c r="L39"/>
  <c r="K39"/>
  <c r="J39"/>
  <c r="H39"/>
  <c r="G39"/>
  <c r="F39"/>
  <c r="D39"/>
  <c r="C39"/>
  <c r="B39"/>
  <c r="AK30"/>
  <c r="AJ30"/>
  <c r="AJ38" s="1"/>
  <c r="AG30"/>
  <c r="AE30"/>
  <c r="AC30"/>
  <c r="AC38" s="1"/>
  <c r="AB30"/>
  <c r="AB32" s="1"/>
  <c r="AA30"/>
  <c r="Y30"/>
  <c r="Y38" s="1"/>
  <c r="X38"/>
  <c r="W30"/>
  <c r="W38" s="1"/>
  <c r="T30"/>
  <c r="T38" s="1"/>
  <c r="S30"/>
  <c r="R30"/>
  <c r="R38" s="1"/>
  <c r="P30"/>
  <c r="O30"/>
  <c r="O38" s="1"/>
  <c r="N30"/>
  <c r="N38" s="1"/>
  <c r="L30"/>
  <c r="L38" s="1"/>
  <c r="K30"/>
  <c r="J30"/>
  <c r="J38" s="1"/>
  <c r="H30"/>
  <c r="H32" s="1"/>
  <c r="G30"/>
  <c r="F30"/>
  <c r="F32" s="1"/>
  <c r="D30"/>
  <c r="C30"/>
  <c r="C32" s="1"/>
  <c r="AJ29"/>
  <c r="AI29"/>
  <c r="AG29"/>
  <c r="AF29"/>
  <c r="AE29"/>
  <c r="AC29"/>
  <c r="AB29"/>
  <c r="AA29"/>
  <c r="Y29"/>
  <c r="X29"/>
  <c r="W29"/>
  <c r="T29"/>
  <c r="S29"/>
  <c r="R29"/>
  <c r="P29"/>
  <c r="N29"/>
  <c r="L29"/>
  <c r="K29"/>
  <c r="J29"/>
  <c r="H29"/>
  <c r="G29"/>
  <c r="F29"/>
  <c r="D29"/>
  <c r="C29"/>
  <c r="B29"/>
  <c r="AT28"/>
  <c r="AS28"/>
  <c r="AN28"/>
  <c r="AL28"/>
  <c r="Q28"/>
  <c r="AT27"/>
  <c r="AS27"/>
  <c r="AR29"/>
  <c r="AL27"/>
  <c r="AH27"/>
  <c r="Q27"/>
  <c r="E27"/>
  <c r="AT21"/>
  <c r="AT25" s="1"/>
  <c r="AU25" s="1"/>
  <c r="AP25"/>
  <c r="AV21"/>
  <c r="AV25" s="1"/>
  <c r="AL21"/>
  <c r="AH21"/>
  <c r="AO21"/>
  <c r="AO25" s="1"/>
  <c r="Q21"/>
  <c r="AK19"/>
  <c r="AJ19"/>
  <c r="AI19"/>
  <c r="AG19"/>
  <c r="AF19"/>
  <c r="AE19"/>
  <c r="AC19"/>
  <c r="AB19"/>
  <c r="AA19"/>
  <c r="Y19"/>
  <c r="X19"/>
  <c r="W19"/>
  <c r="T19"/>
  <c r="S19"/>
  <c r="R19"/>
  <c r="P19"/>
  <c r="O19"/>
  <c r="N19"/>
  <c r="L19"/>
  <c r="K19"/>
  <c r="J19"/>
  <c r="H19"/>
  <c r="G19"/>
  <c r="F19"/>
  <c r="D19"/>
  <c r="C19"/>
  <c r="B19"/>
  <c r="AT18"/>
  <c r="AS18"/>
  <c r="AR18"/>
  <c r="AP18"/>
  <c r="AO18"/>
  <c r="AN18"/>
  <c r="AT17"/>
  <c r="AP17"/>
  <c r="AO17"/>
  <c r="AN17"/>
  <c r="AL17"/>
  <c r="AH17"/>
  <c r="E17"/>
  <c r="AK15"/>
  <c r="AJ15"/>
  <c r="AI15"/>
  <c r="AG15"/>
  <c r="AF15"/>
  <c r="AE15"/>
  <c r="AC15"/>
  <c r="AB15"/>
  <c r="AA15"/>
  <c r="Y15"/>
  <c r="X15"/>
  <c r="W15"/>
  <c r="T15"/>
  <c r="S15"/>
  <c r="R15"/>
  <c r="P15"/>
  <c r="O15"/>
  <c r="N15"/>
  <c r="L15"/>
  <c r="K15"/>
  <c r="J15"/>
  <c r="H15"/>
  <c r="G15"/>
  <c r="F15"/>
  <c r="D15"/>
  <c r="C15"/>
  <c r="B15"/>
  <c r="AT14"/>
  <c r="AT31" s="1"/>
  <c r="AT39" s="1"/>
  <c r="AS14"/>
  <c r="AS31" s="1"/>
  <c r="AS39" s="1"/>
  <c r="AR14"/>
  <c r="AR31" s="1"/>
  <c r="AP14"/>
  <c r="AO14"/>
  <c r="AN14"/>
  <c r="AT13"/>
  <c r="AS13"/>
  <c r="AR13"/>
  <c r="AP13"/>
  <c r="AO13"/>
  <c r="AN13"/>
  <c r="AL13"/>
  <c r="AH13"/>
  <c r="Q13"/>
  <c r="E13"/>
  <c r="AJ63" i="8"/>
  <c r="W31"/>
  <c r="W64" s="1"/>
  <c r="V31"/>
  <c r="V64" s="1"/>
  <c r="AU39" i="9" l="1"/>
  <c r="AS29"/>
  <c r="AN37"/>
  <c r="AT37"/>
  <c r="AW36"/>
  <c r="AW40" s="1"/>
  <c r="AQ25"/>
  <c r="AP31"/>
  <c r="AP39" s="1"/>
  <c r="AN31"/>
  <c r="AO31"/>
  <c r="AO39" s="1"/>
  <c r="AN19"/>
  <c r="G38"/>
  <c r="G41" s="1"/>
  <c r="G32"/>
  <c r="W41"/>
  <c r="AV34"/>
  <c r="AT29"/>
  <c r="B32"/>
  <c r="AB41"/>
  <c r="AX13"/>
  <c r="AR15"/>
  <c r="Q15"/>
  <c r="AZ15"/>
  <c r="L41"/>
  <c r="AX34"/>
  <c r="AV35"/>
  <c r="AN15"/>
  <c r="AI41"/>
  <c r="AW35"/>
  <c r="E15"/>
  <c r="AX35"/>
  <c r="AI63" i="8"/>
  <c r="AS63"/>
  <c r="AI31"/>
  <c r="AK63"/>
  <c r="AQ63"/>
  <c r="AO63"/>
  <c r="AM63"/>
  <c r="AR63"/>
  <c r="AL14"/>
  <c r="AK31"/>
  <c r="AZ19" i="9"/>
  <c r="AR19"/>
  <c r="AV28"/>
  <c r="AH29"/>
  <c r="X32"/>
  <c r="AX36"/>
  <c r="AX40" s="1"/>
  <c r="N16" i="10"/>
  <c r="N19" s="1"/>
  <c r="S23" i="12" s="1"/>
  <c r="P16" i="10"/>
  <c r="P19" s="1"/>
  <c r="U23" i="12" s="1"/>
  <c r="AA16" i="10"/>
  <c r="AA19" s="1"/>
  <c r="S31" i="12" s="1"/>
  <c r="AR18" i="10"/>
  <c r="AV13" i="9"/>
  <c r="AV17"/>
  <c r="AV36"/>
  <c r="AF16" i="10"/>
  <c r="AF19" s="1"/>
  <c r="T32" i="12" s="1"/>
  <c r="AW13" i="9"/>
  <c r="AR30"/>
  <c r="AW18"/>
  <c r="Q19"/>
  <c r="AZ25"/>
  <c r="AZ29"/>
  <c r="R41"/>
  <c r="AV40"/>
  <c r="AQ36"/>
  <c r="AH37"/>
  <c r="AZ37"/>
  <c r="AN30"/>
  <c r="AN38" s="1"/>
  <c r="AQ28"/>
  <c r="F16" i="10"/>
  <c r="F19" s="1"/>
  <c r="S21" i="12" s="1"/>
  <c r="R16" i="10"/>
  <c r="R19" s="1"/>
  <c r="S24" i="12" s="1"/>
  <c r="AB16" i="10"/>
  <c r="AB19" s="1"/>
  <c r="T31" i="12" s="1"/>
  <c r="AE16" i="10"/>
  <c r="AE19" s="1"/>
  <c r="S32" i="12" s="1"/>
  <c r="AN18" i="10"/>
  <c r="E18"/>
  <c r="U18"/>
  <c r="AL18"/>
  <c r="I18"/>
  <c r="Y18"/>
  <c r="Q18"/>
  <c r="AQ18"/>
  <c r="AH18"/>
  <c r="W16"/>
  <c r="H16"/>
  <c r="G16"/>
  <c r="O16"/>
  <c r="O19" s="1"/>
  <c r="T23" i="12" s="1"/>
  <c r="AM18" i="10"/>
  <c r="AO18"/>
  <c r="AS18"/>
  <c r="AK19"/>
  <c r="AN29" i="9"/>
  <c r="AL29"/>
  <c r="AC41"/>
  <c r="AN39"/>
  <c r="AT15"/>
  <c r="AV18"/>
  <c r="AC32"/>
  <c r="AO40"/>
  <c r="AH19"/>
  <c r="AV27"/>
  <c r="AX28"/>
  <c r="R32"/>
  <c r="N41"/>
  <c r="AP40"/>
  <c r="AW27"/>
  <c r="AS15"/>
  <c r="AL15"/>
  <c r="AT30"/>
  <c r="AT38" s="1"/>
  <c r="AT41" s="1"/>
  <c r="AX18"/>
  <c r="T32"/>
  <c r="AA32"/>
  <c r="AF30"/>
  <c r="AF38" s="1"/>
  <c r="AF41" s="1"/>
  <c r="N32"/>
  <c r="W32"/>
  <c r="Q37"/>
  <c r="E19"/>
  <c r="AL37"/>
  <c r="AL19"/>
  <c r="X41"/>
  <c r="AS30"/>
  <c r="AS38" s="1"/>
  <c r="AS41" s="1"/>
  <c r="E37"/>
  <c r="E29"/>
  <c r="AO29"/>
  <c r="C38"/>
  <c r="C41" s="1"/>
  <c r="AQ13"/>
  <c r="AW14"/>
  <c r="AO15"/>
  <c r="AP30"/>
  <c r="AX17"/>
  <c r="AW21"/>
  <c r="AW25" s="1"/>
  <c r="AO30"/>
  <c r="AX21"/>
  <c r="AX25" s="1"/>
  <c r="F38"/>
  <c r="F41" s="1"/>
  <c r="K38"/>
  <c r="K41" s="1"/>
  <c r="K32"/>
  <c r="P38"/>
  <c r="Q30"/>
  <c r="P32"/>
  <c r="AQ35"/>
  <c r="AH15"/>
  <c r="AQ17"/>
  <c r="AQ21"/>
  <c r="AP29"/>
  <c r="AX27"/>
  <c r="AQ27"/>
  <c r="AJ39"/>
  <c r="AL39" s="1"/>
  <c r="AJ32"/>
  <c r="AP19"/>
  <c r="O39"/>
  <c r="O41" s="1"/>
  <c r="D32"/>
  <c r="E32" s="1"/>
  <c r="AP37"/>
  <c r="J41"/>
  <c r="T41"/>
  <c r="AV14"/>
  <c r="AT19"/>
  <c r="AL30"/>
  <c r="AK32"/>
  <c r="AK38"/>
  <c r="AA41"/>
  <c r="AG38"/>
  <c r="H38"/>
  <c r="AI32"/>
  <c r="L32"/>
  <c r="AG32"/>
  <c r="Q34"/>
  <c r="AO34"/>
  <c r="AW34" s="1"/>
  <c r="Y41"/>
  <c r="AX14"/>
  <c r="AP15"/>
  <c r="AO19"/>
  <c r="AW17"/>
  <c r="AS19"/>
  <c r="AW28"/>
  <c r="Q29"/>
  <c r="D38"/>
  <c r="E30"/>
  <c r="J32"/>
  <c r="O32"/>
  <c r="S32"/>
  <c r="Y32"/>
  <c r="AE38"/>
  <c r="AE41" s="1"/>
  <c r="AE32"/>
  <c r="B38"/>
  <c r="B41" s="1"/>
  <c r="S38"/>
  <c r="S41" s="1"/>
  <c r="AN63" i="8"/>
  <c r="AJ31"/>
  <c r="AN31"/>
  <c r="AQ31"/>
  <c r="AM31"/>
  <c r="AO31"/>
  <c r="AT14"/>
  <c r="AY40" i="9" l="1"/>
  <c r="AU41"/>
  <c r="AV31"/>
  <c r="AL19" i="10"/>
  <c r="U35" i="12"/>
  <c r="U37" s="1"/>
  <c r="V37" s="1"/>
  <c r="AW31" i="9"/>
  <c r="AR32"/>
  <c r="AR38"/>
  <c r="AR41" s="1"/>
  <c r="G19" i="10"/>
  <c r="T21" i="12" s="1"/>
  <c r="H19" i="10"/>
  <c r="U21" i="12" s="1"/>
  <c r="AV18" i="10"/>
  <c r="AT18"/>
  <c r="AX37" i="9"/>
  <c r="BA37" s="1"/>
  <c r="AX31"/>
  <c r="AV29"/>
  <c r="AW15"/>
  <c r="AQ40"/>
  <c r="AY25"/>
  <c r="AW37"/>
  <c r="AY13"/>
  <c r="AV37"/>
  <c r="AJ41"/>
  <c r="AT63" i="8"/>
  <c r="AQ64"/>
  <c r="AO64"/>
  <c r="AL63"/>
  <c r="AI64"/>
  <c r="AM64"/>
  <c r="AJ64"/>
  <c r="AK64"/>
  <c r="AN64"/>
  <c r="AP63"/>
  <c r="AS31"/>
  <c r="AR16" i="10"/>
  <c r="AR19" s="1"/>
  <c r="AH30" i="9"/>
  <c r="AV39"/>
  <c r="AV30"/>
  <c r="AY36"/>
  <c r="AQ34"/>
  <c r="AN32"/>
  <c r="AV19"/>
  <c r="AU18" i="10"/>
  <c r="I16"/>
  <c r="W19"/>
  <c r="Q19"/>
  <c r="Q39" i="9"/>
  <c r="AZ32"/>
  <c r="AW39"/>
  <c r="L16" i="10"/>
  <c r="K16"/>
  <c r="K19" s="1"/>
  <c r="T22" i="12" s="1"/>
  <c r="T16" i="10"/>
  <c r="T19" s="1"/>
  <c r="U24" i="12" s="1"/>
  <c r="S16" i="10"/>
  <c r="S19" s="1"/>
  <c r="T24" i="12" s="1"/>
  <c r="V16" i="10"/>
  <c r="J16"/>
  <c r="J19" s="1"/>
  <c r="S22" i="12" s="1"/>
  <c r="AP18" i="10"/>
  <c r="AW18"/>
  <c r="AY18" s="1"/>
  <c r="AW29" i="9"/>
  <c r="AV15"/>
  <c r="AF32"/>
  <c r="AH32" s="1"/>
  <c r="AT32"/>
  <c r="AO38"/>
  <c r="AO41" s="1"/>
  <c r="AQ29"/>
  <c r="AL32"/>
  <c r="AS32"/>
  <c r="AQ15"/>
  <c r="AY27"/>
  <c r="AX29"/>
  <c r="BA29" s="1"/>
  <c r="Q32"/>
  <c r="AY21"/>
  <c r="AX19"/>
  <c r="BA19" s="1"/>
  <c r="AY17"/>
  <c r="AX30"/>
  <c r="AQ39"/>
  <c r="AX39"/>
  <c r="AY28"/>
  <c r="AQ30"/>
  <c r="AP38"/>
  <c r="AP32"/>
  <c r="AX15"/>
  <c r="AO37"/>
  <c r="AQ37" s="1"/>
  <c r="AN41"/>
  <c r="AK41"/>
  <c r="AL38"/>
  <c r="AQ19"/>
  <c r="Q38"/>
  <c r="P41"/>
  <c r="Q41" s="1"/>
  <c r="D41"/>
  <c r="E41" s="1"/>
  <c r="E38"/>
  <c r="AW19"/>
  <c r="AW30"/>
  <c r="H41"/>
  <c r="AH38"/>
  <c r="AG41"/>
  <c r="AY35"/>
  <c r="AO32"/>
  <c r="AR31" i="8"/>
  <c r="AR64" s="1"/>
  <c r="AL31"/>
  <c r="AV38" i="9" l="1"/>
  <c r="T30" i="12"/>
  <c r="T33" s="1"/>
  <c r="AZ41" i="9"/>
  <c r="I19" i="10"/>
  <c r="AV41" i="9"/>
  <c r="AL41"/>
  <c r="AL64" i="8"/>
  <c r="AP64"/>
  <c r="AS64"/>
  <c r="AT64" s="1"/>
  <c r="AT31"/>
  <c r="AV32" i="9"/>
  <c r="AY39"/>
  <c r="AQ16" i="10"/>
  <c r="AQ19" s="1"/>
  <c r="V19"/>
  <c r="AN16"/>
  <c r="C19"/>
  <c r="M16"/>
  <c r="L19"/>
  <c r="U22" i="12" s="1"/>
  <c r="AG16" i="10"/>
  <c r="AO16"/>
  <c r="E16"/>
  <c r="D19"/>
  <c r="U20" i="12" s="1"/>
  <c r="AM16" i="10"/>
  <c r="B19"/>
  <c r="U16"/>
  <c r="X16"/>
  <c r="AH41" i="9"/>
  <c r="AY15"/>
  <c r="BA15"/>
  <c r="BA25"/>
  <c r="AX18" i="10"/>
  <c r="AY29" i="9"/>
  <c r="AU32"/>
  <c r="AY37"/>
  <c r="AY34"/>
  <c r="AQ32"/>
  <c r="AY30"/>
  <c r="AX32"/>
  <c r="BA32" s="1"/>
  <c r="AX38"/>
  <c r="AX41" s="1"/>
  <c r="BA41" s="1"/>
  <c r="AP41"/>
  <c r="AQ38"/>
  <c r="AW38"/>
  <c r="AW41" s="1"/>
  <c r="AW32"/>
  <c r="AY19"/>
  <c r="S20" i="12" l="1"/>
  <c r="S25" s="1"/>
  <c r="T20"/>
  <c r="T25" s="1"/>
  <c r="T38" s="1"/>
  <c r="S30"/>
  <c r="S33" s="1"/>
  <c r="U19" i="10"/>
  <c r="M19"/>
  <c r="E19"/>
  <c r="AU16"/>
  <c r="AU19" s="1"/>
  <c r="AM19"/>
  <c r="AG19"/>
  <c r="U32" i="12" s="1"/>
  <c r="AD16" i="10"/>
  <c r="AC19"/>
  <c r="U31" i="12" s="1"/>
  <c r="AS16" i="10"/>
  <c r="AW16" s="1"/>
  <c r="AY16" s="1"/>
  <c r="Y16"/>
  <c r="X19"/>
  <c r="U30" i="12" s="1"/>
  <c r="AP16" i="10"/>
  <c r="AO19"/>
  <c r="AV16"/>
  <c r="AV19" s="1"/>
  <c r="AN19"/>
  <c r="AY32" i="9"/>
  <c r="AY38"/>
  <c r="AY41"/>
  <c r="AQ41"/>
  <c r="S38" i="12" l="1"/>
  <c r="U25"/>
  <c r="V25" s="1"/>
  <c r="AH19" i="10"/>
  <c r="AD19"/>
  <c r="Y19"/>
  <c r="AP19"/>
  <c r="AX16"/>
  <c r="AW19"/>
  <c r="AY19" s="1"/>
  <c r="AT16"/>
  <c r="AS19"/>
  <c r="AT19" s="1"/>
  <c r="AX19" l="1"/>
  <c r="U33" i="12"/>
  <c r="V33" l="1"/>
  <c r="V38" s="1"/>
  <c r="U38"/>
</calcChain>
</file>

<file path=xl/sharedStrings.xml><?xml version="1.0" encoding="utf-8"?>
<sst xmlns="http://schemas.openxmlformats.org/spreadsheetml/2006/main" count="2277" uniqueCount="1048">
  <si>
    <t>Megnevezés</t>
  </si>
  <si>
    <t>Konszolidálás előtti összeg</t>
  </si>
  <si>
    <t>Konszolidálás</t>
  </si>
  <si>
    <t>Konszolidált összeg</t>
  </si>
  <si>
    <t xml:space="preserve">ESZKÖZÖK ÖSSZESEN </t>
  </si>
  <si>
    <t>FORRÁSOK ÖSSZESEN</t>
  </si>
  <si>
    <t>H/II Költségvetési évet követően esedékes kötelezettségek (=H/II/1+…+H/II/9)</t>
  </si>
  <si>
    <t>Adatok Ft-ban</t>
  </si>
  <si>
    <t>Sorszám</t>
  </si>
  <si>
    <t xml:space="preserve">A) </t>
  </si>
  <si>
    <t xml:space="preserve">B/I </t>
  </si>
  <si>
    <t xml:space="preserve">B) </t>
  </si>
  <si>
    <t xml:space="preserve">C/II </t>
  </si>
  <si>
    <t>C/III-IV.</t>
  </si>
  <si>
    <t xml:space="preserve">D/I </t>
  </si>
  <si>
    <t>G/IV</t>
  </si>
  <si>
    <t xml:space="preserve">H/II </t>
  </si>
  <si>
    <t xml:space="preserve">H/III </t>
  </si>
  <si>
    <t>A/I.</t>
  </si>
  <si>
    <t>A/II.</t>
  </si>
  <si>
    <t xml:space="preserve">A/III.  </t>
  </si>
  <si>
    <t xml:space="preserve">A/IV.  </t>
  </si>
  <si>
    <t>A)</t>
  </si>
  <si>
    <t>B/I.</t>
  </si>
  <si>
    <t>B)</t>
  </si>
  <si>
    <t>C/II.</t>
  </si>
  <si>
    <t>C)</t>
  </si>
  <si>
    <t xml:space="preserve">D/I. </t>
  </si>
  <si>
    <t>D/II.</t>
  </si>
  <si>
    <t xml:space="preserve">D/III. </t>
  </si>
  <si>
    <t>D)</t>
  </si>
  <si>
    <t>E)</t>
  </si>
  <si>
    <t>F)</t>
  </si>
  <si>
    <t xml:space="preserve">A-F) </t>
  </si>
  <si>
    <t>G/I-III.</t>
  </si>
  <si>
    <t>G/IV.</t>
  </si>
  <si>
    <t>G/VI.</t>
  </si>
  <si>
    <t>G)</t>
  </si>
  <si>
    <t>H)</t>
  </si>
  <si>
    <t>H/II.</t>
  </si>
  <si>
    <t xml:space="preserve">H/III. </t>
  </si>
  <si>
    <t>J)</t>
  </si>
  <si>
    <t>G-J)</t>
  </si>
  <si>
    <t xml:space="preserve">Immateriális javak </t>
  </si>
  <si>
    <t xml:space="preserve">Tárgyi eszközök </t>
  </si>
  <si>
    <t xml:space="preserve">Befektetett pénzügyi eszközök </t>
  </si>
  <si>
    <t xml:space="preserve">Koncesszióba, vagyonkezelésbe adott eszközök </t>
  </si>
  <si>
    <t xml:space="preserve">NEMZETI VAGYONBA TARTOZÓ BEFEKTETETT ESZKÖZÖK </t>
  </si>
  <si>
    <t>Készletek</t>
  </si>
  <si>
    <t xml:space="preserve">NEMZETI VAGYONBA TARTOZÓ FORGÓESZKÖZÖK </t>
  </si>
  <si>
    <t xml:space="preserve">Pénztárak, csekkek, betétkönyvek </t>
  </si>
  <si>
    <t>Forintszámlák és Devizaszámlák</t>
  </si>
  <si>
    <t>PÉNZESZKÖZÖK</t>
  </si>
  <si>
    <t>Költségvetési évben esedékes követelések</t>
  </si>
  <si>
    <t xml:space="preserve">Költségvetési évet követően esedékes követelések </t>
  </si>
  <si>
    <t xml:space="preserve">Követelés jellegű sajátos elszámolások </t>
  </si>
  <si>
    <t xml:space="preserve">KÖVETELÉSEK </t>
  </si>
  <si>
    <t xml:space="preserve">EGYÉB SAJÁTOS ELSZÁMOLÁSOK </t>
  </si>
  <si>
    <t xml:space="preserve">AKTÍV IDŐBELI  ELHATÁROLÁSOK  </t>
  </si>
  <si>
    <t>Nemzeti vagyon és egyéb eszközök induláskori értéke és változásai</t>
  </si>
  <si>
    <t>Felhalmozott eredmény</t>
  </si>
  <si>
    <t>Mérleg szerinti eredmény</t>
  </si>
  <si>
    <t xml:space="preserve">SAJÁT TŐKE </t>
  </si>
  <si>
    <t>Költségvetési évben esedékes kötelezettségek</t>
  </si>
  <si>
    <t xml:space="preserve">Költségvetési évet követően esedékes kötelezettségek </t>
  </si>
  <si>
    <t xml:space="preserve">Kötelezettség jellegű sajátos elszámolások </t>
  </si>
  <si>
    <t xml:space="preserve">KÖTELEZETTSÉGEK </t>
  </si>
  <si>
    <t>PASSZÍV IDŐBELI ELHATÁROLÁSOK</t>
  </si>
  <si>
    <t>01   Közhatalmi eredményszemléletű bevételek</t>
  </si>
  <si>
    <t>02   Eszközök és szolgáltatások értékesítése nettó eredményszemléletű bevételei</t>
  </si>
  <si>
    <t>03   Tevékenység egyéb nettó eredményszemléletű bevételei</t>
  </si>
  <si>
    <t xml:space="preserve">I.    Tevékenység nettó eredményszemléletű bevétele </t>
  </si>
  <si>
    <t>06   Központi működési célú támogatások eredményszemléletű bevételei</t>
  </si>
  <si>
    <t>07   Egyéb működési célú támogatások eredményszemléletű bevételei</t>
  </si>
  <si>
    <t>III. Egyéb eredményszemléletű bevételek</t>
  </si>
  <si>
    <t xml:space="preserve">IV. Anyagjellegű ráfordítások </t>
  </si>
  <si>
    <t>VII. Egyéb ráfordítások</t>
  </si>
  <si>
    <t>04   Saját termelésű készletek állományváltozása</t>
  </si>
  <si>
    <t>05   Saját előállítású eszközök aktivált értéke</t>
  </si>
  <si>
    <t>08   Felhalmozási célú támogatások eredményszemléletű bevételei</t>
  </si>
  <si>
    <t>09  Különféle egyéb eredményszemléletű bevételek</t>
  </si>
  <si>
    <t>10   Anyagköltség</t>
  </si>
  <si>
    <t>11   Igénybe vett szolgáltatások értéke</t>
  </si>
  <si>
    <t>12   Eladott áruk beszerzési értéke</t>
  </si>
  <si>
    <t>13   Eladott (közvetített) szolgáltatások értéke</t>
  </si>
  <si>
    <t>14   Bérköltség</t>
  </si>
  <si>
    <t>15   Személyi jellegű egyéb kifizetések</t>
  </si>
  <si>
    <t>16   Bérjárulékok</t>
  </si>
  <si>
    <t>VI.  Értékcsökkenési leírás</t>
  </si>
  <si>
    <t>20   Egyéb kapott (járó) kamatok és kamatjellegű eredményszemléletű bevételek</t>
  </si>
  <si>
    <t>VIII. Pénzügyi műveletek eredményszemléletű bevételei</t>
  </si>
  <si>
    <t xml:space="preserve">II.   Aktivált saját teljesítmények értéke </t>
  </si>
  <si>
    <t xml:space="preserve">V.   Személyi jellegű ráfordítások </t>
  </si>
  <si>
    <t>A)   TEVÉKENYSÉGEK EREDMÉNYE</t>
  </si>
  <si>
    <t xml:space="preserve">IX.  Pénzügyi műveletek ráfordításai </t>
  </si>
  <si>
    <t xml:space="preserve">B)   PÉNZÜGYI MŰVELETEK EREDMÉNYE </t>
  </si>
  <si>
    <t xml:space="preserve">C)   MÉRLEG SZERINTI EREDMÉNY </t>
  </si>
  <si>
    <t>Módosítások (+/-)</t>
  </si>
  <si>
    <t xml:space="preserve">A/I/1 </t>
  </si>
  <si>
    <t xml:space="preserve">A/I/2 </t>
  </si>
  <si>
    <t xml:space="preserve">A/I </t>
  </si>
  <si>
    <t xml:space="preserve">A/II/1 </t>
  </si>
  <si>
    <t xml:space="preserve">A/II/2 </t>
  </si>
  <si>
    <t xml:space="preserve">A/II/3 </t>
  </si>
  <si>
    <t xml:space="preserve">A/II/4 </t>
  </si>
  <si>
    <t xml:space="preserve">A/II </t>
  </si>
  <si>
    <t xml:space="preserve">A/III/1 </t>
  </si>
  <si>
    <t xml:space="preserve">A/III/1b </t>
  </si>
  <si>
    <t xml:space="preserve">A/III </t>
  </si>
  <si>
    <t>A/IV/1</t>
  </si>
  <si>
    <t>A/IV/1b</t>
  </si>
  <si>
    <t xml:space="preserve">A/IV </t>
  </si>
  <si>
    <t>B/I/1</t>
  </si>
  <si>
    <t xml:space="preserve">B/I/4  </t>
  </si>
  <si>
    <t xml:space="preserve">B/I/5 </t>
  </si>
  <si>
    <t xml:space="preserve">C/II/1 </t>
  </si>
  <si>
    <t xml:space="preserve">C/II/2 </t>
  </si>
  <si>
    <t>C/III/1</t>
  </si>
  <si>
    <t xml:space="preserve">C/IV/1 </t>
  </si>
  <si>
    <t>C/III</t>
  </si>
  <si>
    <t xml:space="preserve">C/IV </t>
  </si>
  <si>
    <t xml:space="preserve">C) </t>
  </si>
  <si>
    <t xml:space="preserve">D/I/3 </t>
  </si>
  <si>
    <t xml:space="preserve">D/I/3a  </t>
  </si>
  <si>
    <t>D/I/3e</t>
  </si>
  <si>
    <t xml:space="preserve">D/I/3f </t>
  </si>
  <si>
    <t xml:space="preserve">D/I/4 </t>
  </si>
  <si>
    <t xml:space="preserve">D/I/4a </t>
  </si>
  <si>
    <t xml:space="preserve">D/I/4b </t>
  </si>
  <si>
    <t xml:space="preserve">D/I/4c </t>
  </si>
  <si>
    <t xml:space="preserve">D/I/4d </t>
  </si>
  <si>
    <t xml:space="preserve">D/I/4i </t>
  </si>
  <si>
    <t xml:space="preserve">D/I/4f </t>
  </si>
  <si>
    <t xml:space="preserve">D/I/5 </t>
  </si>
  <si>
    <t xml:space="preserve">D/I/5b </t>
  </si>
  <si>
    <t xml:space="preserve">D/I/7 </t>
  </si>
  <si>
    <t xml:space="preserve">D/I/7c </t>
  </si>
  <si>
    <t>D/II/4</t>
  </si>
  <si>
    <t>D/II/4e</t>
  </si>
  <si>
    <t xml:space="preserve">D/II/5 </t>
  </si>
  <si>
    <t xml:space="preserve">D/II/5b </t>
  </si>
  <si>
    <t xml:space="preserve">D/II/6 </t>
  </si>
  <si>
    <t xml:space="preserve">D/II/6c </t>
  </si>
  <si>
    <t>D/II/7</t>
  </si>
  <si>
    <t xml:space="preserve">D/II/7c </t>
  </si>
  <si>
    <t xml:space="preserve">D/II </t>
  </si>
  <si>
    <t xml:space="preserve">D/III/1 </t>
  </si>
  <si>
    <t xml:space="preserve">D/III/1b </t>
  </si>
  <si>
    <t xml:space="preserve">D/III/1e </t>
  </si>
  <si>
    <t xml:space="preserve">D/III/1f </t>
  </si>
  <si>
    <t xml:space="preserve">D/III/4 </t>
  </si>
  <si>
    <t xml:space="preserve">D/III/7 </t>
  </si>
  <si>
    <t>D/III</t>
  </si>
  <si>
    <t xml:space="preserve">D) </t>
  </si>
  <si>
    <t xml:space="preserve">E/I/2 </t>
  </si>
  <si>
    <t xml:space="preserve">E/I </t>
  </si>
  <si>
    <t xml:space="preserve">E/II/2 </t>
  </si>
  <si>
    <t xml:space="preserve">E/II </t>
  </si>
  <si>
    <t xml:space="preserve">E/III/1 </t>
  </si>
  <si>
    <t xml:space="preserve">E/III/2 </t>
  </si>
  <si>
    <t xml:space="preserve">E/III </t>
  </si>
  <si>
    <t xml:space="preserve">E) </t>
  </si>
  <si>
    <t>F/2</t>
  </si>
  <si>
    <t xml:space="preserve">F) </t>
  </si>
  <si>
    <t>A-F)</t>
  </si>
  <si>
    <t xml:space="preserve">G/I  </t>
  </si>
  <si>
    <t xml:space="preserve">G/II </t>
  </si>
  <si>
    <t>G/III/3</t>
  </si>
  <si>
    <t xml:space="preserve">G/III </t>
  </si>
  <si>
    <t>G/VI</t>
  </si>
  <si>
    <t xml:space="preserve">H/I/3 </t>
  </si>
  <si>
    <t xml:space="preserve">H/I/6 </t>
  </si>
  <si>
    <t xml:space="preserve">H/I </t>
  </si>
  <si>
    <t>H/II/3</t>
  </si>
  <si>
    <t xml:space="preserve">H/II/9 </t>
  </si>
  <si>
    <t xml:space="preserve">H/II/9e </t>
  </si>
  <si>
    <t>H/III/1</t>
  </si>
  <si>
    <t>H/III/3</t>
  </si>
  <si>
    <t xml:space="preserve">H/III/8 </t>
  </si>
  <si>
    <t xml:space="preserve">H) </t>
  </si>
  <si>
    <t xml:space="preserve">J/1 </t>
  </si>
  <si>
    <t>J/2</t>
  </si>
  <si>
    <t xml:space="preserve">J/3 </t>
  </si>
  <si>
    <t xml:space="preserve">J) </t>
  </si>
  <si>
    <t>Vagyoni értékű jogok</t>
  </si>
  <si>
    <t>Szellemi termékek</t>
  </si>
  <si>
    <t>Immateriális javak</t>
  </si>
  <si>
    <t>Ingatlanok és a kapcsolódó vagyoni értékű jogok</t>
  </si>
  <si>
    <t>Gépek, berendezések, felszerelések, járművek</t>
  </si>
  <si>
    <t>Tenyészállatok</t>
  </si>
  <si>
    <t>Beruházások, felújítások</t>
  </si>
  <si>
    <t xml:space="preserve">    ebből: tartós részesedések nem pénzügyi vállalkozásban</t>
  </si>
  <si>
    <t>Tartós részesedések</t>
  </si>
  <si>
    <t xml:space="preserve">    ebből: tárgyi eszközök</t>
  </si>
  <si>
    <t>Koncesszióba, vagyonkezelésbe adott eszközök</t>
  </si>
  <si>
    <t>Befektetett pénzügyi eszközök</t>
  </si>
  <si>
    <t>NEMZETI VAGYONBA TARTOZÓ BEFEKTETETT ESZKÖZÖK</t>
  </si>
  <si>
    <t>Vásárolt készletek</t>
  </si>
  <si>
    <t>Befejezetlen termelés, félkész termékek, késztermékek</t>
  </si>
  <si>
    <t>Növendék-, hízó és egyéb állatok</t>
  </si>
  <si>
    <t>NEMZETI VAGYONBA TARTOZÓ FORGÓESZKÖZÖK</t>
  </si>
  <si>
    <t>Forintpénztár</t>
  </si>
  <si>
    <t>Valutapénztár</t>
  </si>
  <si>
    <t>Pénztárak, csekkek, betétkönyvek</t>
  </si>
  <si>
    <t>Kincstáron kívüli forintszámlák</t>
  </si>
  <si>
    <t>Forintszámlák</t>
  </si>
  <si>
    <t>Kincstáron kívüli devizaszámlák</t>
  </si>
  <si>
    <t>Devizaszámlák</t>
  </si>
  <si>
    <t>Költségvetési évben esedékes követelések közhatalmi bevételre</t>
  </si>
  <si>
    <t xml:space="preserve">    ebből: költségvetési évben esedékes követelések jövedelemadókra</t>
  </si>
  <si>
    <t xml:space="preserve">    ebből: költségvetési évben esedékes követelések termékek és szolgáltatások adóira</t>
  </si>
  <si>
    <t xml:space="preserve">    ebből: költségvetési évben esedékes követelések egyéb közhatalmi bevételekre</t>
  </si>
  <si>
    <t>Költségvetési évben esedékes követelések működési bevételre</t>
  </si>
  <si>
    <t xml:space="preserve">    ebből: költségvetési évben esedékes követelések tulajdonosi bevételekre</t>
  </si>
  <si>
    <t xml:space="preserve">    szolgáltatások ellenértékére, közvetített szolgáltatások ellenértékére</t>
  </si>
  <si>
    <t xml:space="preserve">    ebből: költségvetési évben esedékes követelések készletértékesítés ellenértékére,  </t>
  </si>
  <si>
    <t xml:space="preserve">    ebből: költségvetési évben esedékes követelések ellátási díjakra</t>
  </si>
  <si>
    <t xml:space="preserve">    ebből: költségvetési évben esedékes követelések kiszámlázott általános forgalmi adóra</t>
  </si>
  <si>
    <t xml:space="preserve">    ebből: költségvetési évben esedékes követelések egyéb működési bevételekre</t>
  </si>
  <si>
    <t xml:space="preserve">    ebből: költségvetési évben esedékes köv. kamatbevételekre és más nyereségjell. bevételekre</t>
  </si>
  <si>
    <t>Költségvetési évben esedékes követelések felhalmozási bevételre</t>
  </si>
  <si>
    <t xml:space="preserve">    ebből: költségvetési évben esedékes követelések ingatlanok értékesítésére</t>
  </si>
  <si>
    <t xml:space="preserve">Költségvetési évben esedékes követelések felhalmozási célú átvett pénzeszközre </t>
  </si>
  <si>
    <t xml:space="preserve">    ebből: költségvetési évben esedékes követelések felhalmozási célú visszatérítendő támogatások, </t>
  </si>
  <si>
    <t xml:space="preserve">    kölcsönök visszatérülésére államháztartáson kívülről</t>
  </si>
  <si>
    <t>Költségvetési évet követően esedékes köv. működési bevételre</t>
  </si>
  <si>
    <t>Költségvetési évet követően esedékes követelések felhalmozási bevételre</t>
  </si>
  <si>
    <t xml:space="preserve">    ebből: költségvetési évet követően esedékes követelések ingatlanok értékesítésére</t>
  </si>
  <si>
    <t>Költségvetési évet követően esedékes követelések működési célú átvett pénzeszközre</t>
  </si>
  <si>
    <t>Költségvetési évet követően esedékes követelések felhalmozási célú átvett pénzeszközre</t>
  </si>
  <si>
    <t>Költségvetési évet követően esedékes követelések</t>
  </si>
  <si>
    <t>Adott előlegek</t>
  </si>
  <si>
    <t xml:space="preserve">    ebből: beruházásokra, felújításokra adott előlegek</t>
  </si>
  <si>
    <t xml:space="preserve">    ebből: foglalkoztatottaknak adott előlegek</t>
  </si>
  <si>
    <t xml:space="preserve">    ebből: túlfizetések, téves és visszajáró kifizetések</t>
  </si>
  <si>
    <t>Forgótőke elszámolása</t>
  </si>
  <si>
    <t>Folyósított, megelőlegezett társadalombiztosítási és családtámogatási ellátások elszámolása</t>
  </si>
  <si>
    <t>Követelés jellegű sajátos elszámolások</t>
  </si>
  <si>
    <t>KÖVETELÉSEK</t>
  </si>
  <si>
    <t>Más előzetesen felszámított levonható általános forgalmi adó</t>
  </si>
  <si>
    <t>Előzetesen felszámított általános forgalmi adó elszámolása</t>
  </si>
  <si>
    <t>Más fizetendő általános forgalmi adó</t>
  </si>
  <si>
    <t>Fizetendő általános forgalmi adó elszámolása</t>
  </si>
  <si>
    <t>December havi illetmények, munkabérek elszámolása</t>
  </si>
  <si>
    <t>Egyéb sajátos eszközoldali elszámolások</t>
  </si>
  <si>
    <t>EGYÉB SAJÁTOS ELSZÁMOLÁSOK</t>
  </si>
  <si>
    <t>Költségek, ráfordítások aktív időbeli elhatárolása</t>
  </si>
  <si>
    <t>AKTÍV IDŐBELI  ELHATÁROLÁSOK</t>
  </si>
  <si>
    <t>Nemzeti vagyon induláskori értéke</t>
  </si>
  <si>
    <t>Nemzeti vagyon változásai</t>
  </si>
  <si>
    <t>Pénzeszközön kívüli egyéb eszközök induláskori értéke és változásai</t>
  </si>
  <si>
    <t>Egyéb eszközök induláskori értéke és változásai</t>
  </si>
  <si>
    <t>SAJÁT TŐKE</t>
  </si>
  <si>
    <t>Költségvetési évben esedékes kötelezettségek dologi kiadásokra</t>
  </si>
  <si>
    <t>Költségvetési évben esedékes kötelezettségek beruházásokra</t>
  </si>
  <si>
    <t>Költségvetési évben esedékes kötelezettségek (=H/I/1+…+H/I/9)</t>
  </si>
  <si>
    <t>Költségvetési évet követően esedékes kötelezettségek dologi kiadásokra</t>
  </si>
  <si>
    <t xml:space="preserve">Költségvetési évet követően esedékes kötelezettségek finanszírozási kiadásokra </t>
  </si>
  <si>
    <t>Kapott előlegek</t>
  </si>
  <si>
    <t>Más szervezetet megillető bevételek elszámolása</t>
  </si>
  <si>
    <t>Letétre, megőrzésre, fedezetkezelésre átvett pénzeszközök, biztosítékok</t>
  </si>
  <si>
    <t>Kötelezettség jellegű sajátos elszámolások</t>
  </si>
  <si>
    <t>KÖTELEZETTSÉGEK</t>
  </si>
  <si>
    <t>Eredményszemléletű bevételek passzív időbeli elhatárolása</t>
  </si>
  <si>
    <t>Költségek, ráfordítások passzív időbeli elhatárolása</t>
  </si>
  <si>
    <t>Halasztott eredményszemléletű bevételek</t>
  </si>
  <si>
    <t xml:space="preserve">    támogatások, kölcsönök visszatérülésére államháztartáson kívülről</t>
  </si>
  <si>
    <t xml:space="preserve">    ebből: költségvetési évet követően esedékes követelések működési célú visszatérítendő </t>
  </si>
  <si>
    <t xml:space="preserve">    ebből: költségvetési évet követően esedékes követelések felhalmozási célú visszatérítendő </t>
  </si>
  <si>
    <t>Utalványok, bérletek és más hasonló, készpénz-hely. fiz. eszköznek nem minősülő eszk. elsz.</t>
  </si>
  <si>
    <t xml:space="preserve">    ebből: költségvetési évet köv. esed. köt. áht-on belüli megelőlegezések visszafizetésére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</si>
  <si>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</si>
  <si>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</si>
  <si>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</si>
  <si>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</si>
  <si>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</si>
  <si>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</si>
  <si>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</si>
  <si>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</si>
  <si>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</si>
  <si>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</si>
  <si>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 xml:space="preserve"> </t>
  </si>
  <si>
    <t>Adatok ezer Ft-ban</t>
  </si>
  <si>
    <t>Eredeti 
előirányzat</t>
  </si>
  <si>
    <t>Módosított
előirányzat</t>
  </si>
  <si>
    <t>Teljesítés</t>
  </si>
  <si>
    <t>%</t>
  </si>
  <si>
    <t>B1. Működési célú támogatások államháztartáson belülről</t>
  </si>
  <si>
    <t xml:space="preserve">   1. Helyi önkormányzatok működésének támogatása</t>
  </si>
  <si>
    <t xml:space="preserve">    Beszámítás összesen</t>
  </si>
  <si>
    <t xml:space="preserve">    feladatainak támogatása</t>
  </si>
  <si>
    <t xml:space="preserve">    1. Helyi önkormányzatok működésének támogatása összesen: </t>
  </si>
  <si>
    <t xml:space="preserve">    2. Működési célú egyéb támogatások államháztartáson belülről</t>
  </si>
  <si>
    <t>B1. Működési célú támogatások államháztartáson belülről összesen</t>
  </si>
  <si>
    <t>B2. Felhalmozási célú támogatások államháztartáson belülről</t>
  </si>
  <si>
    <t xml:space="preserve">B3. Közhatalmi bevétel </t>
  </si>
  <si>
    <t xml:space="preserve">1.   Önkormányzatok sajátos működési bevételei </t>
  </si>
  <si>
    <t xml:space="preserve">    1.1 Helyi adók </t>
  </si>
  <si>
    <t xml:space="preserve">    1.1.1. Iparűzési adó</t>
  </si>
  <si>
    <t xml:space="preserve">    1.1.1.1. Állandó iparűzési adó</t>
  </si>
  <si>
    <t xml:space="preserve">    1.1.1.2. Ideiglenes iparűzési adó</t>
  </si>
  <si>
    <t xml:space="preserve">    1.1.2. Idegenforgalmi adó</t>
  </si>
  <si>
    <t xml:space="preserve">    1.2. Átengedett központi adók</t>
  </si>
  <si>
    <t xml:space="preserve">        1.2.1. Gépjárműadó (40%)                 </t>
  </si>
  <si>
    <t xml:space="preserve">        1.2.2. Termőföld bérbeadásából származó személyi jövedelemadó</t>
  </si>
  <si>
    <t xml:space="preserve">    1.3. Bírságok, pótlékok és egyéb sajátos bevételek </t>
  </si>
  <si>
    <t xml:space="preserve">    1.3.1. Bírságok</t>
  </si>
  <si>
    <t xml:space="preserve">    1.3.2. Késedelmi pótlékok</t>
  </si>
  <si>
    <t>B3. Közhatalmi bevétel összesen:</t>
  </si>
  <si>
    <t>B4. Működési bevétel</t>
  </si>
  <si>
    <t>B5. Felhalmozási bevételek</t>
  </si>
  <si>
    <t xml:space="preserve">B5. Felhalmozási bevételek összesen: </t>
  </si>
  <si>
    <t>B6. Működési célú átvett pénzeszközök</t>
  </si>
  <si>
    <t>B7. Felhalmozási célú átvett pénzeszközök</t>
  </si>
  <si>
    <t xml:space="preserve">Önkormányzati költségvetési bevételek összesen (B1-B7.): </t>
  </si>
  <si>
    <t>B8. Finanszírozási bevételek</t>
  </si>
  <si>
    <t xml:space="preserve">   1. Előző évi költségvetési maradvány igénybevétele</t>
  </si>
  <si>
    <t>B8. Finanszírozási bevételek összesen:</t>
  </si>
  <si>
    <t>Bevételek mindösszesen (B1-B8.):</t>
  </si>
  <si>
    <t>1/3. oldal</t>
  </si>
  <si>
    <t>2/3. oldal</t>
  </si>
  <si>
    <t>3/3. oldal</t>
  </si>
  <si>
    <t>kiemelt előirányzatonkénti bontásban</t>
  </si>
  <si>
    <t xml:space="preserve">B1. </t>
  </si>
  <si>
    <t xml:space="preserve">B2.  </t>
  </si>
  <si>
    <t xml:space="preserve">B3.  </t>
  </si>
  <si>
    <t xml:space="preserve">B4.  </t>
  </si>
  <si>
    <t xml:space="preserve">B5.  </t>
  </si>
  <si>
    <t xml:space="preserve">B6.  </t>
  </si>
  <si>
    <t xml:space="preserve">B7.  </t>
  </si>
  <si>
    <t>B8.</t>
  </si>
  <si>
    <t>B1-B8.</t>
  </si>
  <si>
    <t>Működési célú támogatások államháztartáson belülről</t>
  </si>
  <si>
    <t>Felhalmozási célú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</si>
  <si>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</si>
  <si>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</si>
  <si>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</si>
  <si>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</si>
  <si>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</si>
  <si>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</si>
  <si>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</t>
  </si>
  <si>
    <t>Működési célú</t>
  </si>
  <si>
    <t>Felhalmozási célú</t>
  </si>
  <si>
    <t>Eredeti előirányzat</t>
  </si>
  <si>
    <t>Módosított előirányzat</t>
  </si>
  <si>
    <t>Kötelező feladatok</t>
  </si>
  <si>
    <t>Helyi önkormányzatok működésének általános támogatása</t>
  </si>
  <si>
    <t>Mezőőrség támogatása</t>
  </si>
  <si>
    <t>Területalapú támogatás</t>
  </si>
  <si>
    <t>Mezőőri járulék</t>
  </si>
  <si>
    <t>Kamat és árfolyambevétel</t>
  </si>
  <si>
    <t>Helyi iparűzési adó</t>
  </si>
  <si>
    <t>Idegenforgalmi adó</t>
  </si>
  <si>
    <t>Gépjárműadó (40%)</t>
  </si>
  <si>
    <t>Termőföld bérbeadásából származó szja</t>
  </si>
  <si>
    <t>Bírságok, pótlékok, egyéb sajátos bevételek</t>
  </si>
  <si>
    <t xml:space="preserve">Előző évi maradvány igénybevétele </t>
  </si>
  <si>
    <t>Kötelező feladatok összesen</t>
  </si>
  <si>
    <t>Önként vállalt feladatok</t>
  </si>
  <si>
    <t>Földhaszonbérlet</t>
  </si>
  <si>
    <t>Közterület-használati díj</t>
  </si>
  <si>
    <t>Bérleti díj (TRV)</t>
  </si>
  <si>
    <t>Továbbszámlázott kiadások bevételei</t>
  </si>
  <si>
    <t>Önként válallt feladatok összesen</t>
  </si>
  <si>
    <t>Mindösszesen:</t>
  </si>
  <si>
    <t>Költségvetési szerv megnevezése</t>
  </si>
  <si>
    <t xml:space="preserve">B8.  </t>
  </si>
  <si>
    <t xml:space="preserve">B1-B8.  </t>
  </si>
  <si>
    <t>Előző évi maradvány igénybevétele</t>
  </si>
  <si>
    <t>Irányító szervi támogatás</t>
  </si>
  <si>
    <t>Madarász Imre Egyesített Óvoda</t>
  </si>
  <si>
    <t>Kötelező feladat</t>
  </si>
  <si>
    <t>Önként vállalt feladat</t>
  </si>
  <si>
    <t>Madarász Imre Egyesített Óvoda összesen:</t>
  </si>
  <si>
    <t>Déryné Kulturális,Turisztikai, Sport Központ és Könyvtár</t>
  </si>
  <si>
    <t>Déryné Kulturális,Turisztikai,Sport Központ és Könyvtár összesen:</t>
  </si>
  <si>
    <t>Városi Önkormányzat Városgondnoksága</t>
  </si>
  <si>
    <t>Városi Önkormányzat Városgondnoksága összesen:</t>
  </si>
  <si>
    <t>Győrffy István Nagykun Múzeum</t>
  </si>
  <si>
    <t>Győrffy István Nagykun Múzeum összesen:</t>
  </si>
  <si>
    <t xml:space="preserve">Városi Önkormányzat Városgondnoksága és a hozzá tartozó költségvetési szervek kötelező feladatai összesen: </t>
  </si>
  <si>
    <t xml:space="preserve">Városi Önkormányzat Városgondnoksága és a hozzá tartozó költségvetési szervek önként vállalt feladatai összesen: </t>
  </si>
  <si>
    <t xml:space="preserve">Városi Önkormányzat Városgondnoksága és a hozzá tartozó költségvetési szervek összesen: </t>
  </si>
  <si>
    <t xml:space="preserve">Karcagi Polgármesteri Hivatal </t>
  </si>
  <si>
    <t>Államigazgatási feladat</t>
  </si>
  <si>
    <t xml:space="preserve">Karcagi Polgármesteri Hivatal összesen: </t>
  </si>
  <si>
    <t>Költségvetési szervek kötelező feladatai összesen:</t>
  </si>
  <si>
    <t>Költségvetési szervek önként vállalt feladatai összesen:</t>
  </si>
  <si>
    <t>Költségvetési szervek államigazgatási feladatai összesen:</t>
  </si>
  <si>
    <t>Költségvetési szervek összesen:</t>
  </si>
  <si>
    <t>1/2. oldal</t>
  </si>
  <si>
    <t>2/2. oldal</t>
  </si>
  <si>
    <t xml:space="preserve">                 </t>
  </si>
  <si>
    <t xml:space="preserve">K1. </t>
  </si>
  <si>
    <t xml:space="preserve">K2.  </t>
  </si>
  <si>
    <t xml:space="preserve">K3.  </t>
  </si>
  <si>
    <t xml:space="preserve">K4.  </t>
  </si>
  <si>
    <t xml:space="preserve">K5.  </t>
  </si>
  <si>
    <t xml:space="preserve">K6.  </t>
  </si>
  <si>
    <t xml:space="preserve">K7.  </t>
  </si>
  <si>
    <t xml:space="preserve">K8.  </t>
  </si>
  <si>
    <t xml:space="preserve">K9.  </t>
  </si>
  <si>
    <t xml:space="preserve">K1-K9.  </t>
  </si>
  <si>
    <t>Személyi juttatások</t>
  </si>
  <si>
    <t>Munkaadót terhelő járulékok és szociális hozzájárulási adó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</si>
  <si>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</si>
  <si>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</si>
  <si>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</si>
  <si>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</si>
  <si>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</si>
  <si>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</si>
  <si>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Finanszírozási kiadások</t>
  </si>
  <si>
    <t>Kiadások összesen</t>
  </si>
  <si>
    <t>Költségvetési szervek kiadásai</t>
  </si>
  <si>
    <t>Kötelező feladat, önként vállalt, államigazgatási feladatok</t>
  </si>
  <si>
    <t>Önkormányzat kiadása költségvetési szervek támogatása nélkül</t>
  </si>
  <si>
    <t>Kötelező, önként vállalt feladat</t>
  </si>
  <si>
    <t>Ö S S Z E S E N :</t>
  </si>
  <si>
    <t xml:space="preserve">10. sz. melléklet a Karcag Városi Önkormányzat Képviselő-testületének  .../….. (…...) önkormányzati rendeletéhez </t>
  </si>
  <si>
    <t>Déryné Kulturális,Turisztikai,Sport Központ és Könyvtár</t>
  </si>
  <si>
    <t>mérlegszerű kimutatása</t>
  </si>
  <si>
    <t>Rovat száma</t>
  </si>
  <si>
    <t>Összesen</t>
  </si>
  <si>
    <t xml:space="preserve">Bevétel </t>
  </si>
  <si>
    <t>Kiadás</t>
  </si>
  <si>
    <t>I. Működés</t>
  </si>
  <si>
    <t>B1.</t>
  </si>
  <si>
    <t>ebből:</t>
  </si>
  <si>
    <t>Önkormányzat költségvetési támogatása</t>
  </si>
  <si>
    <t>Egyéb működési célú támogatások államháztartáson belülről</t>
  </si>
  <si>
    <t>B3.</t>
  </si>
  <si>
    <t>Közhatalmi bevétel</t>
  </si>
  <si>
    <t>B4.</t>
  </si>
  <si>
    <t>Működési bevétel</t>
  </si>
  <si>
    <t>Működési célú átvett pénzeszköz</t>
  </si>
  <si>
    <t>K1.</t>
  </si>
  <si>
    <t>K2.</t>
  </si>
  <si>
    <t>K3.</t>
  </si>
  <si>
    <t>K4.</t>
  </si>
  <si>
    <t>Ellátottak pénzbeli juttatása</t>
  </si>
  <si>
    <t>K5.</t>
  </si>
  <si>
    <t>K9.</t>
  </si>
  <si>
    <t>Működés összesen</t>
  </si>
  <si>
    <t>II. Felhalmozás</t>
  </si>
  <si>
    <t>B2.</t>
  </si>
  <si>
    <t>B5.</t>
  </si>
  <si>
    <t>Felhalmozási célú átvett pénzeszköz</t>
  </si>
  <si>
    <t>K6.</t>
  </si>
  <si>
    <t>K7.</t>
  </si>
  <si>
    <t>K8.</t>
  </si>
  <si>
    <t>Egyéb felhalmozási kiadások</t>
  </si>
  <si>
    <t>Felhalmozás összesen:</t>
  </si>
  <si>
    <t>Elvonások és befizetések</t>
  </si>
  <si>
    <t>B6.</t>
  </si>
  <si>
    <t>B7.</t>
  </si>
  <si>
    <t>Teljesítés egyenleg</t>
  </si>
  <si>
    <t xml:space="preserve">                       M e g n e v e z é s</t>
  </si>
  <si>
    <t>Városi közvilágítás</t>
  </si>
  <si>
    <t>Építési és településfejlesztési feladatok</t>
  </si>
  <si>
    <t>Hatósági kényszerintézkedések, utcanévtáblák elhelyezése, szakhatósági díjak, egyéb építési és településfejlesztési feladatok</t>
  </si>
  <si>
    <t>Polgárvédelem</t>
  </si>
  <si>
    <t>Közbiztonsági feladatok</t>
  </si>
  <si>
    <t xml:space="preserve">Mezőgazdaság és környezetvédelem </t>
  </si>
  <si>
    <t>Környezetvédelmi alap</t>
  </si>
  <si>
    <t>Egészségügyi feladatok</t>
  </si>
  <si>
    <t>Tüdőszűrés</t>
  </si>
  <si>
    <t>Karcagi Többcélú Kistérségi Társulás részére támogatás (állami hozzájárulás összege) működtetéséhez</t>
  </si>
  <si>
    <t>Karcagi Többcélú Kistérségi Társulás részére kiegészítő támogatás a karcagi székhellyel, telephellyel rendelkező intézmények működtetéséhez</t>
  </si>
  <si>
    <t>közköltséges temetés</t>
  </si>
  <si>
    <t>Egyéb szociális ellátás</t>
  </si>
  <si>
    <t xml:space="preserve">ebből: </t>
  </si>
  <si>
    <t>Helyi autóbusz közlekedés közszolgáltatás támogatása</t>
  </si>
  <si>
    <t>Tilalmasi ivóvíz biztosítása</t>
  </si>
  <si>
    <t>Önkormányzat választott tisztségviselői</t>
  </si>
  <si>
    <t>Polgármester és főállású alpolgármester illeménye, költségtérítése</t>
  </si>
  <si>
    <t>Önkormányzati működéshez kapcsolódó egyéb településüzemeltetési kiadások</t>
  </si>
  <si>
    <t>Folyószámlák költségei, postautalványok, postai közreműködési díj</t>
  </si>
  <si>
    <t>Vagyonbiztosítás díja</t>
  </si>
  <si>
    <t>Vizdíjak, közkifolyók</t>
  </si>
  <si>
    <t>Áramdíjak</t>
  </si>
  <si>
    <t>Egyéb kiadások</t>
  </si>
  <si>
    <t>Kötelező feladatok összesen:</t>
  </si>
  <si>
    <t xml:space="preserve">Önként vállalt feladatok </t>
  </si>
  <si>
    <t>Pályázati támogatás</t>
  </si>
  <si>
    <t xml:space="preserve">Nagykun Víz- és Csatornamű Kft. </t>
  </si>
  <si>
    <t>Akácliget fürdő üzemeltetési támogatás</t>
  </si>
  <si>
    <t xml:space="preserve">Ifjúságpolitikai feladatok </t>
  </si>
  <si>
    <t>Tehetséges és szociálisan hátrányos helyzetű tanulók ösztöndíja</t>
  </si>
  <si>
    <t>Önkormányzati reprezentációs és ajándékozási kiadások, kiemelt városi események, nemzeti ünnepek</t>
  </si>
  <si>
    <t>Nemzetközi kapcsolatok</t>
  </si>
  <si>
    <t>Székelykeresztúrért Alapítvány támogatása 149/2005. (IV.26.) kt.sz.határozat alapján</t>
  </si>
  <si>
    <t xml:space="preserve">Tagdíjak, támogatások </t>
  </si>
  <si>
    <t>Világ Királynője Engesztelő Mozgalom tagságára 200/2013. (IX.26.) kt.sz.határozat</t>
  </si>
  <si>
    <t xml:space="preserve">Kunszövetség tagdíj </t>
  </si>
  <si>
    <t>Továbbszámlázott működési kiadások</t>
  </si>
  <si>
    <t>Önkormányzat választott tisztségviselői és külső bizottsági tagjai</t>
  </si>
  <si>
    <t>Társadalmi megbízatású alpolgámester tiszteletdíja, költségtérítése</t>
  </si>
  <si>
    <t>Képviselők és külső bizottsági tagok tiszteletdíja</t>
  </si>
  <si>
    <t>Gépjármű biztosítás (kötelező, casco)</t>
  </si>
  <si>
    <t>Cégautóadó</t>
  </si>
  <si>
    <t>Könyvvizsgálat</t>
  </si>
  <si>
    <t>Főtéri internet szolgáltatás díja</t>
  </si>
  <si>
    <t>Földgáz energia megtakarítástól függő díjazása</t>
  </si>
  <si>
    <t>Városháza lift karbantartás</t>
  </si>
  <si>
    <t>Polgármesteri keret</t>
  </si>
  <si>
    <t>Önként vállalt feladatok összesen:</t>
  </si>
  <si>
    <t>Ö s s z e s e n:</t>
  </si>
  <si>
    <t>Önkormányzat irányítása alá tartozó költségvetési szervek támogatása</t>
  </si>
  <si>
    <t>Általános tartalék</t>
  </si>
  <si>
    <t>Céltartalék:</t>
  </si>
  <si>
    <t>Rekultivációs célú elkülönítés hulladéklerakó üzemeltetés miatt</t>
  </si>
  <si>
    <t>Városi Önkormányzat Városgondnokságától átvett, hullakékgazdálkodás bevételéből rekultivációs célra elkülönített összeg és kamatai (céltartalék)</t>
  </si>
  <si>
    <t>Rendszerfüggő elemek bérleti díjának elkülönítése vizkiközmű feljesztés finanszírozására</t>
  </si>
  <si>
    <t>Finanszírozási kiadás</t>
  </si>
  <si>
    <t>M i n d ö s s z e s e n:</t>
  </si>
  <si>
    <t>SZEMÉLYI JUTTATÁSOK</t>
  </si>
  <si>
    <t>SZEMÉLYI JUTTATÁSOK ÖSSZESEN:</t>
  </si>
  <si>
    <t>MUNKAADÓT TERHELŐ JÁRULÉKOK</t>
  </si>
  <si>
    <t>MUNKAADÓT TERHELŐ JÁRULÉKOK ÖSSZESEN:</t>
  </si>
  <si>
    <t>DOLOGI KIADÁSOK</t>
  </si>
  <si>
    <t>DOLOGI KIADÁSOK ÖSSZESEN:</t>
  </si>
  <si>
    <t>ELLÁTOTTAK JUTTATÁSAI</t>
  </si>
  <si>
    <t>ELLÁTOTTAK JUTTATÁSAI ÖSSZESEN:</t>
  </si>
  <si>
    <t>EGYÉB MŰKÖDÉSI CÉLÚ KIADÁSOK</t>
  </si>
  <si>
    <t>EGYÉB MŰKÖDÉSI CÉLÚ KIADÁSOK ÖSSZESEN:</t>
  </si>
  <si>
    <t>BERUHÁZÁSOK</t>
  </si>
  <si>
    <t>BERUHÁZÁSOK ÖSSZESEN:</t>
  </si>
  <si>
    <t>FELÚJÍTÁSOK</t>
  </si>
  <si>
    <t>FELÚJÍTÁSOK ÖSSZESEN:</t>
  </si>
  <si>
    <t>EGYÉB FELHALMOZÁSI CÉLÚ KIADÁSOK</t>
  </si>
  <si>
    <t>EGYÉB FELHALMOZÁSI CÉLÚ KIADÁSOK ÖSSZESEN:</t>
  </si>
  <si>
    <t>FINANSZÍROZÁSI KIADÁSOK</t>
  </si>
  <si>
    <t>FINANSZÍROZÁSI KIADÁSOK ÖSSZESEN:</t>
  </si>
  <si>
    <t>Intézmény megnevezése</t>
  </si>
  <si>
    <t>Létszám</t>
  </si>
  <si>
    <t>Részmunka-idős napi munkaideje (óra)</t>
  </si>
  <si>
    <t>Álláshely</t>
  </si>
  <si>
    <t>Záró létszám (fő)</t>
  </si>
  <si>
    <t>Zárólétszám közfoglalkoz-tatott és egyéb fogl.(fő)</t>
  </si>
  <si>
    <t>Átlagos
statisztikai állományi létszám (fő)</t>
  </si>
  <si>
    <t>Átlagos statisztikai létszámból közfoglalkoz-tatott (fő)</t>
  </si>
  <si>
    <t>Teljes munkaidős</t>
  </si>
  <si>
    <t>Részmunkaidős teljes munkaidősre átszámítva</t>
  </si>
  <si>
    <t>Részmunkaidős</t>
  </si>
  <si>
    <t>eredeti
előirányzat</t>
  </si>
  <si>
    <t>módosított
előirányzat</t>
  </si>
  <si>
    <t>eredeti 
előirányzat</t>
  </si>
  <si>
    <t>záró létszám
(fő)</t>
  </si>
  <si>
    <t>zárólétszám közfoglalkoz-tatott és egyéb fogl. (fő)</t>
  </si>
  <si>
    <t>átlagos statisztikai
létszám (fő)</t>
  </si>
  <si>
    <t>átlagos statisztikai létszám közfoglalkoz-tatott és egyéb fogl. (fő)</t>
  </si>
  <si>
    <r>
      <t xml:space="preserve">1. </t>
    </r>
    <r>
      <rPr>
        <b/>
        <u/>
        <sz val="8"/>
        <rFont val="Times New Roman"/>
        <family val="1"/>
        <charset val="238"/>
      </rPr>
      <t xml:space="preserve">Városi Önkormányzat Városgondnoksága és a hozzá tartozó intézmények: </t>
    </r>
  </si>
  <si>
    <t>Déryné Kulturális, Turisztikai, Sport Központ és Könyvtár</t>
  </si>
  <si>
    <t>Györffy István Nagykun Múzeum</t>
  </si>
  <si>
    <t>4 és 6</t>
  </si>
  <si>
    <t>Karcag Városi Önkormányzat Városgondnoksága</t>
  </si>
  <si>
    <t xml:space="preserve">1.Városi Önkormányzat Városgondnoksága és a hozzátartozó intézmények összesen: </t>
  </si>
  <si>
    <t xml:space="preserve"> 2. Karcagi Polgármesteri Hivatal </t>
  </si>
  <si>
    <t>3. Karcag Városi Önkormányzat</t>
  </si>
  <si>
    <t xml:space="preserve">Ö S S Z E S E N   (1 + 2 + 3): </t>
  </si>
  <si>
    <t>M e g n e v e z é s</t>
  </si>
  <si>
    <t>Felvétel éve</t>
  </si>
  <si>
    <t>Törlesztő részlet évenként</t>
  </si>
  <si>
    <t>1. Kezességvállalás (HUF)</t>
  </si>
  <si>
    <t>UniCredit Bank Hungary Zrt.</t>
  </si>
  <si>
    <t xml:space="preserve">Nagykun Víz- és Csatornamű Kft. Karcag (Fejlesztési hitel fürdőfejlesztéshez) </t>
  </si>
  <si>
    <t>Kezességvállalás (HUF) összesen:</t>
  </si>
  <si>
    <t xml:space="preserve"> MINDÖSSZESEN:</t>
  </si>
  <si>
    <t>Jogcím</t>
  </si>
  <si>
    <t xml:space="preserve">Adómentesség a  Karcag Város Önkormányzat Képviselő Testületének a helyi iparűzési adóról szóló 15/2015. (V.01.) önkormányzati rendelete 2. §-a alapján </t>
  </si>
  <si>
    <t>Adómentesség a Karcag Városi Önkormányzat Képviselő Testületének az idegenforgalmi adóról szóló 14/2015. (V.01.) önkormányzati rendelet és a helyi adókról szóló 1990. évi C. törvény 31. §. alapján</t>
  </si>
  <si>
    <t>-</t>
  </si>
  <si>
    <t>Adómentesség a gépjárműadóról szóló 1991. évi LXXXII. törvény 5. §-a alapján</t>
  </si>
  <si>
    <t>ÖSSZESEN:</t>
  </si>
  <si>
    <t>Teljesítés összege</t>
  </si>
  <si>
    <t>Teljesítés %</t>
  </si>
  <si>
    <t>2019.</t>
  </si>
  <si>
    <t>Kiemelt előirányzat megnevezése</t>
  </si>
  <si>
    <t xml:space="preserve">   1.1. Települési önkormányzatok működésének támogatása beszámítás után</t>
  </si>
  <si>
    <t xml:space="preserve">    1.1.1.    Önkormányzati hivatal működésének támogatása </t>
  </si>
  <si>
    <t xml:space="preserve">    1.1.2.    A zöldterület-gazdálkodással kapcsolatos feladatok ellátásának támogatása</t>
  </si>
  <si>
    <t xml:space="preserve">                 Beszámítás után</t>
  </si>
  <si>
    <t xml:space="preserve">    1.1.3.    Közvilágítás fenntartásának támogatása</t>
  </si>
  <si>
    <t xml:space="preserve">    1.1.4.    Köztemető fenntartással kapcsolatos feladatok támogatása</t>
  </si>
  <si>
    <t xml:space="preserve">    1.1.5.    Közutak fenntartásának támogatása</t>
  </si>
  <si>
    <t xml:space="preserve">    1.1.6.    Egyéb önkormányzati feladatok támogatása</t>
  </si>
  <si>
    <t xml:space="preserve">    1.1.7.    Lakott külterülettel kapcsoltos feladatok támogatása</t>
  </si>
  <si>
    <t xml:space="preserve">    1.1.8.    Üdülőhelyi feladatok támogatása</t>
  </si>
  <si>
    <t xml:space="preserve">      1.2. Települési önkormányzatok egyes köznevelési feladatainak támogatása</t>
  </si>
  <si>
    <t xml:space="preserve">    1.2.1.  Óvodapedagógusok, és az óvodapedagógusok nevelő munkáját közvetlenül </t>
  </si>
  <si>
    <t xml:space="preserve">               segítők bértámogatása</t>
  </si>
  <si>
    <t xml:space="preserve">    1.2.2.  Óvodaműködtetési támogatás</t>
  </si>
  <si>
    <t xml:space="preserve">    1.2.3.  Kiegészítő támogatás az óvodapedagógusok minősítéséből adódó </t>
  </si>
  <si>
    <t xml:space="preserve">               többletkiadásokhoz</t>
  </si>
  <si>
    <t xml:space="preserve">      1.3. A települési önkormányzatok szociális, gyermekjóléti és gyermekétkeztetési </t>
  </si>
  <si>
    <t xml:space="preserve">      1.3.1.  A települési önkormányzatok egyes szociális feladatainak egyéb támogatása</t>
  </si>
  <si>
    <t xml:space="preserve">    1.3.2.  Egyes szociális és gyermekjóléti feladatok támogatása</t>
  </si>
  <si>
    <t xml:space="preserve">       1.3.2.1. Család- és gyermekjóléti szolgálat </t>
  </si>
  <si>
    <t xml:space="preserve">       1.3.2.2. Család- és gyermekjóléti központ </t>
  </si>
  <si>
    <t xml:space="preserve">       1.3.2.3. Szociális étkeztetés </t>
  </si>
  <si>
    <t xml:space="preserve">       1.3.2.4. Házi segítségnyújtás - szociális segítés</t>
  </si>
  <si>
    <t xml:space="preserve">       1.3.2.5. Házi segítségnyújtás - személyi gondozás</t>
  </si>
  <si>
    <t xml:space="preserve">       1.3.2.6. Falugondnoki vagy tanyagondnoki szolgáltatás </t>
  </si>
  <si>
    <t xml:space="preserve">       1.3.2.7. Időskorúak nappali intézményi ellátása </t>
  </si>
  <si>
    <t xml:space="preserve">       1.3.2.8. Fogyatékos és demens személyek nappali intézményi ellátása</t>
  </si>
  <si>
    <t xml:space="preserve">       1.3.2.9. Pszichiátriai betegek nappali intézményi ellátása </t>
  </si>
  <si>
    <t xml:space="preserve">       1.3.2.10. Szenvedélybetegek nappali intézményi ellátása </t>
  </si>
  <si>
    <t xml:space="preserve">    1.3.3. A települési önkormányzatok által biztosított egyes szakosított ellátások, </t>
  </si>
  <si>
    <t xml:space="preserve">                valamint a gyermekek átmeneti gondozásával kapcsolatos feladatok ellátása</t>
  </si>
  <si>
    <t xml:space="preserve">       1.3.3.1. A finanszírozás szempontjából elismert szakmai dolgozók bértám.</t>
  </si>
  <si>
    <t xml:space="preserve">       1.3.3.2. Intézményüzemeltetési támogatás</t>
  </si>
  <si>
    <t xml:space="preserve">    1.3.4. Gyermekétkeztetés támogatása</t>
  </si>
  <si>
    <t xml:space="preserve">       1.3.4.1. A finanszírozás szempontjából elismert dolgozók bértámogatása</t>
  </si>
  <si>
    <t xml:space="preserve">       1.3.4.2. Gyermekétkeztetés üzemeltetési támogatása</t>
  </si>
  <si>
    <t xml:space="preserve">    1.3.5. A rászoruló gyermekek intézményen kívüli szünidei étkeztetésének támogatása</t>
  </si>
  <si>
    <t xml:space="preserve">    1.3.7. Szociális ágazati összevont pótlék</t>
  </si>
  <si>
    <t xml:space="preserve">    1.4. A települési önkormányzatok kulturális feladatainak támogatása</t>
  </si>
  <si>
    <t xml:space="preserve">    1.4.1. A települési önkormányzatok nyilvános könyvtári és közművelődési</t>
  </si>
  <si>
    <t xml:space="preserve">             feladatainak támogatása</t>
  </si>
  <si>
    <t xml:space="preserve">    1.4.2. A települési önkormányzatok muzeális intézményi feladatainak támogatása</t>
  </si>
  <si>
    <t xml:space="preserve">    1.4.3. Települési önkormányzatok könyvtári célú érdekeltségnövelő támogatása</t>
  </si>
  <si>
    <t xml:space="preserve">    1.4.4. Kulturális illetménypótlék</t>
  </si>
  <si>
    <t xml:space="preserve">    1.5. Működési célú költségvetési támogatások és kiegészítő támogatások</t>
  </si>
  <si>
    <t xml:space="preserve">    1.6. Elszámolásból származó bevételek</t>
  </si>
  <si>
    <t xml:space="preserve">    3. Elvonások és befizetések</t>
  </si>
  <si>
    <t>Vagyonkezelésbe adás bevétele</t>
  </si>
  <si>
    <t>Köztemetés megtérülés</t>
  </si>
  <si>
    <t xml:space="preserve">Kötelező feladatok </t>
  </si>
  <si>
    <t xml:space="preserve">Adatok Ft-ban </t>
  </si>
  <si>
    <t>Felvett, 
hitel és kibocsátott kötvény és egyéb kötelezettség összege e Ft</t>
  </si>
  <si>
    <t>2020.</t>
  </si>
  <si>
    <t xml:space="preserve">2026. </t>
  </si>
  <si>
    <t>(Ft)</t>
  </si>
  <si>
    <t>2017. év</t>
  </si>
  <si>
    <t>C/III/2</t>
  </si>
  <si>
    <t>Kincstárban vezetett forintszámlák</t>
  </si>
  <si>
    <t xml:space="preserve">   ebből: költségvetési évet követően esedékes követelések tualjdonosi bevételekre</t>
  </si>
  <si>
    <t xml:space="preserve">   ebből: költségvetési évet követően esedékes követelések egyéb működési bevételekre</t>
  </si>
  <si>
    <t xml:space="preserve">D/III/1d </t>
  </si>
  <si>
    <t xml:space="preserve">    ebből: igénybe vett szolgáltatásra adott előlegek</t>
  </si>
  <si>
    <t>D/III/3</t>
  </si>
  <si>
    <t>Más által beszedetett bevételek elszámolása</t>
  </si>
  <si>
    <t>Költségvetési bevételek és kiadások egyenlege finanszírozási műveletekkel együtt</t>
  </si>
  <si>
    <t>Finanszírozási műveletek egyenlege</t>
  </si>
  <si>
    <t>Közvilágítás karbantartás, javítás, bővítés</t>
  </si>
  <si>
    <t>Közvilágítás karbantartás, javítás</t>
  </si>
  <si>
    <t>Településkép Arculati Kézikönyv</t>
  </si>
  <si>
    <t xml:space="preserve">Rágcsálóirtás (Északi és Déli külváros, városközpont) </t>
  </si>
  <si>
    <t>Tilamasi ivóvíz ellátási rendszer tervezése I. ütem</t>
  </si>
  <si>
    <t xml:space="preserve">KÖFOP-1.2.1-VEKOP-16 Csatlakozási konstrukció az önkormányzati ASP rendszer országos kiépítéséhez 
</t>
  </si>
  <si>
    <t>Egyéb működési kiadások</t>
  </si>
  <si>
    <t xml:space="preserve">A 2015. évi Milánói Világkiállítás magyar pavilonjának elhelyezése Karcag Városában, a 1130/2017. (III.20.) Korm.határozat alapján kapott támogatás
</t>
  </si>
  <si>
    <t>Arany János ösztöndíj 291/2012. (XI.29.) kt. sz.  határozat alapján</t>
  </si>
  <si>
    <t>Kulturális és közművelődési feladatok</t>
  </si>
  <si>
    <t>Muzeális intézmányek szakmai támogatása pályázathoz önerő</t>
  </si>
  <si>
    <t>Közművelődési érdekeltségnövelő pályázathoz önerő</t>
  </si>
  <si>
    <t xml:space="preserve">Karcag Városi Önkormányzat által adományozható kitüntetésekhez járó pénzdíj </t>
  </si>
  <si>
    <t>Emlékplakettek, díjak, oklevelek</t>
  </si>
  <si>
    <t>Nagykun Hagyományőrző Társulás tagdíja 231/1998. (VI.30.) kt. sz. határozat alapján</t>
  </si>
  <si>
    <t>Alföld Szíve Turisztikai egyesület tagdíja</t>
  </si>
  <si>
    <t>276/2013.(XI.27.)"kt."sz határozat alapján az "Alföld Szíve" Térségi Turisztikai Egyesület részére a Jász-Kun Kapitányok nyomában tematikus útvonal támogatása</t>
  </si>
  <si>
    <t xml:space="preserve">Kun Összefogás Konzorcium tagdíja </t>
  </si>
  <si>
    <t xml:space="preserve">Ingatlanok értékbecslése </t>
  </si>
  <si>
    <t>Választókörzetek településüzemeltetési és telpülésfejlesztési kiadásai</t>
  </si>
  <si>
    <t xml:space="preserve">Karcagi „Erőforrás” Kft. részére üzemeltetésre
(Laktanya ingatlan)  39/2015. (II.26.) "kt." sz. határozat alapján </t>
  </si>
  <si>
    <t>Választókörzetek településüzemeltetési és településfejlesztési kiadásai</t>
  </si>
  <si>
    <t>A Karcag Városi Önkormányzat 2017. évi költségvetési kiadás főösszegének teljesítése kiemelt előirányzatonkénti bontásban</t>
  </si>
  <si>
    <t>Nettó érték</t>
  </si>
  <si>
    <t>A/II</t>
  </si>
  <si>
    <t>A/I/1</t>
  </si>
  <si>
    <t>Vagyonértékű jogok</t>
  </si>
  <si>
    <t>Törzsvagyon</t>
  </si>
  <si>
    <t>Forgalomképtelen vagyoni értékű jogok</t>
  </si>
  <si>
    <t>Korlátozottan forgalomképes vagyonértékű jogok</t>
  </si>
  <si>
    <t>Korlátozottan forgalomképes</t>
  </si>
  <si>
    <t>0-ra leírt korl.forgalomképes vagyoni értékű jogok</t>
  </si>
  <si>
    <t>0-ra leírt üz. átadott korl.forgalomképes vagyoni ért.jogok</t>
  </si>
  <si>
    <t>Üzleti vagyon</t>
  </si>
  <si>
    <t>Forgalomképes vagyonértékű jogok</t>
  </si>
  <si>
    <t>0-ra leírt forgalomképes vagyonértékű jogok</t>
  </si>
  <si>
    <t>0-ra leírt üzemeltetésre átadott vagyoni értékű jogok</t>
  </si>
  <si>
    <t>A/I/2</t>
  </si>
  <si>
    <t>Szellemi termék</t>
  </si>
  <si>
    <t>Forgalomképtelen szellemi termékek</t>
  </si>
  <si>
    <t>Korlátozottan forgalomképes szellemi termékek</t>
  </si>
  <si>
    <t>0-ra leírt korl.forgalomképes szellemi termékek</t>
  </si>
  <si>
    <t>Forgalomképes szellemi termék</t>
  </si>
  <si>
    <t>0-ra leírt forgalomképes szellemi  termék</t>
  </si>
  <si>
    <t>Tárgyi eszközök</t>
  </si>
  <si>
    <t>A/II/1</t>
  </si>
  <si>
    <t>Ingatlanok és kapcsolódó vagyoni értékű jogok</t>
  </si>
  <si>
    <t>Forgalomképtelen</t>
  </si>
  <si>
    <t>Földterület</t>
  </si>
  <si>
    <t>Üzemeltetésre átadott földterület</t>
  </si>
  <si>
    <t>Telek</t>
  </si>
  <si>
    <t>Üzemeltetésre átadott telek</t>
  </si>
  <si>
    <t>Épület</t>
  </si>
  <si>
    <t>Üzemeltetésre átadott épületek</t>
  </si>
  <si>
    <t>Építmény</t>
  </si>
  <si>
    <t>Üzemeltetésre átadott építmények</t>
  </si>
  <si>
    <t>0-ra leírt épületek</t>
  </si>
  <si>
    <t>0-ra leírt építmények</t>
  </si>
  <si>
    <t>0-ra leírt üzemeltetésre átadott építmények</t>
  </si>
  <si>
    <t>Erdő</t>
  </si>
  <si>
    <t>Halastó</t>
  </si>
  <si>
    <t>0-ra leírt üzemeltetésre adott épületek</t>
  </si>
  <si>
    <t>Üzemeltetésre átadott erdő</t>
  </si>
  <si>
    <t>0-ra leírt üzemeltetésre átadott épületek</t>
  </si>
  <si>
    <t>A/II/2</t>
  </si>
  <si>
    <t>Gépek berendezések,felszerelések</t>
  </si>
  <si>
    <t>Forgalomképtelen gépek,berendezések, járművek</t>
  </si>
  <si>
    <t>Üzemeltetésre átadott forgalomképtelen szám.tech.eszközök</t>
  </si>
  <si>
    <t>Üzemeltetésre átadott forg.képtelen egyéb gépek,berend.</t>
  </si>
  <si>
    <t>Korlátozottan forgalomképes gépek,berendezések,járművek</t>
  </si>
  <si>
    <t>Korlátozottan forgalomképes számítástechnikai eszközök</t>
  </si>
  <si>
    <t>Korlátozottan forgalomképes egyéb berendezések</t>
  </si>
  <si>
    <t>Korlátotzottan forg.képs kulturális javak</t>
  </si>
  <si>
    <t>Üzemeltetésre átadott korl. forgalomképes egyéb berendezések</t>
  </si>
  <si>
    <t>Üzemeltetésre átadott kulturális javak</t>
  </si>
  <si>
    <t>Korlátozottan forgalomképes járművek</t>
  </si>
  <si>
    <t>0-ra lert korl.forgalomképes számítástechnikai eszközök</t>
  </si>
  <si>
    <t>0-ra leírt üz. átadott korl. forgalomképes számítástechnikai eszk.</t>
  </si>
  <si>
    <t>0-ra leírt korl. forgalomképes egyéb berendezések</t>
  </si>
  <si>
    <t>0-ra leírt üz. átadott korl.forg.képes egyéb berendezések</t>
  </si>
  <si>
    <t>0-ra leírt korl.forgalomképes járművek</t>
  </si>
  <si>
    <t>0-ra leírt üz.átadott korl.forg.képes járművek</t>
  </si>
  <si>
    <t>Forgalomképes számítástechnikai eszközök</t>
  </si>
  <si>
    <t>Forgalomképes egyéb berendezések</t>
  </si>
  <si>
    <t>Forgalomképes járművek</t>
  </si>
  <si>
    <t>0-ra leírt forgalomképes számítástechnikai eszközök</t>
  </si>
  <si>
    <t>0-ra leírt forgalomképes egyéb berendezések</t>
  </si>
  <si>
    <t>0-ra leírt üz.átadott forgalomképes egyéb berendezések</t>
  </si>
  <si>
    <t>0-ra leírt üz.átadott forgalomképes járművek</t>
  </si>
  <si>
    <t>A/II/3</t>
  </si>
  <si>
    <t>Korlátotzottan forgalomképes tenyészállatok</t>
  </si>
  <si>
    <t>A/II/4</t>
  </si>
  <si>
    <t>A/III</t>
  </si>
  <si>
    <t>A/III/1</t>
  </si>
  <si>
    <t>A/IV</t>
  </si>
  <si>
    <t>Koncesszióba,vagyonkezelésbe adott eszközök</t>
  </si>
  <si>
    <t>Koncesszióba,vagyonkezelésbe adott tárgyi eszközök</t>
  </si>
  <si>
    <t>Forgalomképtelen vagyonelemek</t>
  </si>
  <si>
    <t>Korlátozottan forgalomképes vagyonelemek</t>
  </si>
  <si>
    <t>Vagyonkezelésbe átadott korl.forg.képes földterület</t>
  </si>
  <si>
    <t>Vagyonkezelésbe adott korl.forgalomképes épületek</t>
  </si>
  <si>
    <t>Vagyonkezelésbe adott korl.forgalomképes építmények</t>
  </si>
  <si>
    <t>Vagyonkezelésbe adott 0-ra leírt  kor.forg.képes gépek</t>
  </si>
  <si>
    <t>Vagyonkezelésbe adott 0-ra leírt  kor.forg.képes járművek</t>
  </si>
  <si>
    <t>Burttó érték</t>
  </si>
  <si>
    <t>A/I</t>
  </si>
  <si>
    <t>A Karcag Városi Önkormányzat 2018. évi konszolidált mérlege</t>
  </si>
  <si>
    <t>A Karcag Városi Önkormányzat 2018. évi konszolidált eredménykimutatása</t>
  </si>
  <si>
    <t>19   Befektetett pénzügyi eszközökből származó eredményszemléletű bevételek, árfolyamnyereségek</t>
  </si>
  <si>
    <t>21   Pénzügyi műveletek egyéb eredményszemléletű bevételei</t>
  </si>
  <si>
    <t>23   Befektetett pénzügyi eszkőzőkből (értékpapírokból, kölcsönökből) származó ráfordítások, árfolyamveszteségek</t>
  </si>
  <si>
    <t>24   Fizetendő kamatok és kamatjellegű ráfordítások</t>
  </si>
  <si>
    <t>A Karcag Városi Önkormányzat 2018. évi mérlege</t>
  </si>
  <si>
    <t>2018. év</t>
  </si>
  <si>
    <t>E/I/3</t>
  </si>
  <si>
    <t>Adott előleghez kapőcsolódó előzetesen felszámított nem levonható általános forgalmi adó</t>
  </si>
  <si>
    <t>H/I/1</t>
  </si>
  <si>
    <t>Költségvetési évben esedékes kötelezettségek személyi juttatásokra</t>
  </si>
  <si>
    <t>H/I/7</t>
  </si>
  <si>
    <t>Költségvetési évben esedékes kötelezettségek felújításokra</t>
  </si>
  <si>
    <t>H/II/6</t>
  </si>
  <si>
    <t>Költségvetési évet követően esedékes kötelezettségek beruházásokra</t>
  </si>
  <si>
    <t>A Karcag Városi Önkormányzat 2018. évi vagyonkimutatása</t>
  </si>
  <si>
    <t>A Karcag Városi Önkormányzat 2018. évi maradványkimutatása</t>
  </si>
  <si>
    <t>A Karcag Városi Önkormányzat és intézményei 2018. évi költségvetés bevételi főösszegének teljesítése
kiemelt előirányzatonkénti bontásban</t>
  </si>
  <si>
    <t xml:space="preserve">    1.1.9.    A 2017. évről áthúzódó bérkompenzáció támogatása</t>
  </si>
  <si>
    <t xml:space="preserve">      1.1.1-1.1.9.  Települési önkormányzatok működésének támogatása beszámítás után</t>
  </si>
  <si>
    <t xml:space="preserve">    1.1.10.   Polgármesteri illetmény támogatása</t>
  </si>
  <si>
    <t xml:space="preserve">      1.1.  Helyi önkormányzatok működésének általános támogatása összesen</t>
  </si>
  <si>
    <t xml:space="preserve">       1.3.2.11. Óvodai és iskolai szociális segítő tevékenység</t>
  </si>
  <si>
    <t xml:space="preserve">    1.3.6. Bölcsőde, mini bölcsőde támogatása</t>
  </si>
  <si>
    <t xml:space="preserve">       1.3.6.1. A finanszírozás szempontjából elismert szakmai dolgozók bértám.</t>
  </si>
  <si>
    <t xml:space="preserve">                   (felsőfokú végzettségű kisgyermeknevelők)</t>
  </si>
  <si>
    <t xml:space="preserve">       1.3.6.2. A finanszírozás szempontjából elismert szakmai dolgozók bértám.</t>
  </si>
  <si>
    <t xml:space="preserve">                   (bölcsődei dajkák, középfokú végzettségű kisgyermeknevelők)</t>
  </si>
  <si>
    <t xml:space="preserve">       1.3.6.3. Bölcsőde üzemeltetési támogatás</t>
  </si>
  <si>
    <t xml:space="preserve">    1.5.1. 2018. évi bérkompenzáció</t>
  </si>
  <si>
    <t xml:space="preserve">    1.5.2. Rendkívüli önkormányzati támogatás</t>
  </si>
  <si>
    <t xml:space="preserve">    1.5.3. Téli rezsicsökkentés egyszeri támogatása</t>
  </si>
  <si>
    <t xml:space="preserve">    1.5.4. Települési önkormányzatok helyi közösségi közlekedésének támogatása</t>
  </si>
  <si>
    <t xml:space="preserve">    1.6.1. Elszámolásból származó bevételek</t>
  </si>
  <si>
    <t xml:space="preserve">    1.4. Talajterhelési díj</t>
  </si>
  <si>
    <t xml:space="preserve">    1.5. Egyéb közhatalmi bevétel</t>
  </si>
  <si>
    <t xml:space="preserve"> 1. Ingatlanok és részvény értékesítése </t>
  </si>
  <si>
    <t>2. Egyéb felhalmozási bevétel</t>
  </si>
  <si>
    <t xml:space="preserve">   2. Folyószámlahitel igénybevétele</t>
  </si>
  <si>
    <t xml:space="preserve">   3. Államháztartáson belüli megelőlegezések</t>
  </si>
  <si>
    <t>A Karcag Városi Önkormányzat 2018. évi költségvetésén belül az önkormányzat bevételi főösszegének teljesítése
kiemelt előirányzatonkénti bontásban</t>
  </si>
  <si>
    <t>A Karcag Városi Önkormányzat 2018. évi bevételi főösszegén belül az önkormányzat működési és felhalmozási bevételeinek teljesítése</t>
  </si>
  <si>
    <t>Egyszeri gyermekvédelmi támogatás</t>
  </si>
  <si>
    <t>TRT módosítás megtéríttetése közhatalmi tevékenység gyakorlása keretében</t>
  </si>
  <si>
    <t>Maradvány elvonás</t>
  </si>
  <si>
    <t>Egyéb bérleti díj és működési bevétel</t>
  </si>
  <si>
    <t>TOP-7.1.1-15 -JN1-2016-00068 projekt "Karcag közösségi szintű fejlesztése" pályázat keretében lehívott pénzösszeg megtérülése</t>
  </si>
  <si>
    <t>Szennyvíz befizetés</t>
  </si>
  <si>
    <t>EMMI Bursa ösztöndíj visszautalás</t>
  </si>
  <si>
    <t>Bethlen Gábor Alap "Együtt lenni jó" pályázat</t>
  </si>
  <si>
    <t>JNSZ Megyei Önkormányzat támogatása</t>
  </si>
  <si>
    <t>TOP-3.2.1-16-JN1-2017-00002 Idősek Otthona energetikai felújítása</t>
  </si>
  <si>
    <t>Belterületi utak, járdák felújítása pályázat                               103/2018. (IV.26.) Kt. Határozat alapján</t>
  </si>
  <si>
    <t>Közművelődési érdekeltségnövelő támogatás</t>
  </si>
  <si>
    <t>Kacsóh u. 16. sz. alatti ingatlan vételára, értékesített telkek, önkormányzati lakások 2018. évi részlete</t>
  </si>
  <si>
    <t>Eladásra kijelölt ingatlanok és Tenyőszigeti telkek  értékesítése</t>
  </si>
  <si>
    <t>Részvény értékesítés</t>
  </si>
  <si>
    <t>TOP 5.3.1-16 „Helyi identitás és kohézió erősítése” pályázat támogatása</t>
  </si>
  <si>
    <t xml:space="preserve">Lakhatási körülmények javítására vonatkozó pályázat
17/2018. (I.25.) „kt.” határozat alapján
</t>
  </si>
  <si>
    <t xml:space="preserve">Önkormányzati feladatellátást szolgáló fejlesztések támogatása pályázat
Táncsics krt. 19. Óvoda tornaszoba felújítás   
118/2017. (IV.27.) „kt.” határozat alapján
</t>
  </si>
  <si>
    <t xml:space="preserve">Idősek Otthona pincerendszerének felújítása, födémcseréje
Karcag Város fejlesztései feladatainak támogatása
197/2018. (III.13.) Korm. határozat alapján
</t>
  </si>
  <si>
    <t xml:space="preserve">Zártkertek infrastrukturális háttér fejlesztéséra vonatkozó pályázat
16/2018. (I.25.) „kt.” határozat alapján
</t>
  </si>
  <si>
    <t xml:space="preserve">I. világháborús hadisírok felújítására vonatkozó pályázat
105/2018. (IV.26.) „kt.” határozat alapján
</t>
  </si>
  <si>
    <t>A 2015. évi Milánói  Világkiállítás magyar pavilonjának elhelyezésére kapott támogatás</t>
  </si>
  <si>
    <t xml:space="preserve">Karcag Kincse élmény- és gasztronómiai park kialakítása
2065/2017. (XII.27.) Korm. határozat alapján
</t>
  </si>
  <si>
    <t>Folyószámlahitel igénybevétele</t>
  </si>
  <si>
    <t>Karcagi Szakképzési Centrumtól műfüves pálya kialakításához</t>
  </si>
  <si>
    <t>Talajterhelési díj</t>
  </si>
  <si>
    <t xml:space="preserve">Környezetvédelmi bírság </t>
  </si>
  <si>
    <t>Karcagi Erőforrás Kft. pótbefizetés visszafizetése</t>
  </si>
  <si>
    <t>Államháztartáson belüli megelőlegezések</t>
  </si>
  <si>
    <t>A Karcag Városi Önkormányzat 2018. évi költségvetési bevételi főösszegén belül 
a költségvetési szervek bevételeinek teljesítése kiemelt előirányzatonkénti bontásban</t>
  </si>
  <si>
    <t>Önként vállalt feladat TOP-os pályázat</t>
  </si>
  <si>
    <t>Önként vállalt feladat START munkaprogram</t>
  </si>
  <si>
    <t>Önként vállalt feladat nyári diákmunka</t>
  </si>
  <si>
    <t>A Karcag Városi Önkormányzat 2018. évi költségvetési kiadás főösszegének teljesítése kiemelt előirányzatonkénti bontásban</t>
  </si>
  <si>
    <t>A Karcag Városi Önkormányzat 2018. évi költségvetés kiadási főösszegén belül az önkormányzat kiadásai feladatonként, kötelező és önként vállalt feladatonkénti bontásban</t>
  </si>
  <si>
    <t>A Karcag Városi Önkormányzat 2018. évi költségvetés kiadási főösszegén belül az Önkormányzat kiadásai feladatonként, kiemelt előirányzatonkénti bontásban</t>
  </si>
  <si>
    <t>A Karcag Városi Önkormányzat 2018. évi költségvetési kiadási főösszegén belül 
a költségvetési szervek kiadásainak teljesítése kiemelt előirányzatonkénti bontásban</t>
  </si>
  <si>
    <t>Karcag Városi Önkormányzat irányítása alá tartozó költségvetési szervek 2018. évi létszámkeretének alakulása</t>
  </si>
  <si>
    <r>
      <t>A Karcag Városi Önkormányzat 2018. évi költségvetési főösszegén belül 
a tartalék összege feladatonkénti bontásban</t>
    </r>
    <r>
      <rPr>
        <i/>
        <sz val="12"/>
        <rFont val="Times New Roman"/>
        <family val="1"/>
        <charset val="238"/>
      </rPr>
      <t xml:space="preserve">
</t>
    </r>
  </si>
  <si>
    <t>2018.
12.31-én fennálló
állomány</t>
  </si>
  <si>
    <t>2021.</t>
  </si>
  <si>
    <t>2022-2025.</t>
  </si>
  <si>
    <t>A Karcag Városi Önkormányzat 2018. évi közvetett támogatásai jogcímenkénti bontásban</t>
  </si>
  <si>
    <t xml:space="preserve">A Karcag Városi Önkormányzat 2018. évi működési és felhalmozási bevételeinek és kiadásainak </t>
  </si>
  <si>
    <t>TRT módosítás és vázrajz készítés folyamatban lévő ügyekben</t>
  </si>
  <si>
    <t>Főépítészi tevékenyég</t>
  </si>
  <si>
    <t>Kamerarendszer üzemeltetése</t>
  </si>
  <si>
    <t>Kamerarendszer bővítése 17 db kameraállomással</t>
  </si>
  <si>
    <t>Erdővédelmi költségek</t>
  </si>
  <si>
    <t>Egyéb mezőgazdasági feladatok</t>
  </si>
  <si>
    <t xml:space="preserve">Szünidei étkeztetés </t>
  </si>
  <si>
    <t>Orvosi ügyelet ellátására kiegészítés 319/2017. (XII.14.) kt. sz. határozat alapján</t>
  </si>
  <si>
    <t>Karcag Városi Cigány Nemzetiségi Önkormányzat támogatása
 -1 fő adminisztrátor 4 órás foglalkoztatásához keretösszeg 1.285.000,- Ft
- Kulturális rendezvényekhez támogatás nyújtása 200.000,- Ft (farsang, gyermeknap, mikulás, karácsony)                   - Nyári táborozás támogatása 300.000,- Ft</t>
  </si>
  <si>
    <t>Karcagi Többcélú Kistérségi Tárulás 2018. évi tagdíja</t>
  </si>
  <si>
    <t>Karcag-Kenderes (Bánhalma) Víziközmű Beruházási Társulás megszűnése miatti pénzeszköz átadás</t>
  </si>
  <si>
    <t>Települési támogatások a 7/2015. (II.27.) önkormányzati rendelet alapján</t>
  </si>
  <si>
    <t>lakhatási támogatás rendszeres</t>
  </si>
  <si>
    <t>gyógyszertámogatás rendszeres</t>
  </si>
  <si>
    <t>rendkívüli települési támogatás (pénzbeni: temetés és egyéb rendkívüli támogatás)</t>
  </si>
  <si>
    <t>rendkívüli települési támogatás (természetbeni: tüzelő, élelmiszer, gyógyszer)</t>
  </si>
  <si>
    <t>Téli rezsicsökkentés egyszeri támogatása</t>
  </si>
  <si>
    <t>2017. decemberi áfa befizetés</t>
  </si>
  <si>
    <t>2018. évi áfa</t>
  </si>
  <si>
    <t>2018. évi kötelezettség</t>
  </si>
  <si>
    <t>2017. évről áthúzódó kötelezettség</t>
  </si>
  <si>
    <t>Helyi közösségi közlekedés központi támogatás</t>
  </si>
  <si>
    <t>Előző évi támogatás elszámolás</t>
  </si>
  <si>
    <t>Karcag-Tilalmasi Mezőgazdasági KFT. tulajdonában lévő kutak és vízhálózat bérlete a 155/2018. (V.24.) kt. sz. határozat alapján  2018.12.31-ig</t>
  </si>
  <si>
    <t>Rendszerfüggő víziközmű elemek fejlesztése elkülönített bérleti díj terhére</t>
  </si>
  <si>
    <t>Önkormányzati feladatok 2017. évi maradvány terhére</t>
  </si>
  <si>
    <t>KEHOP-3.2.1-15-2017-00023 Komplex hulladékgazdálkódási rendszer fejlesztése Karcag Város, valamint a Tisza-Tó térségében, különös tekintettel az elkülönített hulladékgyűjtési, szállítási és előkezelő redszerre</t>
  </si>
  <si>
    <t>TOP-3.1.1-15-JN1-2016-00021 Kerékpárút hálózat kiépítése Karcagon</t>
  </si>
  <si>
    <t xml:space="preserve">TOP- 5.1.2-15-JN1-2016-00005 Helyi foglalkoztatási együttműködések megvalósítása a Karcagi Járásban 
</t>
  </si>
  <si>
    <t>TOP-3.2.1-15-JN1-2016-00024  Városháza, Déryné energetikai fejlesztése</t>
  </si>
  <si>
    <t>TOP-1.2.1-15-JN1-2016-00005 Karcagi turisztikai attrakciók fejlesztése</t>
  </si>
  <si>
    <t xml:space="preserve">TOP-2.1.2-15-JN1-2016-00011 Karcag zöldfelületeinek fejlesztése </t>
  </si>
  <si>
    <t>Saját forrás 334/2017. (XII.14.) kt. Sz. határozat alapján</t>
  </si>
  <si>
    <t xml:space="preserve">TOP-1.4.1-15-JN1-2016-00016 Zöldfa úti Óvoda korszerűsítése </t>
  </si>
  <si>
    <t>Belterületi utak, járdák felújítása pályázat támogatása</t>
  </si>
  <si>
    <t>Saját forrás 103/2018. (IV.26.) kt. Sz. határozat alapján</t>
  </si>
  <si>
    <t>Karcagi Sport Egyesület támogatása 772/2018. (III.29.) kt. határozat alapján Kosárlabda liget önerő</t>
  </si>
  <si>
    <t>Országos tornaterem felújítási program - Sportcsarnok</t>
  </si>
  <si>
    <t>"A vidéki térségek kisméretű infrastruktúrájának és alapvető szolgáltatásainak fejlesztésére" -  Piac fejlesztés pályázat 119/2017. (IV.27.) "kt." sz. határozat alapján</t>
  </si>
  <si>
    <t>TOP 1.4.1-16 "A foglalkoztatás és az életminőség javítása" pályázat</t>
  </si>
  <si>
    <t>NHSZ Tisza Nonprofit Kft. Üzletrész vásárlás</t>
  </si>
  <si>
    <t xml:space="preserve">Biztosítási kártérítés átadás Karcagi „Erőforrás” Kft. részére </t>
  </si>
  <si>
    <t>Karcag Kincse Kft. részére tagi kölcsön nyújtás 214/2018. (VI.28.) kt. sz. határozat alapján</t>
  </si>
  <si>
    <t>Karcag Kincse keresletélénkítés projekt kiadásai</t>
  </si>
  <si>
    <t xml:space="preserve">Lakossági szennyvíz rákötések és új gerincvezeték támogatása  </t>
  </si>
  <si>
    <t>Bursa Hungarica Felsőoktatási Önkormányzati Ösztöndíj pályázat  234/2017. (IX.27.) kt. sz. határozat alapján</t>
  </si>
  <si>
    <t xml:space="preserve">Karcagi civil szervezetek támogatása 286/2017. (XI.29.) „kt.” sz. határozat alapján
</t>
  </si>
  <si>
    <t>Bethlen Gábor Alap támogatása "Együtt lenni jó" pályázat kiadásai</t>
  </si>
  <si>
    <t>JNSZ Megyei Önkormányzat támogatása kirándulásra</t>
  </si>
  <si>
    <t>Karcagi Sport Egyesület 2018. évi működési támogatása</t>
  </si>
  <si>
    <t>Karcag Városi TV-vel együttműködési szerződés hirdetésre, lakosság tájékoztatására</t>
  </si>
  <si>
    <t>Karcag FM és www.infokarcag.hu együttműködési szerződés hirdetére, lakosság tájékoztatására</t>
  </si>
  <si>
    <t>Tisza-menti LEADER Közhasznú Egyesület tagdíja</t>
  </si>
  <si>
    <t>Gépkocsi üzemeltetés</t>
  </si>
  <si>
    <t xml:space="preserve">Közhírelés </t>
  </si>
  <si>
    <t>Karácsonyi díszkivilágítás felszerelése és leszerelése, bővítése</t>
  </si>
  <si>
    <t>Városháza épület klimatizálás</t>
  </si>
  <si>
    <t>Folyószámlahitel kamat</t>
  </si>
  <si>
    <t>Orvosi ösztöndíjrendszer és lakhatási támogatás biztosítása</t>
  </si>
  <si>
    <t>"Babacsomag" minden karcagon lakhellyel rendelkező újszülött részére 20.000,- Ft/fő</t>
  </si>
  <si>
    <t>Talajterhelési díj elkülönítése környezetvédelmi alapként</t>
  </si>
  <si>
    <r>
      <t xml:space="preserve">Munkáltatói lakáscélú támogatás </t>
    </r>
    <r>
      <rPr>
        <sz val="14"/>
        <rFont val="Times New Roman"/>
        <family val="1"/>
        <charset val="238"/>
      </rPr>
      <t>(2017.12.31. egyenleg, céllal kötött maradvány Önkormányzat és VG)</t>
    </r>
  </si>
  <si>
    <t>2018. évi bérleti díj elkülönítése</t>
  </si>
  <si>
    <t>2013-2017.években befolyt, viziközmű fejlesztés céljára fel nem használt összeg</t>
  </si>
  <si>
    <t xml:space="preserve">TOP- 5.1.2-15-JN1-2016-00005 Helyi foglalkoztatási együttműködések megvalósítása a Karcagi Járásban </t>
  </si>
  <si>
    <t>Karcag Kincse élmény és gasztronómiai park kialakítása 2065/2017. (XII.27.) Korm.határozat alapján</t>
  </si>
  <si>
    <r>
      <t xml:space="preserve">2018. évi támogatás megelőlegezés </t>
    </r>
    <r>
      <rPr>
        <sz val="14"/>
        <rFont val="Times New Roman"/>
        <family val="1"/>
        <charset val="238"/>
      </rPr>
      <t>(2017. évről áthozott)</t>
    </r>
  </si>
  <si>
    <t>Polgármesteri keret felhasználása</t>
  </si>
  <si>
    <t>Bethlen Gábor Alap támogatása "Együtt lenni jó" pályázat</t>
  </si>
  <si>
    <t xml:space="preserve">A 2015. évi Milánói Világkiállítás magyar pavilonjának elhelyezése Karcag Városában, a 1130/2017. (III.20.) Korm.határozat alapján 
</t>
  </si>
  <si>
    <t>TOP-2.1.2-15-JN1-2016-00011 Karcag zöldfelületeinek fejlesztése</t>
  </si>
  <si>
    <t xml:space="preserve">Lakhatási körülmények javítására vonatkozó pályázat kiadásai
17/2018. (I.25.) „kt.” határozat alapján
</t>
  </si>
  <si>
    <t>Muzeális intézmények szakmai támogatása pályázathoz önerő</t>
  </si>
  <si>
    <t>Polgármesteri keretből civil szervezetek támogatása</t>
  </si>
  <si>
    <t xml:space="preserve">A 2015. évi Milánói Világkiállítás magyar pavilonjának elhelyezése Karcag Városában, a 1130/2017. (III.20.) Korm.határozat alapján
</t>
  </si>
  <si>
    <t>Karácsonyi díszkivilágítás bővítése</t>
  </si>
  <si>
    <t>Választókörzetek településüzemeltetési kiadásai</t>
  </si>
  <si>
    <t xml:space="preserve">Országos tornaterem felújítási program - Sportcsarnok </t>
  </si>
  <si>
    <t>2018. évi támogatás megelőlegezés (2017. évről áthozott)</t>
  </si>
  <si>
    <t>M I N D Ö S S Z E S E N:</t>
  </si>
  <si>
    <t>Folyószámlahitel igénybevétel törlesztés</t>
  </si>
  <si>
    <t>2017-2018. évre vonatkozó általános forgalmi adó befizetési kötelezettség</t>
  </si>
  <si>
    <t>Varró u. 1-3. épület átalakítási munkái Idősek Otthona elhelyezése miatt</t>
  </si>
  <si>
    <t>Szélmalom felújítás tervezési költsége</t>
  </si>
  <si>
    <t>Önkormányzat választott tisztségviselői és külső bizottsági tagjai díjazásának felajánlása civil szervezet részére</t>
  </si>
  <si>
    <t>Karcag Városi Önkormányzat által adományozható kitüntetésekhez járó pénzdíj felajánlása civil szervezet részére</t>
  </si>
  <si>
    <t>Műfüves futballpálya üzemeltetési költségeinek megtérítése a Szentannai Sámuel Szakközépiskola  részére</t>
  </si>
  <si>
    <t xml:space="preserve">Karcag Városi Önkormányzat 2018. évben fennálló kötelezettségei lejárat, hitelezők és eszközök szerinti bontásban </t>
  </si>
  <si>
    <t xml:space="preserve">Zártkertek infrastrukturális háttér fejlesztésére vonatkozó pályázat
16/2018. (I.25.) „kt.” határozat alapján
</t>
  </si>
  <si>
    <t>Rendszerfüggő elemek bérleti díjának elkülönítése viziközmű feljesztés finanszírozására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</si>
  <si>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</si>
  <si>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</si>
  <si>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helyiségek, eszközök hasznosításából származó bevételből nyújtott kedvezmény, mentesség összege</t>
  </si>
  <si>
    <t>Bevétel</t>
  </si>
  <si>
    <t>Teljesítés 2017.</t>
  </si>
  <si>
    <t>Teljesítés 2018.</t>
  </si>
  <si>
    <t>Teljesítés 2019.</t>
  </si>
  <si>
    <t>Teljesítés 2020.</t>
  </si>
  <si>
    <t>Saját forrás</t>
  </si>
  <si>
    <t>A Karcag Városi Önkormányzat  többéves kihatással járó döntéseinek számszerűsítése feladatonként</t>
  </si>
  <si>
    <t>Karcag Városi Önkormányzat saját bevétele és az adósságot keletkeztető ügyletekből eredő fizetési kötelezettségének kimutatása</t>
  </si>
  <si>
    <t>Sor-
szám</t>
  </si>
  <si>
    <t>Saját bevétel és adósságot keletkeztető ügyletből eredő fizetési kötelezettség a tárgyévet követő évekre várható összege</t>
  </si>
  <si>
    <t>2020. év</t>
  </si>
  <si>
    <t>2021. év</t>
  </si>
  <si>
    <t>2022. év</t>
  </si>
  <si>
    <t>2023. év</t>
  </si>
  <si>
    <t>2024. év</t>
  </si>
  <si>
    <t>2025. év</t>
  </si>
  <si>
    <t>2026. év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</si>
  <si>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</si>
  <si>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</si>
  <si>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</si>
  <si>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</si>
  <si>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</si>
  <si>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</si>
  <si>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</si>
  <si>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</si>
  <si>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</si>
  <si>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</si>
  <si>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</si>
  <si>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</si>
  <si>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</si>
  <si>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Helyi adók</t>
  </si>
  <si>
    <t>01</t>
  </si>
  <si>
    <t>Önkormányzati vagyon és az önkormányzatot megillető vagyoni értékű jog értékesítéséből és hasznosításából százmazó bevétel</t>
  </si>
  <si>
    <t>02</t>
  </si>
  <si>
    <t>Osztalék, koncessziós díj és a hozam bevétel</t>
  </si>
  <si>
    <t>03</t>
  </si>
  <si>
    <t>Tárgyi eszköz és az immateriális jószág, részvény, részesedés, vállalat értékesítéséből vagy privatizációból származó bevétel</t>
  </si>
  <si>
    <t>04</t>
  </si>
  <si>
    <t>Bírság-, pótlék-, és díjbevétel</t>
  </si>
  <si>
    <t>05</t>
  </si>
  <si>
    <t>Kezesség, illetve garancia vállalással kapcsolatos megtérülés</t>
  </si>
  <si>
    <t>06</t>
  </si>
  <si>
    <t>Saját bevételek (01+…+06)</t>
  </si>
  <si>
    <t>07</t>
  </si>
  <si>
    <t>Saját bevételek (07.sor) 50 %-a</t>
  </si>
  <si>
    <t>08</t>
  </si>
  <si>
    <t>Előző években keletkezett tárgyévet terhelő fizetési kötelezettség (10+…+16)</t>
  </si>
  <si>
    <t>09</t>
  </si>
  <si>
    <t>Felvett, átvállalt hitel és annak tőketartozása</t>
  </si>
  <si>
    <t>10</t>
  </si>
  <si>
    <t>Felvett, átvállalt kölcsön és annak tőketartozása</t>
  </si>
  <si>
    <t>11</t>
  </si>
  <si>
    <t>Hitelviszonyt megtestesítő értékpapír</t>
  </si>
  <si>
    <t>12</t>
  </si>
  <si>
    <t>Adott váltó</t>
  </si>
  <si>
    <t>13</t>
  </si>
  <si>
    <t>Pénzügyi lizing</t>
  </si>
  <si>
    <t>14</t>
  </si>
  <si>
    <t>Halasztott fizetés</t>
  </si>
  <si>
    <t>15</t>
  </si>
  <si>
    <t>Kezességvállalásból eredő fizetési kötelezettség                                  Nagykun Víz- és Csatornamű Kft. Karcag (Fejlesztési hitel fürdőfejlesztéshez UniCredit Bank Zrt., felvétel éve: 2011. , összege: 152.125 ezer Ft)</t>
  </si>
  <si>
    <t>16</t>
  </si>
  <si>
    <t>Tárgyévben keletkezett, illetve keletkező, tárgyévet 
terhelő fizetési kötelezettség (19+…+25)</t>
  </si>
  <si>
    <t>17</t>
  </si>
  <si>
    <t>18</t>
  </si>
  <si>
    <t>19</t>
  </si>
  <si>
    <t>20</t>
  </si>
  <si>
    <t>21</t>
  </si>
  <si>
    <t>22</t>
  </si>
  <si>
    <t>23</t>
  </si>
  <si>
    <t>Kezességvállalásból eredő fizetési kötelezettség</t>
  </si>
  <si>
    <t>24</t>
  </si>
  <si>
    <t>Fizetési kötelezettség összesen (09+17)</t>
  </si>
  <si>
    <t>25</t>
  </si>
  <si>
    <t>Fizetési kötelezettséggel csökkentett saját bevétel (08-25)</t>
  </si>
  <si>
    <t>26</t>
  </si>
  <si>
    <t>Tárgyév
2018. év</t>
  </si>
  <si>
    <t>2019. év</t>
  </si>
  <si>
    <t>334/2018. (XII.13.) "kt." sz. határozat alapján a Nagykun Víz- és Csatornamű Kft. részére nyújott tagi kölcsön részbeni elengedésének összege</t>
  </si>
  <si>
    <t>337/2018. (XII.13.) "kt." sz. határozat alapján a Karcag Kincse Rendezvényszervező Nonprofit Kft. részére nyújott tagi kölcsön részbeni elengedésének összege</t>
  </si>
  <si>
    <t>340/2018. (XII.13.) "kt." sz. határozat alapján a Karcagi "Erőforrás" Kft. részére nyújott tagi kölcsön részbeni elengedésének összege</t>
  </si>
  <si>
    <t>Közvetetten támogatásban részesülők száma</t>
  </si>
  <si>
    <t>KEHOP-3.2.1-15-2017-00023 Komplex hulladékgazdálkodási rendszer fejlesztése Karcag Város, valamint a Tisza-Tó térségében, különös tekintettel az elkülönített hulladékgyűjtési, szállítási és előkezelő rendszerre</t>
  </si>
  <si>
    <t>Idősek Otthona pincerendszerének felújítása, födémcseréje
Karcag Város fejlesztései feladatainak támogatása
197/2018. (III.13.) Korm. határozat alapján</t>
  </si>
  <si>
    <t>Üzemeltetésre átadott forgalomképes szellemi termékek</t>
  </si>
  <si>
    <t xml:space="preserve">Korlátotzottan forgalomképes járművek </t>
  </si>
  <si>
    <t>Üzemeltetésre átadott kiértékű gépek,berendezések</t>
  </si>
  <si>
    <t>0-ra lerírt forgalomképes járművek</t>
  </si>
  <si>
    <t>Korlátozottan forgalomképes tenyészállatok</t>
  </si>
  <si>
    <t>0-ra  leírt korlátozottan forgalomképes tenyészállatok</t>
  </si>
  <si>
    <t>Adott előleghez kapcsolódó előzetesen felszámított nem levonható általános forgalmi adó</t>
  </si>
  <si>
    <t>H/1/1</t>
  </si>
  <si>
    <t>Költségvetési évben esedékes kötelezettségek személyi juttatásra</t>
  </si>
  <si>
    <t xml:space="preserve">Költségvetési évet követően esedékes kötelezettségek beruházásokra </t>
  </si>
  <si>
    <t xml:space="preserve">Közművelődési érdekeltségnövelő támogatás </t>
  </si>
  <si>
    <t>Teljesítés 2021.</t>
  </si>
  <si>
    <t>Teljesítés 2022.</t>
  </si>
  <si>
    <t xml:space="preserve">1. sz. melléklet a Karcag Városi Önkormányzat Képviselő-testületének 11/2019. (V.31.) önkormányzati rendeletéhez </t>
  </si>
  <si>
    <t xml:space="preserve">2. sz. melléklet a Karcag Városi Önkormányzat Képviselő-testületének  11/2019. (V.31.) önkormányzati rendeletéhez </t>
  </si>
  <si>
    <t xml:space="preserve">3. sz. melléklet a Karcag Városi Önkormányzat Képviselő-testületének  11/2019. (V.31.) önkormányzati rendeletéhez </t>
  </si>
  <si>
    <t xml:space="preserve">4 sz. melléklet a Karcag Városi Önkormányzat Képviselő-testületének  11/2019. (V.31.) önkormányzati rendeletéhez </t>
  </si>
  <si>
    <t xml:space="preserve">5. sz. melléklet a Karcag Városi Önkormányzat Képviselő-testületének  11/2019. (V.31.) önkormányzati rendeletéhez </t>
  </si>
  <si>
    <t xml:space="preserve">6. sz. melléklet a Karcag Városi Önkormányzat Képviselő-testületének  11/2019. (V.31.) önkormányzati rendeletéhez </t>
  </si>
  <si>
    <t xml:space="preserve">7. sz. melléklet a Karcag Városi Önkormányzat Képviselő-testületének  11/2019. (V.31.) önkormányzati rendeletéhez </t>
  </si>
  <si>
    <t xml:space="preserve">8. sz. melléklet a Karcag Városi Önkormányzat Képviselő-testületének  11/2019. (V.31.) önkormányzati rendeletéhez </t>
  </si>
  <si>
    <t xml:space="preserve">9. sz. melléklet a Karcag Városi Önkormányzat Képviselő-testületének  11/2019. (V.31.) önkormányzati rendeletéhez </t>
  </si>
  <si>
    <t xml:space="preserve">10. sz. melléklet a Karcag Városi Önkormányzat Képviselő-testületének  11/2019. (V.31.) önkormányzati rendeletéhez </t>
  </si>
  <si>
    <t xml:space="preserve">11. sz. melléklet a Karcag Városi Önkormányzat Képviselő-testületének 11/2019. (V.31.) önkormányzati rendeletéhez </t>
  </si>
  <si>
    <t>12. sz. melléklet a Karcag Városi Önkormányzat Képviselő-testületének 11/2019. (V.31.) önkormányzati rendeletéhez</t>
  </si>
  <si>
    <t xml:space="preserve">13. sz. melléklet a Karcag Városi Önkormányzat Képviselő-testületének  11/2019. (V.31.) önkormányzati rendeletéhez </t>
  </si>
  <si>
    <t xml:space="preserve">14. sz. melléklet a Karcag Városi Önkormányzat Képviselő-testületének  11/2019. (V.31.) önkormányzati rendeletéhez </t>
  </si>
  <si>
    <t xml:space="preserve">15. sz. melléklet a Karcag Városi Önkormányzat Képviselő-testületének  11/2019. (V.31.) önkormányzati rendeletéhez </t>
  </si>
  <si>
    <t xml:space="preserve">16. sz. melléklet a Karcag Városi Önkormányzat Képviselő-testületének  11/2019. (V.31.) önkormányzati rendeletéhez </t>
  </si>
  <si>
    <t xml:space="preserve">17. sz. melléklet a Karcag Városi Önkormányzat Képviselő-testületének  11/2019. (V.31.) önkormányzati rendeletéhez </t>
  </si>
  <si>
    <t xml:space="preserve">18. sz. melléklet a Karcag Városi Önkormányzat Képviselő-testületének  11/2019. (V.31.) önkormányzati rendeletéhez </t>
  </si>
  <si>
    <t xml:space="preserve">19. sz. melléklet a Karcag Városi Önkormányzat Képviselő-testületének  11/2019. (V.31.) önkormányzati rendeletéhez </t>
  </si>
  <si>
    <t>20. sz. melléklet a Karcag Városi Önkormányzat Képviselő-testületének 11/2019. (V.31.) önkormányzati rendeletéhez</t>
  </si>
  <si>
    <t xml:space="preserve">8. sz. melléklet a Karcag Városi Önkormányzat Képviselő-testületének 1. sz. melléklet Karcag Városi Önkormányzat Képviselő-testületének…/... (... ...) önkormányzati rendeletéhez (T e r v e z e t)
Karcag Városi Önkormányzat 2018. évi maradvány kimutatása
Adatok Ft-ban
Megnevezés Összeg
01.        Alaptevékenység költségvetési bevételei 4 974 597 123
02.        Alaptevékenység költségvetési kiadásai 4 019 771 247
I.          Alaptevékenység költségvetési egyenlege (=01-02) 954 825 876
03.        Alaptevékenység finanszírozási bevételei 4 513 055 358
04.        Alaptevékenység finanszírozási kiadásai 1 646 521 084
II.         Alaptevékenység finanszírozási egyenlege (=03-04) 2 866 534 274
A)        Alaptevékenység maradványa (=±I±II) 3 821 360 150
C)        Összes maradvány (=A+B) 3 821 360 150
D)        Alaptevékenység kötelezettségvállalással terhelt maradványa 3 821 360 150
ÁLTALÁNOS INDOKOLÁS
Az államháztartásról szóló 2011. évi CXCV. törvény (a továbbiakban: Áht.) 86. § (5) bekezdése értelmében az államháztartás önkormányzati alrendszerébe tartozó költségvetési szerv esetén az irányító szerv jogosult dönteni a költségvetési szerv maradványának elvonandó és felhasználható összegéről.
Az államháztartásról szóló törvény végrehajtásáról szóló 368/2011. (XII.31.) Kormányrendelet 149. § (1) bekezdése alapján a költségvetési maradványt az éves költségvetési beszámoló készítésekor kell megállapítani az államháztartási számviteli kormányrendelet előírásainak megfelelően.
Az államháztartásról szóló törvény végrehajtásáról szóló 368/2011. (XII.31.) Kormányrendelet 155. § (1) bekezdése alapján az államháztartás önkormányzati alrendszerébe tartozó költségvetési szerv költségvetési maradványából az irányító szervet megillető rész számítását az irányító szerv határozza meg. A 155. § (2) bekezdése alapján az államháztartás önkormányzati alrendszerébe tartozó költségvetési szerv költségvetési maradványát az irányító szerv a zárszámadási rendeletével, határozatával egy időben állapítja meg.
RÉSZLETES INDOKOLÁS
1-2. §-hoz
A Karcag Városi Önkormányzat 2018. évi összesített költségvetési maradványának összegéről rendelkezik.
3. §-hoz
Az Önkormányzatnál és a költségvetési szerveknél képződött maradványok felhasználható összegeiről és az elvonásról rendelkezik.
4. §-hoz
Beszámolási kötelezettségről rendelkezik.
5. §-hoz
A rendelet hatályba lépéséről rendelkezik.
 önkormányzati rendeletéhez 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</si>
</sst>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0\ _F_t"/>
  </numFmts>
  <fonts count="5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3"/>
      <name val="Times New Roman"/>
      <family val="1"/>
      <charset val="238"/>
    </font>
    <font>
      <i/>
      <u/>
      <sz val="12"/>
      <name val="Times New Roman"/>
      <family val="1"/>
      <charset val="238"/>
    </font>
    <font>
      <sz val="12"/>
      <color indexed="8"/>
      <name val="Calibri"/>
      <family val="2"/>
      <charset val="238"/>
    </font>
    <font>
      <b/>
      <i/>
      <sz val="12"/>
      <name val="Times New Roman"/>
      <family val="1"/>
      <charset val="238"/>
    </font>
    <font>
      <sz val="12"/>
      <name val="Arial"/>
      <family val="2"/>
      <charset val="238"/>
    </font>
    <font>
      <b/>
      <u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b/>
      <i/>
      <sz val="20"/>
      <name val="Times New Roman"/>
      <family val="1"/>
      <charset val="238"/>
    </font>
    <font>
      <b/>
      <i/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b/>
      <i/>
      <sz val="13"/>
      <name val="Times New Roman"/>
      <family val="1"/>
      <charset val="238"/>
    </font>
    <font>
      <sz val="13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4"/>
      <name val="Times New Roman"/>
      <family val="1"/>
      <charset val="238"/>
    </font>
    <font>
      <sz val="14"/>
      <name val="Arial"/>
      <family val="2"/>
      <charset val="238"/>
    </font>
    <font>
      <sz val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sz val="14"/>
      <name val="Arial"/>
      <family val="2"/>
      <charset val="238"/>
    </font>
    <font>
      <sz val="14"/>
      <color indexed="8"/>
      <name val="Calibri"/>
      <family val="2"/>
      <charset val="238"/>
    </font>
    <font>
      <b/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i/>
      <u/>
      <sz val="9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9"/>
      <name val="Times New Roman"/>
      <family val="1"/>
      <charset val="238"/>
    </font>
    <font>
      <u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4" fillId="0" borderId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24">
    <xf numFmtId="0" fontId="0" fillId="0" borderId="0" xfId="0"/>
    <xf numFmtId="0" fontId="2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43" fontId="3" fillId="0" borderId="0" xfId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7" fillId="2" borderId="0" xfId="0" applyFont="1" applyFill="1"/>
    <xf numFmtId="0" fontId="4" fillId="0" borderId="0" xfId="0" applyFont="1"/>
    <xf numFmtId="0" fontId="6" fillId="0" borderId="0" xfId="0" applyFont="1"/>
    <xf numFmtId="0" fontId="2" fillId="0" borderId="0" xfId="0" applyFont="1" applyFill="1" applyAlignment="1">
      <alignment vertical="center"/>
    </xf>
    <xf numFmtId="43" fontId="3" fillId="0" borderId="0" xfId="1" applyFont="1" applyFill="1" applyAlignment="1">
      <alignment vertical="center"/>
    </xf>
    <xf numFmtId="0" fontId="7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5" fillId="2" borderId="0" xfId="0" applyFont="1" applyFill="1" applyAlignment="1">
      <alignment vertical="center"/>
    </xf>
    <xf numFmtId="43" fontId="3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0" borderId="0" xfId="0" applyFont="1"/>
    <xf numFmtId="10" fontId="10" fillId="0" borderId="0" xfId="0" applyNumberFormat="1" applyFont="1"/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indent="15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right" vertical="center" wrapText="1" indent="1"/>
    </xf>
    <xf numFmtId="10" fontId="3" fillId="0" borderId="8" xfId="0" applyNumberFormat="1" applyFont="1" applyBorder="1" applyAlignment="1">
      <alignment horizontal="right" vertical="center" wrapText="1" indent="1"/>
    </xf>
    <xf numFmtId="164" fontId="2" fillId="0" borderId="14" xfId="0" applyNumberFormat="1" applyFont="1" applyBorder="1" applyAlignment="1">
      <alignment horizontal="right" vertical="center" wrapText="1" indent="1"/>
    </xf>
    <xf numFmtId="10" fontId="2" fillId="0" borderId="14" xfId="0" applyNumberFormat="1" applyFont="1" applyBorder="1" applyAlignment="1">
      <alignment horizontal="right" vertical="center" wrapText="1" indent="1"/>
    </xf>
    <xf numFmtId="164" fontId="2" fillId="0" borderId="13" xfId="0" applyNumberFormat="1" applyFont="1" applyBorder="1" applyAlignment="1">
      <alignment horizontal="left" vertical="top" wrapText="1" indent="1"/>
    </xf>
    <xf numFmtId="0" fontId="12" fillId="0" borderId="0" xfId="0" applyFont="1"/>
    <xf numFmtId="164" fontId="2" fillId="0" borderId="13" xfId="0" applyNumberFormat="1" applyFont="1" applyBorder="1" applyAlignment="1">
      <alignment horizontal="right" vertical="center" wrapText="1" indent="1"/>
    </xf>
    <xf numFmtId="3" fontId="2" fillId="0" borderId="13" xfId="0" applyNumberFormat="1" applyFont="1" applyBorder="1" applyAlignment="1">
      <alignment horizontal="right" vertical="top" wrapText="1" indent="1"/>
    </xf>
    <xf numFmtId="3" fontId="2" fillId="0" borderId="13" xfId="0" applyNumberFormat="1" applyFont="1" applyFill="1" applyBorder="1" applyAlignment="1">
      <alignment horizontal="right" vertical="top" wrapText="1" indent="1"/>
    </xf>
    <xf numFmtId="3" fontId="2" fillId="0" borderId="15" xfId="0" applyNumberFormat="1" applyFont="1" applyFill="1" applyBorder="1" applyAlignment="1">
      <alignment horizontal="right" vertical="top" wrapText="1" indent="1"/>
    </xf>
    <xf numFmtId="3" fontId="2" fillId="0" borderId="16" xfId="0" applyNumberFormat="1" applyFont="1" applyFill="1" applyBorder="1" applyAlignment="1">
      <alignment horizontal="right" vertical="top" wrapText="1" indent="1"/>
    </xf>
    <xf numFmtId="0" fontId="2" fillId="0" borderId="7" xfId="0" applyFont="1" applyBorder="1" applyAlignment="1">
      <alignment horizontal="left" vertical="top" wrapText="1" indent="1"/>
    </xf>
    <xf numFmtId="164" fontId="2" fillId="0" borderId="8" xfId="0" applyNumberFormat="1" applyFont="1" applyBorder="1" applyAlignment="1">
      <alignment horizontal="right" vertical="top" wrapText="1"/>
    </xf>
    <xf numFmtId="164" fontId="2" fillId="0" borderId="8" xfId="0" applyNumberFormat="1" applyFont="1" applyBorder="1" applyAlignment="1">
      <alignment horizontal="right" vertical="center" wrapText="1" indent="1"/>
    </xf>
    <xf numFmtId="10" fontId="2" fillId="0" borderId="8" xfId="0" applyNumberFormat="1" applyFont="1" applyBorder="1" applyAlignment="1">
      <alignment horizontal="right" vertical="center" wrapText="1" indent="1"/>
    </xf>
    <xf numFmtId="164" fontId="2" fillId="0" borderId="14" xfId="0" applyNumberFormat="1" applyFont="1" applyBorder="1" applyAlignment="1">
      <alignment horizontal="right" vertical="top" wrapText="1"/>
    </xf>
    <xf numFmtId="164" fontId="2" fillId="0" borderId="21" xfId="0" applyNumberFormat="1" applyFont="1" applyBorder="1" applyAlignment="1">
      <alignment horizontal="right" vertical="center" wrapText="1" indent="1"/>
    </xf>
    <xf numFmtId="3" fontId="2" fillId="0" borderId="13" xfId="0" applyNumberFormat="1" applyFont="1" applyBorder="1" applyAlignment="1">
      <alignment horizontal="right" vertical="center" wrapText="1" indent="1"/>
    </xf>
    <xf numFmtId="164" fontId="2" fillId="0" borderId="13" xfId="0" applyNumberFormat="1" applyFont="1" applyBorder="1" applyAlignment="1">
      <alignment vertical="top" wrapText="1"/>
    </xf>
    <xf numFmtId="10" fontId="2" fillId="0" borderId="21" xfId="0" applyNumberFormat="1" applyFont="1" applyBorder="1" applyAlignment="1">
      <alignment horizontal="right" vertical="center" wrapText="1" indent="1"/>
    </xf>
    <xf numFmtId="0" fontId="2" fillId="0" borderId="0" xfId="0" applyFont="1" applyBorder="1" applyAlignment="1">
      <alignment horizontal="left" vertical="top" wrapText="1" indent="1"/>
    </xf>
    <xf numFmtId="164" fontId="2" fillId="0" borderId="8" xfId="0" applyNumberFormat="1" applyFont="1" applyFill="1" applyBorder="1" applyAlignment="1">
      <alignment horizontal="right" vertical="center" wrapText="1" indent="1"/>
    </xf>
    <xf numFmtId="164" fontId="2" fillId="0" borderId="24" xfId="0" applyNumberFormat="1" applyFont="1" applyBorder="1" applyAlignment="1">
      <alignment horizontal="right" vertical="center" wrapText="1" indent="1"/>
    </xf>
    <xf numFmtId="164" fontId="2" fillId="0" borderId="25" xfId="0" applyNumberFormat="1" applyFont="1" applyBorder="1" applyAlignment="1">
      <alignment horizontal="right" vertical="center" wrapText="1" indent="1"/>
    </xf>
    <xf numFmtId="10" fontId="2" fillId="0" borderId="25" xfId="0" applyNumberFormat="1" applyFont="1" applyBorder="1" applyAlignment="1">
      <alignment horizontal="right" vertical="center" wrapText="1" indent="1"/>
    </xf>
    <xf numFmtId="0" fontId="14" fillId="0" borderId="0" xfId="0" applyFont="1" applyAlignment="1">
      <alignment horizontal="left"/>
    </xf>
    <xf numFmtId="0" fontId="2" fillId="0" borderId="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4" fontId="10" fillId="0" borderId="0" xfId="0" applyNumberFormat="1" applyFont="1"/>
    <xf numFmtId="164" fontId="2" fillId="0" borderId="16" xfId="0" applyNumberFormat="1" applyFont="1" applyBorder="1" applyAlignment="1">
      <alignment horizontal="right" vertical="center" wrapText="1" indent="1"/>
    </xf>
    <xf numFmtId="0" fontId="15" fillId="0" borderId="0" xfId="0" applyFont="1"/>
    <xf numFmtId="164" fontId="15" fillId="0" borderId="0" xfId="0" applyNumberFormat="1" applyFont="1"/>
    <xf numFmtId="10" fontId="15" fillId="0" borderId="0" xfId="0" applyNumberFormat="1" applyFont="1"/>
    <xf numFmtId="16" fontId="15" fillId="0" borderId="0" xfId="0" applyNumberFormat="1" applyFont="1"/>
    <xf numFmtId="0" fontId="16" fillId="0" borderId="0" xfId="0" applyFont="1" applyAlignment="1">
      <alignment horizontal="left"/>
    </xf>
    <xf numFmtId="164" fontId="16" fillId="0" borderId="0" xfId="0" applyNumberFormat="1" applyFont="1"/>
    <xf numFmtId="10" fontId="16" fillId="0" borderId="0" xfId="0" applyNumberFormat="1" applyFont="1"/>
    <xf numFmtId="0" fontId="16" fillId="0" borderId="0" xfId="0" applyFont="1"/>
    <xf numFmtId="10" fontId="16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164" fontId="18" fillId="0" borderId="0" xfId="0" applyNumberFormat="1" applyFont="1" applyAlignment="1">
      <alignment horizontal="center"/>
    </xf>
    <xf numFmtId="1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Border="1" applyAlignment="1">
      <alignment horizontal="right"/>
    </xf>
    <xf numFmtId="0" fontId="15" fillId="3" borderId="0" xfId="0" applyFont="1" applyFill="1"/>
    <xf numFmtId="164" fontId="19" fillId="3" borderId="6" xfId="0" applyNumberFormat="1" applyFont="1" applyFill="1" applyBorder="1" applyAlignment="1">
      <alignment horizontal="center" vertical="center" wrapText="1"/>
    </xf>
    <xf numFmtId="10" fontId="19" fillId="3" borderId="6" xfId="0" applyNumberFormat="1" applyFont="1" applyFill="1" applyBorder="1" applyAlignment="1">
      <alignment horizontal="center" vertical="center" wrapText="1"/>
    </xf>
    <xf numFmtId="3" fontId="19" fillId="0" borderId="33" xfId="0" applyNumberFormat="1" applyFont="1" applyBorder="1" applyAlignment="1">
      <alignment horizontal="center" vertical="center" wrapText="1"/>
    </xf>
    <xf numFmtId="10" fontId="19" fillId="0" borderId="33" xfId="0" applyNumberFormat="1" applyFont="1" applyBorder="1" applyAlignment="1">
      <alignment horizontal="center" vertical="center" wrapText="1"/>
    </xf>
    <xf numFmtId="3" fontId="15" fillId="0" borderId="21" xfId="0" applyNumberFormat="1" applyFont="1" applyBorder="1" applyAlignment="1">
      <alignment vertical="center" wrapText="1"/>
    </xf>
    <xf numFmtId="10" fontId="15" fillId="0" borderId="21" xfId="0" applyNumberFormat="1" applyFont="1" applyBorder="1" applyAlignment="1">
      <alignment vertical="center" wrapText="1"/>
    </xf>
    <xf numFmtId="3" fontId="19" fillId="0" borderId="21" xfId="0" applyNumberFormat="1" applyFont="1" applyBorder="1" applyAlignment="1">
      <alignment vertical="center" wrapText="1"/>
    </xf>
    <xf numFmtId="10" fontId="19" fillId="0" borderId="21" xfId="0" applyNumberFormat="1" applyFont="1" applyBorder="1" applyAlignment="1">
      <alignment vertical="center" wrapText="1"/>
    </xf>
    <xf numFmtId="3" fontId="15" fillId="0" borderId="0" xfId="0" applyNumberFormat="1" applyFont="1"/>
    <xf numFmtId="3" fontId="15" fillId="0" borderId="21" xfId="0" applyNumberFormat="1" applyFont="1" applyBorder="1" applyAlignment="1"/>
    <xf numFmtId="0" fontId="15" fillId="0" borderId="18" xfId="0" applyFont="1" applyFill="1" applyBorder="1" applyAlignment="1">
      <alignment horizontal="left" vertical="center" wrapText="1"/>
    </xf>
    <xf numFmtId="3" fontId="15" fillId="0" borderId="18" xfId="0" applyNumberFormat="1" applyFont="1" applyFill="1" applyBorder="1" applyAlignment="1">
      <alignment vertical="center" wrapText="1"/>
    </xf>
    <xf numFmtId="3" fontId="15" fillId="0" borderId="18" xfId="0" applyNumberFormat="1" applyFont="1" applyFill="1" applyBorder="1" applyAlignment="1">
      <alignment vertical="center"/>
    </xf>
    <xf numFmtId="3" fontId="15" fillId="0" borderId="18" xfId="0" applyNumberFormat="1" applyFont="1" applyFill="1" applyBorder="1" applyAlignment="1"/>
    <xf numFmtId="0" fontId="15" fillId="0" borderId="0" xfId="0" applyFont="1" applyFill="1"/>
    <xf numFmtId="3" fontId="19" fillId="3" borderId="6" xfId="0" applyNumberFormat="1" applyFont="1" applyFill="1" applyBorder="1" applyAlignment="1">
      <alignment vertical="center" wrapText="1"/>
    </xf>
    <xf numFmtId="10" fontId="19" fillId="3" borderId="6" xfId="0" applyNumberFormat="1" applyFont="1" applyFill="1" applyBorder="1" applyAlignment="1">
      <alignment vertical="center" wrapText="1"/>
    </xf>
    <xf numFmtId="0" fontId="19" fillId="3" borderId="0" xfId="0" applyFont="1" applyFill="1"/>
    <xf numFmtId="3" fontId="15" fillId="0" borderId="37" xfId="0" applyNumberFormat="1" applyFont="1" applyBorder="1" applyAlignment="1">
      <alignment vertical="center" wrapText="1"/>
    </xf>
    <xf numFmtId="10" fontId="15" fillId="0" borderId="37" xfId="0" applyNumberFormat="1" applyFont="1" applyBorder="1" applyAlignment="1">
      <alignment vertical="center" wrapText="1"/>
    </xf>
    <xf numFmtId="0" fontId="2" fillId="0" borderId="0" xfId="0" applyFont="1"/>
    <xf numFmtId="0" fontId="2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left"/>
    </xf>
    <xf numFmtId="0" fontId="23" fillId="0" borderId="0" xfId="0" applyFont="1" applyBorder="1"/>
    <xf numFmtId="0" fontId="23" fillId="0" borderId="0" xfId="0" applyFont="1"/>
    <xf numFmtId="0" fontId="11" fillId="0" borderId="0" xfId="0" applyFont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24" fillId="3" borderId="0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0" fillId="3" borderId="0" xfId="0" applyFill="1" applyBorder="1"/>
    <xf numFmtId="0" fontId="0" fillId="3" borderId="6" xfId="0" applyFill="1" applyBorder="1"/>
    <xf numFmtId="164" fontId="7" fillId="3" borderId="32" xfId="0" applyNumberFormat="1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" fillId="0" borderId="37" xfId="0" applyFont="1" applyBorder="1" applyAlignment="1">
      <alignment horizontal="left" vertical="center" wrapText="1" indent="1"/>
    </xf>
    <xf numFmtId="3" fontId="2" fillId="0" borderId="37" xfId="0" applyNumberFormat="1" applyFont="1" applyBorder="1" applyAlignment="1">
      <alignment vertical="center" wrapText="1"/>
    </xf>
    <xf numFmtId="10" fontId="2" fillId="0" borderId="37" xfId="0" applyNumberFormat="1" applyFont="1" applyBorder="1" applyAlignment="1">
      <alignment vertical="center" wrapText="1"/>
    </xf>
    <xf numFmtId="3" fontId="3" fillId="0" borderId="37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/>
    </xf>
    <xf numFmtId="0" fontId="2" fillId="0" borderId="18" xfId="0" applyFont="1" applyBorder="1" applyAlignment="1">
      <alignment horizontal="left" vertical="center" wrapText="1" indent="1"/>
    </xf>
    <xf numFmtId="3" fontId="2" fillId="0" borderId="18" xfId="0" applyNumberFormat="1" applyFont="1" applyBorder="1" applyAlignment="1">
      <alignment vertical="center" wrapText="1"/>
    </xf>
    <xf numFmtId="3" fontId="2" fillId="0" borderId="25" xfId="0" applyNumberFormat="1" applyFont="1" applyBorder="1" applyAlignment="1">
      <alignment vertical="center" wrapText="1"/>
    </xf>
    <xf numFmtId="0" fontId="3" fillId="3" borderId="6" xfId="0" applyFont="1" applyFill="1" applyBorder="1" applyAlignment="1">
      <alignment horizontal="left" vertical="center" wrapText="1" indent="1"/>
    </xf>
    <xf numFmtId="3" fontId="3" fillId="3" borderId="6" xfId="0" applyNumberFormat="1" applyFont="1" applyFill="1" applyBorder="1" applyAlignment="1">
      <alignment vertical="center" wrapText="1"/>
    </xf>
    <xf numFmtId="10" fontId="3" fillId="3" borderId="6" xfId="0" applyNumberFormat="1" applyFont="1" applyFill="1" applyBorder="1" applyAlignment="1">
      <alignment vertical="center" wrapText="1"/>
    </xf>
    <xf numFmtId="3" fontId="25" fillId="3" borderId="0" xfId="0" applyNumberFormat="1" applyFont="1" applyFill="1" applyBorder="1" applyAlignment="1">
      <alignment vertical="center"/>
    </xf>
    <xf numFmtId="0" fontId="25" fillId="3" borderId="0" xfId="0" applyFont="1" applyFill="1" applyBorder="1" applyAlignment="1">
      <alignment vertical="center"/>
    </xf>
    <xf numFmtId="0" fontId="25" fillId="3" borderId="0" xfId="0" applyFont="1" applyFill="1" applyAlignment="1">
      <alignment vertical="center"/>
    </xf>
    <xf numFmtId="10" fontId="2" fillId="0" borderId="25" xfId="0" applyNumberFormat="1" applyFont="1" applyBorder="1" applyAlignment="1">
      <alignment vertical="center" wrapText="1"/>
    </xf>
    <xf numFmtId="3" fontId="3" fillId="0" borderId="25" xfId="0" applyNumberFormat="1" applyFont="1" applyBorder="1" applyAlignment="1">
      <alignment vertical="center" wrapText="1"/>
    </xf>
    <xf numFmtId="0" fontId="26" fillId="3" borderId="0" xfId="0" applyFont="1" applyFill="1" applyBorder="1" applyAlignment="1">
      <alignment vertical="center"/>
    </xf>
    <xf numFmtId="0" fontId="26" fillId="3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 indent="1"/>
    </xf>
    <xf numFmtId="3" fontId="2" fillId="0" borderId="25" xfId="0" applyNumberFormat="1" applyFont="1" applyFill="1" applyBorder="1" applyAlignment="1">
      <alignment vertical="center" wrapText="1"/>
    </xf>
    <xf numFmtId="3" fontId="2" fillId="0" borderId="37" xfId="0" applyNumberFormat="1" applyFont="1" applyFill="1" applyBorder="1" applyAlignment="1">
      <alignment vertical="center" wrapText="1"/>
    </xf>
    <xf numFmtId="10" fontId="2" fillId="0" borderId="37" xfId="0" applyNumberFormat="1" applyFont="1" applyFill="1" applyBorder="1" applyAlignment="1">
      <alignment vertical="center" wrapText="1"/>
    </xf>
    <xf numFmtId="3" fontId="3" fillId="0" borderId="37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left" vertical="center" wrapText="1" indent="1"/>
    </xf>
    <xf numFmtId="3" fontId="2" fillId="0" borderId="18" xfId="0" applyNumberFormat="1" applyFont="1" applyFill="1" applyBorder="1" applyAlignment="1">
      <alignment vertical="center" wrapText="1"/>
    </xf>
    <xf numFmtId="0" fontId="2" fillId="0" borderId="25" xfId="0" applyFont="1" applyBorder="1" applyAlignment="1">
      <alignment horizontal="left" vertical="center" wrapText="1" indent="1"/>
    </xf>
    <xf numFmtId="3" fontId="2" fillId="0" borderId="32" xfId="0" applyNumberFormat="1" applyFont="1" applyBorder="1" applyAlignment="1">
      <alignment vertical="center" wrapText="1"/>
    </xf>
    <xf numFmtId="10" fontId="2" fillId="0" borderId="6" xfId="0" applyNumberFormat="1" applyFont="1" applyBorder="1" applyAlignment="1">
      <alignment vertical="center" wrapText="1"/>
    </xf>
    <xf numFmtId="3" fontId="3" fillId="0" borderId="32" xfId="0" applyNumberFormat="1" applyFont="1" applyBorder="1" applyAlignment="1">
      <alignment vertical="center" wrapText="1"/>
    </xf>
    <xf numFmtId="10" fontId="3" fillId="0" borderId="6" xfId="0" applyNumberFormat="1" applyFont="1" applyBorder="1" applyAlignment="1">
      <alignment vertical="center" wrapText="1"/>
    </xf>
    <xf numFmtId="0" fontId="2" fillId="0" borderId="33" xfId="0" applyFont="1" applyBorder="1" applyAlignment="1">
      <alignment horizontal="left" vertical="center" wrapText="1" indent="1"/>
    </xf>
    <xf numFmtId="3" fontId="2" fillId="0" borderId="33" xfId="0" applyNumberFormat="1" applyFont="1" applyBorder="1" applyAlignment="1">
      <alignment vertical="center" wrapText="1"/>
    </xf>
    <xf numFmtId="10" fontId="2" fillId="0" borderId="18" xfId="0" applyNumberFormat="1" applyFont="1" applyBorder="1" applyAlignment="1">
      <alignment vertical="center" wrapText="1"/>
    </xf>
    <xf numFmtId="10" fontId="2" fillId="0" borderId="18" xfId="0" applyNumberFormat="1" applyFont="1" applyFill="1" applyBorder="1" applyAlignment="1">
      <alignment vertical="center" wrapText="1"/>
    </xf>
    <xf numFmtId="0" fontId="3" fillId="0" borderId="32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horizontal="left" vertical="center" wrapText="1" indent="1"/>
    </xf>
    <xf numFmtId="3" fontId="3" fillId="0" borderId="6" xfId="0" applyNumberFormat="1" applyFont="1" applyBorder="1" applyAlignment="1">
      <alignment vertical="center" wrapText="1"/>
    </xf>
    <xf numFmtId="3" fontId="3" fillId="0" borderId="33" xfId="0" applyNumberFormat="1" applyFont="1" applyBorder="1" applyAlignment="1">
      <alignment vertical="center" wrapText="1"/>
    </xf>
    <xf numFmtId="0" fontId="3" fillId="0" borderId="33" xfId="0" applyFont="1" applyBorder="1" applyAlignment="1">
      <alignment horizontal="left" vertical="center" wrapText="1" indent="1"/>
    </xf>
    <xf numFmtId="0" fontId="3" fillId="3" borderId="39" xfId="0" applyFont="1" applyFill="1" applyBorder="1" applyAlignment="1">
      <alignment horizontal="left" vertical="center" wrapText="1" indent="1"/>
    </xf>
    <xf numFmtId="3" fontId="3" fillId="3" borderId="39" xfId="0" applyNumberFormat="1" applyFont="1" applyFill="1" applyBorder="1" applyAlignment="1">
      <alignment vertical="center" wrapText="1"/>
    </xf>
    <xf numFmtId="0" fontId="0" fillId="3" borderId="0" xfId="0" applyFill="1"/>
    <xf numFmtId="164" fontId="0" fillId="0" borderId="0" xfId="0" applyNumberFormat="1"/>
    <xf numFmtId="164" fontId="24" fillId="0" borderId="0" xfId="0" applyNumberFormat="1" applyFont="1"/>
    <xf numFmtId="0" fontId="13" fillId="0" borderId="25" xfId="0" applyFont="1" applyFill="1" applyBorder="1" applyAlignment="1">
      <alignment horizontal="left" vertical="center" wrapText="1" indent="1"/>
    </xf>
    <xf numFmtId="10" fontId="2" fillId="0" borderId="25" xfId="0" applyNumberFormat="1" applyFont="1" applyFill="1" applyBorder="1" applyAlignment="1">
      <alignment vertical="center" wrapText="1"/>
    </xf>
    <xf numFmtId="3" fontId="3" fillId="0" borderId="25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3" fontId="12" fillId="0" borderId="0" xfId="0" applyNumberFormat="1" applyFont="1" applyFill="1"/>
    <xf numFmtId="10" fontId="12" fillId="0" borderId="0" xfId="0" applyNumberFormat="1" applyFont="1" applyFill="1"/>
    <xf numFmtId="0" fontId="12" fillId="0" borderId="0" xfId="0" applyFont="1" applyFill="1"/>
    <xf numFmtId="10" fontId="12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/>
    </xf>
    <xf numFmtId="3" fontId="0" fillId="0" borderId="0" xfId="0" applyNumberFormat="1" applyFill="1"/>
    <xf numFmtId="10" fontId="0" fillId="0" borderId="0" xfId="0" applyNumberFormat="1" applyFill="1"/>
    <xf numFmtId="0" fontId="0" fillId="0" borderId="0" xfId="0" applyFill="1"/>
    <xf numFmtId="0" fontId="27" fillId="0" borderId="0" xfId="0" applyFont="1" applyFill="1" applyAlignment="1">
      <alignment horizontal="center"/>
    </xf>
    <xf numFmtId="0" fontId="11" fillId="0" borderId="0" xfId="0" applyFont="1" applyFill="1" applyAlignment="1"/>
    <xf numFmtId="0" fontId="3" fillId="0" borderId="0" xfId="0" applyFont="1" applyFill="1" applyAlignment="1">
      <alignment horizontal="center"/>
    </xf>
    <xf numFmtId="10" fontId="11" fillId="0" borderId="0" xfId="0" applyNumberFormat="1" applyFont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0" fillId="3" borderId="7" xfId="0" applyFill="1" applyBorder="1"/>
    <xf numFmtId="164" fontId="7" fillId="3" borderId="6" xfId="0" applyNumberFormat="1" applyFont="1" applyFill="1" applyBorder="1" applyAlignment="1">
      <alignment horizontal="center" vertical="center" wrapText="1"/>
    </xf>
    <xf numFmtId="10" fontId="7" fillId="3" borderId="6" xfId="0" applyNumberFormat="1" applyFont="1" applyFill="1" applyBorder="1" applyAlignment="1">
      <alignment horizontal="center" vertical="center" wrapText="1"/>
    </xf>
    <xf numFmtId="10" fontId="4" fillId="0" borderId="25" xfId="0" applyNumberFormat="1" applyFont="1" applyBorder="1" applyAlignment="1">
      <alignment vertical="center" wrapText="1"/>
    </xf>
    <xf numFmtId="3" fontId="25" fillId="0" borderId="0" xfId="0" applyNumberFormat="1" applyFont="1" applyAlignment="1">
      <alignment vertical="center"/>
    </xf>
    <xf numFmtId="0" fontId="2" fillId="0" borderId="37" xfId="0" applyFont="1" applyFill="1" applyBorder="1" applyAlignment="1">
      <alignment horizontal="left" vertical="center" wrapText="1" indent="1"/>
    </xf>
    <xf numFmtId="0" fontId="3" fillId="3" borderId="40" xfId="0" applyFont="1" applyFill="1" applyBorder="1" applyAlignment="1">
      <alignment horizontal="left" vertical="center" wrapText="1" indent="1"/>
    </xf>
    <xf numFmtId="3" fontId="3" fillId="3" borderId="40" xfId="0" applyNumberFormat="1" applyFont="1" applyFill="1" applyBorder="1" applyAlignment="1">
      <alignment vertical="center" wrapText="1"/>
    </xf>
    <xf numFmtId="10" fontId="3" fillId="3" borderId="40" xfId="0" applyNumberFormat="1" applyFont="1" applyFill="1" applyBorder="1" applyAlignment="1">
      <alignment vertical="center" wrapText="1"/>
    </xf>
    <xf numFmtId="10" fontId="2" fillId="0" borderId="0" xfId="0" applyNumberFormat="1" applyFont="1"/>
    <xf numFmtId="10" fontId="6" fillId="0" borderId="0" xfId="0" applyNumberFormat="1" applyFont="1"/>
    <xf numFmtId="0" fontId="28" fillId="0" borderId="0" xfId="0" applyFont="1"/>
    <xf numFmtId="0" fontId="28" fillId="0" borderId="0" xfId="0" applyFont="1" applyBorder="1"/>
    <xf numFmtId="0" fontId="3" fillId="5" borderId="6" xfId="0" applyFont="1" applyFill="1" applyBorder="1" applyAlignment="1">
      <alignment horizontal="left" vertical="center" wrapText="1" indent="1"/>
    </xf>
    <xf numFmtId="3" fontId="3" fillId="5" borderId="6" xfId="0" applyNumberFormat="1" applyFont="1" applyFill="1" applyBorder="1" applyAlignment="1">
      <alignment vertical="center" wrapText="1"/>
    </xf>
    <xf numFmtId="10" fontId="3" fillId="5" borderId="6" xfId="0" applyNumberFormat="1" applyFont="1" applyFill="1" applyBorder="1" applyAlignment="1">
      <alignment vertical="center" wrapText="1"/>
    </xf>
    <xf numFmtId="0" fontId="25" fillId="5" borderId="0" xfId="0" applyFont="1" applyFill="1" applyBorder="1" applyAlignment="1">
      <alignment vertical="center"/>
    </xf>
    <xf numFmtId="0" fontId="25" fillId="5" borderId="0" xfId="0" applyFont="1" applyFill="1" applyAlignment="1">
      <alignment vertical="center"/>
    </xf>
    <xf numFmtId="3" fontId="2" fillId="0" borderId="6" xfId="0" applyNumberFormat="1" applyFont="1" applyBorder="1" applyAlignment="1">
      <alignment vertical="center" wrapText="1"/>
    </xf>
    <xf numFmtId="3" fontId="25" fillId="5" borderId="0" xfId="0" applyNumberFormat="1" applyFont="1" applyFill="1" applyAlignment="1">
      <alignment vertical="center"/>
    </xf>
    <xf numFmtId="3" fontId="2" fillId="0" borderId="21" xfId="0" applyNumberFormat="1" applyFont="1" applyBorder="1" applyAlignment="1">
      <alignment vertical="center" wrapText="1"/>
    </xf>
    <xf numFmtId="10" fontId="3" fillId="0" borderId="32" xfId="0" applyNumberFormat="1" applyFont="1" applyBorder="1" applyAlignment="1">
      <alignment vertical="center" wrapText="1"/>
    </xf>
    <xf numFmtId="3" fontId="0" fillId="5" borderId="0" xfId="0" applyNumberFormat="1" applyFill="1" applyBorder="1"/>
    <xf numFmtId="0" fontId="0" fillId="5" borderId="0" xfId="0" applyFill="1" applyBorder="1"/>
    <xf numFmtId="0" fontId="0" fillId="5" borderId="0" xfId="0" applyFill="1"/>
    <xf numFmtId="0" fontId="29" fillId="0" borderId="0" xfId="0" applyFont="1" applyAlignment="1">
      <alignment vertical="center"/>
    </xf>
    <xf numFmtId="0" fontId="29" fillId="0" borderId="0" xfId="0" applyFont="1"/>
    <xf numFmtId="10" fontId="29" fillId="0" borderId="0" xfId="0" applyNumberFormat="1" applyFont="1"/>
    <xf numFmtId="3" fontId="29" fillId="0" borderId="0" xfId="0" applyNumberFormat="1" applyFont="1"/>
    <xf numFmtId="10" fontId="0" fillId="0" borderId="0" xfId="0" applyNumberFormat="1"/>
    <xf numFmtId="0" fontId="4" fillId="0" borderId="0" xfId="0" applyFont="1" applyAlignment="1">
      <alignment horizontal="left"/>
    </xf>
    <xf numFmtId="0" fontId="20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6" fillId="2" borderId="0" xfId="0" applyFont="1" applyFill="1"/>
    <xf numFmtId="0" fontId="5" fillId="2" borderId="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32" fillId="0" borderId="22" xfId="0" applyFont="1" applyBorder="1" applyAlignment="1">
      <alignment vertical="top" wrapText="1"/>
    </xf>
    <xf numFmtId="0" fontId="32" fillId="0" borderId="28" xfId="0" applyFont="1" applyBorder="1" applyAlignment="1">
      <alignment vertical="top" wrapText="1"/>
    </xf>
    <xf numFmtId="3" fontId="33" fillId="0" borderId="24" xfId="0" applyNumberFormat="1" applyFont="1" applyBorder="1" applyAlignment="1">
      <alignment horizontal="right" vertical="center" wrapText="1" indent="1"/>
    </xf>
    <xf numFmtId="3" fontId="33" fillId="0" borderId="8" xfId="0" applyNumberFormat="1" applyFont="1" applyFill="1" applyBorder="1" applyAlignment="1">
      <alignment horizontal="right" vertical="center" wrapText="1" indent="1"/>
    </xf>
    <xf numFmtId="3" fontId="33" fillId="0" borderId="8" xfId="0" applyNumberFormat="1" applyFont="1" applyBorder="1" applyAlignment="1">
      <alignment horizontal="right" vertical="center" wrapText="1" indent="1"/>
    </xf>
    <xf numFmtId="0" fontId="6" fillId="0" borderId="37" xfId="0" applyFont="1" applyBorder="1"/>
    <xf numFmtId="0" fontId="4" fillId="0" borderId="12" xfId="0" applyFont="1" applyBorder="1"/>
    <xf numFmtId="0" fontId="4" fillId="0" borderId="14" xfId="0" applyFont="1" applyBorder="1"/>
    <xf numFmtId="3" fontId="33" fillId="0" borderId="14" xfId="0" applyNumberFormat="1" applyFont="1" applyBorder="1" applyAlignment="1">
      <alignment horizontal="right" vertical="center" wrapText="1" indent="1"/>
    </xf>
    <xf numFmtId="3" fontId="33" fillId="0" borderId="14" xfId="0" applyNumberFormat="1" applyFont="1" applyFill="1" applyBorder="1" applyAlignment="1">
      <alignment horizontal="right" vertical="center" wrapText="1" indent="1"/>
    </xf>
    <xf numFmtId="0" fontId="4" fillId="0" borderId="21" xfId="0" applyFont="1" applyBorder="1"/>
    <xf numFmtId="0" fontId="33" fillId="0" borderId="12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vertical="top" wrapText="1"/>
    </xf>
    <xf numFmtId="0" fontId="33" fillId="0" borderId="14" xfId="0" applyFont="1" applyBorder="1" applyAlignment="1">
      <alignment vertical="top" wrapText="1"/>
    </xf>
    <xf numFmtId="0" fontId="6" fillId="0" borderId="21" xfId="0" applyFont="1" applyBorder="1"/>
    <xf numFmtId="0" fontId="33" fillId="0" borderId="14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center" vertical="center"/>
    </xf>
    <xf numFmtId="3" fontId="33" fillId="0" borderId="21" xfId="0" applyNumberFormat="1" applyFont="1" applyBorder="1" applyAlignment="1">
      <alignment horizontal="right" vertical="center" wrapText="1" indent="1"/>
    </xf>
    <xf numFmtId="3" fontId="33" fillId="0" borderId="21" xfId="0" applyNumberFormat="1" applyFont="1" applyFill="1" applyBorder="1" applyAlignment="1">
      <alignment horizontal="right" vertical="center" wrapText="1" indent="1"/>
    </xf>
    <xf numFmtId="0" fontId="33" fillId="0" borderId="16" xfId="0" applyFont="1" applyBorder="1" applyAlignment="1">
      <alignment vertical="top" wrapText="1"/>
    </xf>
    <xf numFmtId="3" fontId="33" fillId="0" borderId="16" xfId="0" applyNumberFormat="1" applyFont="1" applyBorder="1" applyAlignment="1">
      <alignment horizontal="right" vertical="center" wrapText="1" indent="1"/>
    </xf>
    <xf numFmtId="0" fontId="30" fillId="0" borderId="20" xfId="0" applyFont="1" applyBorder="1" applyAlignment="1">
      <alignment vertical="top" wrapText="1"/>
    </xf>
    <xf numFmtId="3" fontId="30" fillId="0" borderId="20" xfId="0" applyNumberFormat="1" applyFont="1" applyBorder="1" applyAlignment="1">
      <alignment horizontal="right" vertical="center" wrapText="1" indent="1"/>
    </xf>
    <xf numFmtId="3" fontId="30" fillId="0" borderId="20" xfId="0" applyNumberFormat="1" applyFont="1" applyFill="1" applyBorder="1" applyAlignment="1">
      <alignment horizontal="right" vertical="center" wrapText="1" indent="1"/>
    </xf>
    <xf numFmtId="0" fontId="4" fillId="0" borderId="37" xfId="0" applyFont="1" applyBorder="1" applyAlignment="1">
      <alignment horizontal="center" vertical="center"/>
    </xf>
    <xf numFmtId="0" fontId="32" fillId="0" borderId="7" xfId="0" applyFont="1" applyBorder="1" applyAlignment="1">
      <alignment vertical="top" wrapText="1"/>
    </xf>
    <xf numFmtId="0" fontId="32" fillId="0" borderId="11" xfId="0" applyFont="1" applyBorder="1" applyAlignment="1">
      <alignment vertical="top" wrapText="1"/>
    </xf>
    <xf numFmtId="3" fontId="2" fillId="0" borderId="0" xfId="0" applyNumberFormat="1" applyFont="1" applyAlignment="1">
      <alignment vertical="center"/>
    </xf>
    <xf numFmtId="3" fontId="15" fillId="0" borderId="18" xfId="0" applyNumberFormat="1" applyFont="1" applyBorder="1" applyAlignment="1"/>
    <xf numFmtId="10" fontId="2" fillId="0" borderId="32" xfId="0" applyNumberFormat="1" applyFont="1" applyBorder="1" applyAlignment="1">
      <alignment vertical="center" wrapText="1"/>
    </xf>
    <xf numFmtId="0" fontId="35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12" fillId="0" borderId="0" xfId="0" applyFont="1" applyFill="1" applyBorder="1"/>
    <xf numFmtId="0" fontId="24" fillId="0" borderId="0" xfId="0" applyFont="1" applyFill="1" applyBorder="1"/>
    <xf numFmtId="0" fontId="0" fillId="0" borderId="0" xfId="0" applyFill="1" applyBorder="1"/>
    <xf numFmtId="0" fontId="35" fillId="3" borderId="0" xfId="0" applyFont="1" applyFill="1" applyBorder="1"/>
    <xf numFmtId="0" fontId="35" fillId="3" borderId="6" xfId="0" applyFont="1" applyFill="1" applyBorder="1"/>
    <xf numFmtId="3" fontId="37" fillId="6" borderId="22" xfId="0" applyNumberFormat="1" applyFont="1" applyFill="1" applyBorder="1" applyAlignment="1">
      <alignment horizontal="left" vertical="center" wrapText="1"/>
    </xf>
    <xf numFmtId="3" fontId="37" fillId="6" borderId="23" xfId="0" applyNumberFormat="1" applyFont="1" applyFill="1" applyBorder="1" applyAlignment="1">
      <alignment horizontal="right" vertical="center" wrapText="1" indent="1"/>
    </xf>
    <xf numFmtId="0" fontId="36" fillId="0" borderId="6" xfId="0" applyFont="1" applyFill="1" applyBorder="1"/>
    <xf numFmtId="0" fontId="36" fillId="3" borderId="0" xfId="0" applyFont="1" applyFill="1" applyBorder="1"/>
    <xf numFmtId="0" fontId="36" fillId="3" borderId="6" xfId="0" applyFont="1" applyFill="1" applyBorder="1"/>
    <xf numFmtId="0" fontId="36" fillId="3" borderId="33" xfId="0" applyFont="1" applyFill="1" applyBorder="1"/>
    <xf numFmtId="3" fontId="3" fillId="0" borderId="0" xfId="0" applyNumberFormat="1" applyFont="1" applyFill="1" applyBorder="1"/>
    <xf numFmtId="0" fontId="38" fillId="0" borderId="0" xfId="0" applyFont="1" applyFill="1" applyBorder="1" applyAlignment="1">
      <alignment vertical="center"/>
    </xf>
    <xf numFmtId="3" fontId="35" fillId="0" borderId="0" xfId="0" applyNumberFormat="1" applyFont="1" applyFill="1" applyBorder="1" applyAlignment="1">
      <alignment vertical="center"/>
    </xf>
    <xf numFmtId="3" fontId="34" fillId="0" borderId="0" xfId="0" applyNumberFormat="1" applyFont="1" applyFill="1" applyBorder="1"/>
    <xf numFmtId="0" fontId="0" fillId="0" borderId="20" xfId="0" applyFill="1" applyBorder="1"/>
    <xf numFmtId="0" fontId="0" fillId="0" borderId="6" xfId="0" applyFill="1" applyBorder="1"/>
    <xf numFmtId="0" fontId="0" fillId="0" borderId="0" xfId="0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/>
    <xf numFmtId="0" fontId="0" fillId="0" borderId="6" xfId="0" applyFill="1" applyBorder="1" applyAlignment="1">
      <alignment vertical="center"/>
    </xf>
    <xf numFmtId="0" fontId="24" fillId="0" borderId="4" xfId="0" applyFont="1" applyFill="1" applyBorder="1"/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/>
    <xf numFmtId="0" fontId="28" fillId="0" borderId="0" xfId="0" applyFont="1" applyFill="1" applyBorder="1"/>
    <xf numFmtId="0" fontId="42" fillId="0" borderId="0" xfId="0" applyFont="1" applyFill="1" applyBorder="1"/>
    <xf numFmtId="0" fontId="42" fillId="0" borderId="35" xfId="0" applyFont="1" applyFill="1" applyBorder="1"/>
    <xf numFmtId="3" fontId="36" fillId="0" borderId="13" xfId="0" applyNumberFormat="1" applyFont="1" applyFill="1" applyBorder="1" applyAlignment="1">
      <alignment horizontal="right" vertical="center" indent="1"/>
    </xf>
    <xf numFmtId="0" fontId="42" fillId="0" borderId="20" xfId="0" applyFont="1" applyFill="1" applyBorder="1"/>
    <xf numFmtId="0" fontId="42" fillId="0" borderId="6" xfId="0" applyFont="1" applyFill="1" applyBorder="1"/>
    <xf numFmtId="0" fontId="42" fillId="0" borderId="0" xfId="0" applyFont="1" applyFill="1" applyBorder="1" applyAlignment="1">
      <alignment vertical="center"/>
    </xf>
    <xf numFmtId="0" fontId="42" fillId="0" borderId="6" xfId="0" applyFont="1" applyFill="1" applyBorder="1" applyAlignment="1">
      <alignment vertical="center"/>
    </xf>
    <xf numFmtId="0" fontId="41" fillId="0" borderId="4" xfId="0" applyFont="1" applyFill="1" applyBorder="1"/>
    <xf numFmtId="10" fontId="36" fillId="0" borderId="21" xfId="0" applyNumberFormat="1" applyFont="1" applyFill="1" applyBorder="1" applyAlignment="1">
      <alignment horizontal="right" vertical="center" indent="1"/>
    </xf>
    <xf numFmtId="3" fontId="36" fillId="0" borderId="9" xfId="0" applyNumberFormat="1" applyFont="1" applyFill="1" applyBorder="1" applyAlignment="1">
      <alignment horizontal="left" vertical="center" wrapText="1"/>
    </xf>
    <xf numFmtId="3" fontId="36" fillId="0" borderId="11" xfId="0" applyNumberFormat="1" applyFont="1" applyFill="1" applyBorder="1" applyAlignment="1">
      <alignment horizontal="right" vertical="center" wrapText="1" indent="1"/>
    </xf>
    <xf numFmtId="3" fontId="36" fillId="0" borderId="37" xfId="0" applyNumberFormat="1" applyFont="1" applyFill="1" applyBorder="1" applyAlignment="1">
      <alignment horizontal="right" vertical="center" indent="1"/>
    </xf>
    <xf numFmtId="10" fontId="36" fillId="0" borderId="37" xfId="0" applyNumberFormat="1" applyFont="1" applyFill="1" applyBorder="1" applyAlignment="1">
      <alignment horizontal="right" vertical="center" indent="1"/>
    </xf>
    <xf numFmtId="10" fontId="36" fillId="0" borderId="6" xfId="0" applyNumberFormat="1" applyFont="1" applyFill="1" applyBorder="1" applyAlignment="1">
      <alignment horizontal="right" vertical="center" indent="1"/>
    </xf>
    <xf numFmtId="10" fontId="35" fillId="0" borderId="21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/>
    <xf numFmtId="0" fontId="11" fillId="0" borderId="35" xfId="0" applyFont="1" applyFill="1" applyBorder="1" applyAlignment="1">
      <alignment horizontal="center"/>
    </xf>
    <xf numFmtId="0" fontId="6" fillId="0" borderId="35" xfId="0" applyFont="1" applyFill="1" applyBorder="1" applyAlignment="1"/>
    <xf numFmtId="0" fontId="43" fillId="0" borderId="33" xfId="0" applyFont="1" applyFill="1" applyBorder="1" applyAlignment="1">
      <alignment horizontal="left" vertical="center" wrapText="1"/>
    </xf>
    <xf numFmtId="3" fontId="29" fillId="0" borderId="8" xfId="0" applyNumberFormat="1" applyFont="1" applyFill="1" applyBorder="1" applyAlignment="1">
      <alignment horizontal="right" vertical="center" wrapText="1"/>
    </xf>
    <xf numFmtId="3" fontId="29" fillId="0" borderId="33" xfId="0" applyNumberFormat="1" applyFont="1" applyFill="1" applyBorder="1" applyAlignment="1">
      <alignment horizontal="right" vertical="center"/>
    </xf>
    <xf numFmtId="3" fontId="29" fillId="0" borderId="8" xfId="0" applyNumberFormat="1" applyFont="1" applyFill="1" applyBorder="1" applyAlignment="1">
      <alignment horizontal="right" vertical="center"/>
    </xf>
    <xf numFmtId="0" fontId="4" fillId="0" borderId="6" xfId="0" applyFont="1" applyFill="1" applyBorder="1"/>
    <xf numFmtId="0" fontId="29" fillId="0" borderId="6" xfId="0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right" vertical="center" wrapText="1" indent="1"/>
    </xf>
    <xf numFmtId="3" fontId="4" fillId="0" borderId="6" xfId="0" applyNumberFormat="1" applyFont="1" applyFill="1" applyBorder="1" applyAlignment="1">
      <alignment horizontal="right" vertical="center" wrapText="1" indent="1"/>
    </xf>
    <xf numFmtId="4" fontId="4" fillId="0" borderId="6" xfId="0" applyNumberFormat="1" applyFont="1" applyFill="1" applyBorder="1" applyAlignment="1">
      <alignment horizontal="right" vertical="center" indent="1"/>
    </xf>
    <xf numFmtId="3" fontId="4" fillId="0" borderId="6" xfId="0" applyNumberFormat="1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center"/>
    </xf>
    <xf numFmtId="0" fontId="43" fillId="0" borderId="6" xfId="0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horizontal="right" vertical="center" wrapText="1" indent="1"/>
    </xf>
    <xf numFmtId="3" fontId="5" fillId="0" borderId="6" xfId="0" applyNumberFormat="1" applyFont="1" applyFill="1" applyBorder="1" applyAlignment="1">
      <alignment horizontal="right" vertical="center" wrapText="1" indent="1"/>
    </xf>
    <xf numFmtId="4" fontId="5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0" fontId="45" fillId="0" borderId="0" xfId="0" applyFont="1" applyFill="1" applyAlignment="1">
      <alignment horizontal="left"/>
    </xf>
    <xf numFmtId="0" fontId="29" fillId="0" borderId="0" xfId="0" applyFont="1" applyFill="1"/>
    <xf numFmtId="0" fontId="29" fillId="0" borderId="0" xfId="0" applyFont="1" applyFill="1" applyAlignment="1">
      <alignment horizontal="justify"/>
    </xf>
    <xf numFmtId="0" fontId="43" fillId="2" borderId="20" xfId="0" applyFont="1" applyFill="1" applyBorder="1" applyAlignment="1">
      <alignment horizontal="center" vertical="center" wrapText="1"/>
    </xf>
    <xf numFmtId="0" fontId="43" fillId="2" borderId="24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43" fillId="2" borderId="5" xfId="0" applyFont="1" applyFill="1" applyBorder="1" applyAlignment="1">
      <alignment horizontal="center" vertical="center" wrapText="1"/>
    </xf>
    <xf numFmtId="0" fontId="43" fillId="2" borderId="32" xfId="0" applyFont="1" applyFill="1" applyBorder="1" applyAlignment="1">
      <alignment horizontal="center" vertical="center" wrapText="1"/>
    </xf>
    <xf numFmtId="0" fontId="43" fillId="2" borderId="36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left" vertical="center" wrapText="1"/>
    </xf>
    <xf numFmtId="4" fontId="5" fillId="2" borderId="6" xfId="0" applyNumberFormat="1" applyFont="1" applyFill="1" applyBorder="1" applyAlignment="1">
      <alignment horizontal="right" vertical="center" wrapText="1" indent="1"/>
    </xf>
    <xf numFmtId="3" fontId="5" fillId="2" borderId="6" xfId="0" applyNumberFormat="1" applyFont="1" applyFill="1" applyBorder="1" applyAlignment="1">
      <alignment horizontal="right" vertical="center" wrapText="1" indent="1"/>
    </xf>
    <xf numFmtId="0" fontId="0" fillId="2" borderId="0" xfId="0" applyFill="1"/>
    <xf numFmtId="0" fontId="4" fillId="7" borderId="6" xfId="0" applyFont="1" applyFill="1" applyBorder="1"/>
    <xf numFmtId="0" fontId="6" fillId="0" borderId="0" xfId="0" applyFont="1" applyAlignment="1">
      <alignment wrapText="1"/>
    </xf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2" fillId="2" borderId="0" xfId="0" applyFont="1" applyFill="1"/>
    <xf numFmtId="0" fontId="48" fillId="0" borderId="2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right" vertical="center" wrapText="1" indent="1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21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right" vertical="center" wrapText="1" indent="1"/>
    </xf>
    <xf numFmtId="0" fontId="6" fillId="0" borderId="34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righ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right" vertical="center" wrapText="1" indent="1"/>
    </xf>
    <xf numFmtId="0" fontId="49" fillId="0" borderId="34" xfId="0" applyFont="1" applyFill="1" applyBorder="1" applyAlignment="1">
      <alignment horizontal="left" vertical="center" wrapText="1" indent="1"/>
    </xf>
    <xf numFmtId="0" fontId="49" fillId="0" borderId="32" xfId="0" applyFont="1" applyFill="1" applyBorder="1" applyAlignment="1">
      <alignment horizontal="center" vertical="center" wrapText="1"/>
    </xf>
    <xf numFmtId="3" fontId="49" fillId="0" borderId="32" xfId="0" applyNumberFormat="1" applyFont="1" applyFill="1" applyBorder="1" applyAlignment="1">
      <alignment horizontal="right" vertical="center" wrapText="1" indent="1"/>
    </xf>
    <xf numFmtId="0" fontId="11" fillId="0" borderId="0" xfId="0" applyFont="1" applyFill="1"/>
    <xf numFmtId="0" fontId="6" fillId="0" borderId="0" xfId="2" applyFont="1" applyFill="1"/>
    <xf numFmtId="164" fontId="6" fillId="0" borderId="0" xfId="2" applyNumberFormat="1" applyFont="1" applyFill="1"/>
    <xf numFmtId="0" fontId="20" fillId="0" borderId="0" xfId="2" applyFont="1"/>
    <xf numFmtId="164" fontId="6" fillId="0" borderId="0" xfId="2" applyNumberFormat="1" applyFont="1"/>
    <xf numFmtId="0" fontId="6" fillId="0" borderId="0" xfId="2" applyFont="1"/>
    <xf numFmtId="0" fontId="11" fillId="0" borderId="0" xfId="2" applyFont="1" applyAlignment="1">
      <alignment horizontal="center"/>
    </xf>
    <xf numFmtId="164" fontId="11" fillId="0" borderId="0" xfId="2" applyNumberFormat="1" applyFont="1" applyAlignment="1">
      <alignment horizontal="center"/>
    </xf>
    <xf numFmtId="164" fontId="3" fillId="3" borderId="47" xfId="2" applyNumberFormat="1" applyFont="1" applyFill="1" applyBorder="1" applyAlignment="1">
      <alignment horizontal="center" vertical="center" wrapText="1"/>
    </xf>
    <xf numFmtId="0" fontId="2" fillId="3" borderId="0" xfId="2" applyFont="1" applyFill="1"/>
    <xf numFmtId="164" fontId="3" fillId="3" borderId="48" xfId="2" applyNumberFormat="1" applyFont="1" applyFill="1" applyBorder="1" applyAlignment="1">
      <alignment horizontal="center" vertical="center" wrapText="1"/>
    </xf>
    <xf numFmtId="164" fontId="3" fillId="3" borderId="49" xfId="2" applyNumberFormat="1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3" fontId="2" fillId="0" borderId="46" xfId="2" quotePrefix="1" applyNumberFormat="1" applyFont="1" applyBorder="1" applyAlignment="1">
      <alignment horizontal="center" vertical="center" wrapText="1"/>
    </xf>
    <xf numFmtId="3" fontId="2" fillId="0" borderId="46" xfId="2" applyNumberFormat="1" applyFont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3" fontId="35" fillId="0" borderId="14" xfId="0" applyNumberFormat="1" applyFont="1" applyFill="1" applyBorder="1" applyAlignment="1">
      <alignment horizontal="right" vertical="center" wrapText="1" indent="1"/>
    </xf>
    <xf numFmtId="3" fontId="35" fillId="0" borderId="21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/>
    <xf numFmtId="0" fontId="2" fillId="0" borderId="6" xfId="0" applyFont="1" applyFill="1" applyBorder="1"/>
    <xf numFmtId="3" fontId="35" fillId="0" borderId="12" xfId="0" applyNumberFormat="1" applyFont="1" applyFill="1" applyBorder="1" applyAlignment="1">
      <alignment horizontal="left" vertical="center" wrapText="1"/>
    </xf>
    <xf numFmtId="3" fontId="36" fillId="0" borderId="14" xfId="0" applyNumberFormat="1" applyFont="1" applyFill="1" applyBorder="1" applyAlignment="1">
      <alignment horizontal="right" vertical="center" wrapText="1" indent="1"/>
    </xf>
    <xf numFmtId="3" fontId="36" fillId="0" borderId="21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/>
    <xf numFmtId="0" fontId="3" fillId="0" borderId="6" xfId="0" applyFont="1" applyFill="1" applyBorder="1"/>
    <xf numFmtId="3" fontId="35" fillId="0" borderId="14" xfId="0" applyNumberFormat="1" applyFont="1" applyFill="1" applyBorder="1" applyAlignment="1">
      <alignment horizontal="right" vertical="center" wrapText="1"/>
    </xf>
    <xf numFmtId="3" fontId="36" fillId="0" borderId="25" xfId="0" applyNumberFormat="1" applyFont="1" applyFill="1" applyBorder="1" applyAlignment="1">
      <alignment horizontal="right" vertical="center" indent="1"/>
    </xf>
    <xf numFmtId="3" fontId="36" fillId="0" borderId="7" xfId="0" applyNumberFormat="1" applyFont="1" applyFill="1" applyBorder="1" applyAlignment="1">
      <alignment horizontal="left" vertical="center" wrapText="1"/>
    </xf>
    <xf numFmtId="3" fontId="36" fillId="0" borderId="4" xfId="0" applyNumberFormat="1" applyFont="1" applyFill="1" applyBorder="1" applyAlignment="1">
      <alignment horizontal="left" vertical="center" wrapText="1"/>
    </xf>
    <xf numFmtId="3" fontId="36" fillId="0" borderId="20" xfId="0" applyNumberFormat="1" applyFont="1" applyFill="1" applyBorder="1" applyAlignment="1">
      <alignment horizontal="left" vertical="center" wrapText="1"/>
    </xf>
    <xf numFmtId="3" fontId="36" fillId="0" borderId="6" xfId="0" applyNumberFormat="1" applyFont="1" applyFill="1" applyBorder="1" applyAlignment="1">
      <alignment horizontal="right" vertical="center" indent="1"/>
    </xf>
    <xf numFmtId="0" fontId="36" fillId="0" borderId="0" xfId="0" applyFont="1" applyFill="1" applyBorder="1"/>
    <xf numFmtId="0" fontId="36" fillId="0" borderId="33" xfId="0" applyFont="1" applyFill="1" applyBorder="1"/>
    <xf numFmtId="3" fontId="36" fillId="0" borderId="8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3" fontId="36" fillId="0" borderId="20" xfId="0" applyNumberFormat="1" applyFont="1" applyFill="1" applyBorder="1" applyAlignment="1">
      <alignment horizontal="right" vertical="center" wrapText="1"/>
    </xf>
    <xf numFmtId="0" fontId="3" fillId="0" borderId="33" xfId="0" applyFont="1" applyFill="1" applyBorder="1"/>
    <xf numFmtId="0" fontId="46" fillId="0" borderId="0" xfId="0" applyFont="1" applyAlignment="1"/>
    <xf numFmtId="0" fontId="51" fillId="0" borderId="0" xfId="0" applyFont="1" applyAlignment="1"/>
    <xf numFmtId="0" fontId="34" fillId="0" borderId="0" xfId="0" applyFont="1" applyAlignment="1"/>
    <xf numFmtId="0" fontId="50" fillId="0" borderId="0" xfId="0" applyFont="1" applyAlignment="1"/>
    <xf numFmtId="0" fontId="6" fillId="0" borderId="0" xfId="2" applyFont="1" applyFill="1"/>
    <xf numFmtId="10" fontId="36" fillId="0" borderId="25" xfId="0" applyNumberFormat="1" applyFont="1" applyFill="1" applyBorder="1" applyAlignment="1">
      <alignment horizontal="right" vertical="center" indent="1"/>
    </xf>
    <xf numFmtId="3" fontId="36" fillId="0" borderId="17" xfId="0" applyNumberFormat="1" applyFont="1" applyFill="1" applyBorder="1" applyAlignment="1">
      <alignment horizontal="left" vertical="center" wrapText="1"/>
    </xf>
    <xf numFmtId="3" fontId="35" fillId="0" borderId="16" xfId="0" applyNumberFormat="1" applyFont="1" applyFill="1" applyBorder="1" applyAlignment="1">
      <alignment horizontal="right" vertical="center" wrapText="1" indent="1"/>
    </xf>
    <xf numFmtId="3" fontId="36" fillId="0" borderId="18" xfId="0" applyNumberFormat="1" applyFont="1" applyFill="1" applyBorder="1" applyAlignment="1">
      <alignment horizontal="right" vertical="center" indent="1"/>
    </xf>
    <xf numFmtId="3" fontId="36" fillId="0" borderId="14" xfId="0" applyNumberFormat="1" applyFont="1" applyFill="1" applyBorder="1" applyAlignment="1">
      <alignment horizontal="right" vertical="center" wrapText="1"/>
    </xf>
    <xf numFmtId="10" fontId="36" fillId="0" borderId="18" xfId="0" applyNumberFormat="1" applyFont="1" applyFill="1" applyBorder="1" applyAlignment="1">
      <alignment horizontal="right" vertical="center" indent="1"/>
    </xf>
    <xf numFmtId="3" fontId="35" fillId="0" borderId="14" xfId="0" applyNumberFormat="1" applyFont="1" applyFill="1" applyBorder="1" applyAlignment="1">
      <alignment horizontal="right" vertical="center" indent="1"/>
    </xf>
    <xf numFmtId="3" fontId="36" fillId="0" borderId="41" xfId="0" applyNumberFormat="1" applyFont="1" applyFill="1" applyBorder="1" applyAlignment="1">
      <alignment horizontal="right" vertical="center" wrapText="1" indent="1"/>
    </xf>
    <xf numFmtId="3" fontId="36" fillId="0" borderId="42" xfId="0" applyNumberFormat="1" applyFont="1" applyFill="1" applyBorder="1" applyAlignment="1">
      <alignment horizontal="right" vertical="center" indent="1"/>
    </xf>
    <xf numFmtId="10" fontId="36" fillId="0" borderId="42" xfId="0" applyNumberFormat="1" applyFont="1" applyFill="1" applyBorder="1" applyAlignment="1">
      <alignment horizontal="right" vertical="center" indent="1"/>
    </xf>
    <xf numFmtId="0" fontId="19" fillId="0" borderId="0" xfId="0" applyFont="1" applyFill="1" applyBorder="1"/>
    <xf numFmtId="0" fontId="19" fillId="0" borderId="6" xfId="0" applyFont="1" applyFill="1" applyBorder="1"/>
    <xf numFmtId="3" fontId="36" fillId="0" borderId="0" xfId="0" applyNumberFormat="1" applyFont="1" applyFill="1" applyBorder="1" applyAlignment="1">
      <alignment horizontal="right" vertical="center" wrapText="1" indent="1"/>
    </xf>
    <xf numFmtId="3" fontId="36" fillId="0" borderId="20" xfId="0" applyNumberFormat="1" applyFont="1" applyFill="1" applyBorder="1" applyAlignment="1">
      <alignment horizontal="right" vertical="center" indent="1"/>
    </xf>
    <xf numFmtId="10" fontId="36" fillId="0" borderId="20" xfId="0" applyNumberFormat="1" applyFont="1" applyFill="1" applyBorder="1" applyAlignment="1">
      <alignment horizontal="right" vertical="center" indent="1"/>
    </xf>
    <xf numFmtId="0" fontId="35" fillId="0" borderId="20" xfId="0" applyFont="1" applyFill="1" applyBorder="1"/>
    <xf numFmtId="0" fontId="35" fillId="0" borderId="6" xfId="0" applyFont="1" applyFill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4" fillId="0" borderId="0" xfId="0" applyFont="1" applyFill="1" applyAlignment="1">
      <alignment vertical="center"/>
    </xf>
    <xf numFmtId="0" fontId="2" fillId="0" borderId="0" xfId="0" applyFont="1" applyBorder="1" applyAlignment="1">
      <alignment horizontal="right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52" fillId="0" borderId="0" xfId="0" applyFont="1"/>
    <xf numFmtId="164" fontId="3" fillId="0" borderId="11" xfId="0" applyNumberFormat="1" applyFont="1" applyBorder="1" applyAlignment="1">
      <alignment horizontal="right" vertical="center" wrapText="1" indent="1"/>
    </xf>
    <xf numFmtId="0" fontId="2" fillId="0" borderId="17" xfId="0" applyFont="1" applyBorder="1" applyAlignment="1">
      <alignment horizontal="left" vertical="top" wrapText="1" indent="1"/>
    </xf>
    <xf numFmtId="164" fontId="2" fillId="0" borderId="15" xfId="0" applyNumberFormat="1" applyFont="1" applyBorder="1" applyAlignment="1">
      <alignment horizontal="left" vertical="top" wrapText="1" indent="1"/>
    </xf>
    <xf numFmtId="164" fontId="3" fillId="2" borderId="20" xfId="0" applyNumberFormat="1" applyFont="1" applyFill="1" applyBorder="1" applyAlignment="1">
      <alignment horizontal="right" vertical="center" wrapText="1" indent="1"/>
    </xf>
    <xf numFmtId="0" fontId="2" fillId="0" borderId="15" xfId="0" applyFont="1" applyBorder="1" applyAlignment="1">
      <alignment horizontal="left" vertical="top" wrapText="1" indent="1"/>
    </xf>
    <xf numFmtId="164" fontId="3" fillId="0" borderId="14" xfId="0" applyNumberFormat="1" applyFont="1" applyBorder="1" applyAlignment="1">
      <alignment horizontal="right" vertical="center" wrapText="1" indent="1"/>
    </xf>
    <xf numFmtId="164" fontId="2" fillId="0" borderId="38" xfId="0" applyNumberFormat="1" applyFont="1" applyBorder="1" applyAlignment="1">
      <alignment horizontal="right" vertical="center" wrapText="1" indent="1"/>
    </xf>
    <xf numFmtId="164" fontId="3" fillId="2" borderId="28" xfId="0" applyNumberFormat="1" applyFont="1" applyFill="1" applyBorder="1" applyAlignment="1">
      <alignment horizontal="right" vertical="center" wrapText="1" indent="1"/>
    </xf>
    <xf numFmtId="0" fontId="3" fillId="2" borderId="30" xfId="0" applyFont="1" applyFill="1" applyBorder="1" applyAlignment="1">
      <alignment horizontal="left" vertical="top" wrapText="1" indent="1"/>
    </xf>
    <xf numFmtId="3" fontId="2" fillId="2" borderId="31" xfId="0" applyNumberFormat="1" applyFont="1" applyFill="1" applyBorder="1" applyAlignment="1">
      <alignment horizontal="right" vertical="top" wrapText="1" indent="1"/>
    </xf>
    <xf numFmtId="164" fontId="2" fillId="2" borderId="19" xfId="0" applyNumberFormat="1" applyFont="1" applyFill="1" applyBorder="1" applyAlignment="1">
      <alignment horizontal="right" vertical="center" wrapText="1" indent="1"/>
    </xf>
    <xf numFmtId="0" fontId="2" fillId="0" borderId="9" xfId="0" applyFont="1" applyBorder="1" applyAlignment="1">
      <alignment horizontal="left" vertical="top" wrapText="1" indent="1"/>
    </xf>
    <xf numFmtId="3" fontId="2" fillId="0" borderId="10" xfId="0" applyNumberFormat="1" applyFont="1" applyBorder="1" applyAlignment="1">
      <alignment horizontal="right" vertical="top" wrapText="1" indent="1"/>
    </xf>
    <xf numFmtId="164" fontId="2" fillId="0" borderId="11" xfId="0" applyNumberFormat="1" applyFont="1" applyBorder="1" applyAlignment="1">
      <alignment horizontal="right" vertical="center" wrapText="1" indent="1"/>
    </xf>
    <xf numFmtId="164" fontId="2" fillId="2" borderId="11" xfId="0" applyNumberFormat="1" applyFont="1" applyFill="1" applyBorder="1" applyAlignment="1">
      <alignment horizontal="right" vertical="center" wrapText="1" indent="1"/>
    </xf>
    <xf numFmtId="164" fontId="3" fillId="2" borderId="11" xfId="0" applyNumberFormat="1" applyFont="1" applyFill="1" applyBorder="1" applyAlignment="1">
      <alignment horizontal="right" vertical="center" wrapText="1" indent="1"/>
    </xf>
    <xf numFmtId="164" fontId="52" fillId="0" borderId="0" xfId="0" applyNumberFormat="1" applyFont="1"/>
    <xf numFmtId="164" fontId="2" fillId="2" borderId="14" xfId="0" applyNumberFormat="1" applyFont="1" applyFill="1" applyBorder="1" applyAlignment="1">
      <alignment horizontal="right" vertical="center" wrapText="1" indent="1"/>
    </xf>
    <xf numFmtId="164" fontId="3" fillId="2" borderId="14" xfId="0" applyNumberFormat="1" applyFont="1" applyFill="1" applyBorder="1" applyAlignment="1">
      <alignment horizontal="right" vertical="center" wrapText="1" indent="1"/>
    </xf>
    <xf numFmtId="164" fontId="2" fillId="2" borderId="8" xfId="0" applyNumberFormat="1" applyFont="1" applyFill="1" applyBorder="1" applyAlignment="1">
      <alignment horizontal="right" vertical="center" wrapText="1" indent="1"/>
    </xf>
    <xf numFmtId="164" fontId="3" fillId="2" borderId="8" xfId="0" applyNumberFormat="1" applyFont="1" applyFill="1" applyBorder="1" applyAlignment="1">
      <alignment horizontal="righ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164" fontId="2" fillId="2" borderId="5" xfId="0" applyNumberFormat="1" applyFont="1" applyFill="1" applyBorder="1" applyAlignment="1">
      <alignment horizontal="right" vertical="center" wrapText="1" indent="1"/>
    </xf>
    <xf numFmtId="164" fontId="3" fillId="2" borderId="6" xfId="0" applyNumberFormat="1" applyFont="1" applyFill="1" applyBorder="1" applyAlignment="1">
      <alignment horizontal="right" vertical="center" wrapText="1" indent="1"/>
    </xf>
    <xf numFmtId="164" fontId="2" fillId="2" borderId="20" xfId="0" applyNumberFormat="1" applyFont="1" applyFill="1" applyBorder="1" applyAlignment="1">
      <alignment horizontal="right" vertical="center" wrapText="1" indent="1"/>
    </xf>
    <xf numFmtId="164" fontId="2" fillId="0" borderId="10" xfId="0" applyNumberFormat="1" applyFont="1" applyBorder="1" applyAlignment="1">
      <alignment horizontal="right" vertical="center" wrapText="1" indent="1"/>
    </xf>
    <xf numFmtId="164" fontId="2" fillId="0" borderId="37" xfId="0" applyNumberFormat="1" applyFont="1" applyFill="1" applyBorder="1" applyAlignment="1">
      <alignment horizontal="righ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164" fontId="2" fillId="0" borderId="0" xfId="0" applyNumberFormat="1" applyFont="1" applyBorder="1" applyAlignment="1">
      <alignment horizontal="right" vertical="center" wrapText="1" indent="1"/>
    </xf>
    <xf numFmtId="164" fontId="2" fillId="0" borderId="25" xfId="0" applyNumberFormat="1" applyFont="1" applyFill="1" applyBorder="1" applyAlignment="1">
      <alignment horizontal="right" vertical="center" wrapText="1" indent="1"/>
    </xf>
    <xf numFmtId="164" fontId="3" fillId="2" borderId="5" xfId="0" applyNumberFormat="1" applyFont="1" applyFill="1" applyBorder="1" applyAlignment="1">
      <alignment horizontal="right" vertical="center" wrapText="1" indent="1"/>
    </xf>
    <xf numFmtId="164" fontId="3" fillId="2" borderId="28" xfId="0" applyNumberFormat="1" applyFont="1" applyFill="1" applyBorder="1" applyAlignment="1">
      <alignment horizontal="left" vertical="center" wrapText="1"/>
    </xf>
    <xf numFmtId="164" fontId="3" fillId="2" borderId="19" xfId="0" applyNumberFormat="1" applyFont="1" applyFill="1" applyBorder="1" applyAlignment="1">
      <alignment horizontal="left" vertical="center" wrapText="1"/>
    </xf>
    <xf numFmtId="164" fontId="3" fillId="2" borderId="19" xfId="0" applyNumberFormat="1" applyFont="1" applyFill="1" applyBorder="1" applyAlignment="1">
      <alignment horizontal="right" vertical="center" wrapText="1" indent="1"/>
    </xf>
    <xf numFmtId="10" fontId="3" fillId="2" borderId="6" xfId="0" applyNumberFormat="1" applyFont="1" applyFill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right" vertical="center" wrapText="1" indent="1"/>
    </xf>
    <xf numFmtId="10" fontId="2" fillId="0" borderId="16" xfId="0" applyNumberFormat="1" applyFont="1" applyBorder="1" applyAlignment="1">
      <alignment horizontal="right" vertical="center" wrapText="1" indent="1"/>
    </xf>
    <xf numFmtId="10" fontId="3" fillId="2" borderId="20" xfId="0" applyNumberFormat="1" applyFont="1" applyFill="1" applyBorder="1" applyAlignment="1">
      <alignment horizontal="right" vertical="center" wrapText="1" indent="1"/>
    </xf>
    <xf numFmtId="10" fontId="3" fillId="0" borderId="14" xfId="0" applyNumberFormat="1" applyFont="1" applyBorder="1" applyAlignment="1">
      <alignment horizontal="right" vertical="center" wrapText="1" indent="1"/>
    </xf>
    <xf numFmtId="10" fontId="2" fillId="0" borderId="37" xfId="0" applyNumberFormat="1" applyFont="1" applyBorder="1" applyAlignment="1">
      <alignment horizontal="right" vertical="center" wrapText="1" indent="1"/>
    </xf>
    <xf numFmtId="0" fontId="19" fillId="0" borderId="33" xfId="0" applyFont="1" applyFill="1" applyBorder="1" applyAlignment="1">
      <alignment horizontal="left" vertical="center" wrapText="1"/>
    </xf>
    <xf numFmtId="3" fontId="19" fillId="0" borderId="33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left" vertical="center" wrapText="1"/>
    </xf>
    <xf numFmtId="3" fontId="15" fillId="0" borderId="21" xfId="0" applyNumberFormat="1" applyFont="1" applyFill="1" applyBorder="1" applyAlignment="1">
      <alignment vertical="center" wrapText="1"/>
    </xf>
    <xf numFmtId="3" fontId="15" fillId="0" borderId="21" xfId="0" applyNumberFormat="1" applyFont="1" applyFill="1" applyBorder="1" applyAlignment="1"/>
    <xf numFmtId="0" fontId="19" fillId="2" borderId="33" xfId="0" applyFont="1" applyFill="1" applyBorder="1" applyAlignment="1">
      <alignment horizontal="left" vertical="center" wrapText="1"/>
    </xf>
    <xf numFmtId="3" fontId="19" fillId="2" borderId="6" xfId="0" applyNumberFormat="1" applyFont="1" applyFill="1" applyBorder="1" applyAlignment="1">
      <alignment vertical="center" wrapText="1"/>
    </xf>
    <xf numFmtId="0" fontId="19" fillId="0" borderId="29" xfId="0" applyFont="1" applyFill="1" applyBorder="1" applyAlignment="1">
      <alignment horizontal="left" vertical="center" wrapText="1"/>
    </xf>
    <xf numFmtId="3" fontId="15" fillId="0" borderId="37" xfId="0" applyNumberFormat="1" applyFont="1" applyFill="1" applyBorder="1" applyAlignment="1">
      <alignment vertical="center" wrapText="1"/>
    </xf>
    <xf numFmtId="3" fontId="15" fillId="0" borderId="25" xfId="0" applyNumberFormat="1" applyFont="1" applyFill="1" applyBorder="1" applyAlignment="1">
      <alignment vertical="center" wrapText="1"/>
    </xf>
    <xf numFmtId="3" fontId="19" fillId="0" borderId="21" xfId="0" applyNumberFormat="1" applyFont="1" applyFill="1" applyBorder="1" applyAlignment="1">
      <alignment vertical="center" wrapText="1"/>
    </xf>
    <xf numFmtId="3" fontId="15" fillId="0" borderId="21" xfId="0" applyNumberFormat="1" applyFont="1" applyFill="1" applyBorder="1" applyAlignment="1">
      <alignment vertical="center"/>
    </xf>
    <xf numFmtId="3" fontId="15" fillId="0" borderId="37" xfId="0" applyNumberFormat="1" applyFont="1" applyFill="1" applyBorder="1" applyAlignment="1">
      <alignment vertical="center"/>
    </xf>
    <xf numFmtId="3" fontId="15" fillId="0" borderId="37" xfId="0" applyNumberFormat="1" applyFont="1" applyFill="1" applyBorder="1" applyAlignment="1"/>
    <xf numFmtId="3" fontId="15" fillId="0" borderId="25" xfId="0" applyNumberFormat="1" applyFont="1" applyFill="1" applyBorder="1" applyAlignment="1">
      <alignment vertical="center"/>
    </xf>
    <xf numFmtId="3" fontId="15" fillId="0" borderId="25" xfId="0" applyNumberFormat="1" applyFont="1" applyFill="1" applyBorder="1" applyAlignment="1"/>
    <xf numFmtId="10" fontId="19" fillId="0" borderId="33" xfId="0" applyNumberFormat="1" applyFont="1" applyFill="1" applyBorder="1" applyAlignment="1">
      <alignment horizontal="center" vertical="center" wrapText="1"/>
    </xf>
    <xf numFmtId="10" fontId="15" fillId="0" borderId="21" xfId="0" applyNumberFormat="1" applyFont="1" applyFill="1" applyBorder="1" applyAlignment="1">
      <alignment vertical="center" wrapText="1"/>
    </xf>
    <xf numFmtId="10" fontId="15" fillId="0" borderId="21" xfId="0" applyNumberFormat="1" applyFont="1" applyFill="1" applyBorder="1" applyAlignment="1"/>
    <xf numFmtId="10" fontId="15" fillId="0" borderId="18" xfId="0" applyNumberFormat="1" applyFont="1" applyFill="1" applyBorder="1" applyAlignment="1"/>
    <xf numFmtId="10" fontId="15" fillId="0" borderId="18" xfId="0" applyNumberFormat="1" applyFont="1" applyFill="1" applyBorder="1" applyAlignment="1">
      <alignment vertical="center" wrapText="1"/>
    </xf>
    <xf numFmtId="10" fontId="19" fillId="2" borderId="6" xfId="0" applyNumberFormat="1" applyFont="1" applyFill="1" applyBorder="1" applyAlignment="1">
      <alignment vertical="center" wrapText="1"/>
    </xf>
    <xf numFmtId="10" fontId="15" fillId="0" borderId="37" xfId="0" applyNumberFormat="1" applyFont="1" applyFill="1" applyBorder="1" applyAlignment="1">
      <alignment vertical="center" wrapText="1"/>
    </xf>
    <xf numFmtId="10" fontId="15" fillId="0" borderId="25" xfId="0" applyNumberFormat="1" applyFont="1" applyFill="1" applyBorder="1" applyAlignment="1">
      <alignment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0" fontId="19" fillId="0" borderId="21" xfId="0" applyNumberFormat="1" applyFont="1" applyFill="1" applyBorder="1" applyAlignment="1">
      <alignment vertical="center" wrapText="1"/>
    </xf>
    <xf numFmtId="10" fontId="15" fillId="0" borderId="37" xfId="0" applyNumberFormat="1" applyFont="1" applyFill="1" applyBorder="1" applyAlignment="1"/>
    <xf numFmtId="10" fontId="15" fillId="0" borderId="25" xfId="0" applyNumberFormat="1" applyFont="1" applyFill="1" applyBorder="1" applyAlignment="1"/>
    <xf numFmtId="10" fontId="2" fillId="0" borderId="38" xfId="0" applyNumberFormat="1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9" fontId="34" fillId="0" borderId="0" xfId="0" applyNumberFormat="1" applyFont="1"/>
    <xf numFmtId="9" fontId="51" fillId="0" borderId="0" xfId="0" applyNumberFormat="1" applyFont="1"/>
    <xf numFmtId="9" fontId="6" fillId="0" borderId="0" xfId="0" applyNumberFormat="1" applyFont="1"/>
    <xf numFmtId="0" fontId="7" fillId="0" borderId="0" xfId="0" applyFont="1"/>
    <xf numFmtId="0" fontId="33" fillId="0" borderId="9" xfId="0" applyFont="1" applyBorder="1" applyAlignment="1">
      <alignment vertical="top" wrapText="1"/>
    </xf>
    <xf numFmtId="0" fontId="33" fillId="0" borderId="11" xfId="0" applyFont="1" applyBorder="1" applyAlignment="1">
      <alignment vertical="top" wrapText="1"/>
    </xf>
    <xf numFmtId="3" fontId="33" fillId="0" borderId="11" xfId="0" applyNumberFormat="1" applyFont="1" applyBorder="1" applyAlignment="1">
      <alignment horizontal="right" vertical="center" wrapText="1" indent="1"/>
    </xf>
    <xf numFmtId="3" fontId="33" fillId="0" borderId="11" xfId="0" applyNumberFormat="1" applyFont="1" applyFill="1" applyBorder="1" applyAlignment="1">
      <alignment horizontal="right" vertical="center" wrapText="1" indent="1"/>
    </xf>
    <xf numFmtId="0" fontId="33" fillId="0" borderId="17" xfId="0" applyFont="1" applyBorder="1" applyAlignment="1">
      <alignment horizontal="justify" vertical="top" wrapText="1"/>
    </xf>
    <xf numFmtId="0" fontId="33" fillId="0" borderId="16" xfId="0" applyFont="1" applyBorder="1" applyAlignment="1">
      <alignment horizontal="justify" vertical="top" wrapText="1"/>
    </xf>
    <xf numFmtId="3" fontId="33" fillId="0" borderId="16" xfId="0" applyNumberFormat="1" applyFont="1" applyFill="1" applyBorder="1" applyAlignment="1">
      <alignment horizontal="right" vertical="center" wrapText="1" indent="1"/>
    </xf>
    <xf numFmtId="0" fontId="30" fillId="0" borderId="2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/>
    </xf>
    <xf numFmtId="4" fontId="4" fillId="0" borderId="6" xfId="0" applyNumberFormat="1" applyFont="1" applyFill="1" applyBorder="1" applyAlignment="1">
      <alignment horizontal="right" vertical="center" wrapText="1" indent="1"/>
    </xf>
    <xf numFmtId="3" fontId="4" fillId="0" borderId="6" xfId="0" applyNumberFormat="1" applyFont="1" applyFill="1" applyBorder="1" applyAlignment="1">
      <alignment horizontal="right" vertical="center" wrapText="1" indent="1"/>
    </xf>
    <xf numFmtId="4" fontId="4" fillId="0" borderId="6" xfId="0" applyNumberFormat="1" applyFont="1" applyFill="1" applyBorder="1" applyAlignment="1">
      <alignment horizontal="right" vertical="center" indent="1"/>
    </xf>
    <xf numFmtId="3" fontId="4" fillId="0" borderId="6" xfId="0" applyNumberFormat="1" applyFont="1" applyFill="1" applyBorder="1" applyAlignment="1">
      <alignment horizontal="right" vertical="center" indent="1"/>
    </xf>
    <xf numFmtId="0" fontId="0" fillId="0" borderId="35" xfId="0" applyBorder="1"/>
    <xf numFmtId="0" fontId="24" fillId="0" borderId="35" xfId="0" applyFont="1" applyBorder="1"/>
    <xf numFmtId="0" fontId="0" fillId="0" borderId="35" xfId="0" applyBorder="1" applyAlignment="1">
      <alignment horizontal="right"/>
    </xf>
    <xf numFmtId="0" fontId="36" fillId="2" borderId="4" xfId="0" applyFont="1" applyFill="1" applyBorder="1" applyAlignment="1">
      <alignment horizontal="center" vertical="center" wrapText="1"/>
    </xf>
    <xf numFmtId="0" fontId="36" fillId="2" borderId="15" xfId="0" applyFont="1" applyFill="1" applyBorder="1" applyAlignment="1">
      <alignment horizontal="center" vertical="center" wrapText="1"/>
    </xf>
    <xf numFmtId="164" fontId="36" fillId="2" borderId="6" xfId="0" applyNumberFormat="1" applyFont="1" applyFill="1" applyBorder="1" applyAlignment="1">
      <alignment horizontal="center" vertical="center" wrapText="1"/>
    </xf>
    <xf numFmtId="0" fontId="35" fillId="2" borderId="0" xfId="0" applyFont="1" applyFill="1" applyBorder="1"/>
    <xf numFmtId="0" fontId="35" fillId="2" borderId="6" xfId="0" applyFont="1" applyFill="1" applyBorder="1"/>
    <xf numFmtId="3" fontId="36" fillId="6" borderId="23" xfId="0" applyNumberFormat="1" applyFont="1" applyFill="1" applyBorder="1" applyAlignment="1">
      <alignment vertical="center"/>
    </xf>
    <xf numFmtId="3" fontId="36" fillId="0" borderId="14" xfId="0" applyNumberFormat="1" applyFont="1" applyFill="1" applyBorder="1" applyAlignment="1">
      <alignment horizontal="right" vertical="center" indent="1"/>
    </xf>
    <xf numFmtId="0" fontId="35" fillId="0" borderId="4" xfId="0" applyFont="1" applyFill="1" applyBorder="1"/>
    <xf numFmtId="3" fontId="35" fillId="0" borderId="17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Fill="1" applyBorder="1"/>
    <xf numFmtId="3" fontId="37" fillId="6" borderId="4" xfId="0" applyNumberFormat="1" applyFont="1" applyFill="1" applyBorder="1" applyAlignment="1">
      <alignment horizontal="left" vertical="center" wrapText="1"/>
    </xf>
    <xf numFmtId="3" fontId="37" fillId="6" borderId="5" xfId="0" applyNumberFormat="1" applyFont="1" applyFill="1" applyBorder="1" applyAlignment="1">
      <alignment horizontal="right" vertical="center" wrapText="1" indent="1"/>
    </xf>
    <xf numFmtId="3" fontId="36" fillId="6" borderId="20" xfId="0" applyNumberFormat="1" applyFont="1" applyFill="1" applyBorder="1" applyAlignment="1">
      <alignment horizontal="right" vertical="center" indent="1"/>
    </xf>
    <xf numFmtId="0" fontId="36" fillId="2" borderId="20" xfId="0" applyFont="1" applyFill="1" applyBorder="1" applyAlignment="1">
      <alignment horizontal="center" vertical="center" wrapText="1"/>
    </xf>
    <xf numFmtId="3" fontId="36" fillId="0" borderId="11" xfId="0" applyNumberFormat="1" applyFont="1" applyFill="1" applyBorder="1" applyAlignment="1">
      <alignment horizontal="right" vertical="center" wrapText="1"/>
    </xf>
    <xf numFmtId="3" fontId="36" fillId="2" borderId="4" xfId="0" applyNumberFormat="1" applyFont="1" applyFill="1" applyBorder="1" applyAlignment="1">
      <alignment horizontal="left" vertical="center" wrapText="1"/>
    </xf>
    <xf numFmtId="3" fontId="36" fillId="2" borderId="20" xfId="0" applyNumberFormat="1" applyFont="1" applyFill="1" applyBorder="1" applyAlignment="1">
      <alignment horizontal="left" vertical="center" wrapText="1"/>
    </xf>
    <xf numFmtId="3" fontId="36" fillId="2" borderId="6" xfId="0" applyNumberFormat="1" applyFont="1" applyFill="1" applyBorder="1" applyAlignment="1">
      <alignment horizontal="right" vertical="center" indent="1"/>
    </xf>
    <xf numFmtId="3" fontId="36" fillId="2" borderId="4" xfId="0" applyNumberFormat="1" applyFont="1" applyFill="1" applyBorder="1" applyAlignment="1">
      <alignment horizontal="left" vertical="center"/>
    </xf>
    <xf numFmtId="3" fontId="36" fillId="2" borderId="2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4" fillId="0" borderId="0" xfId="0" applyFont="1" applyBorder="1"/>
    <xf numFmtId="0" fontId="0" fillId="0" borderId="6" xfId="0" applyBorder="1"/>
    <xf numFmtId="10" fontId="41" fillId="0" borderId="0" xfId="0" applyNumberFormat="1" applyFont="1" applyFill="1" applyBorder="1"/>
    <xf numFmtId="10" fontId="42" fillId="0" borderId="0" xfId="0" applyNumberFormat="1" applyFont="1" applyFill="1" applyBorder="1"/>
    <xf numFmtId="10" fontId="2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/>
    <xf numFmtId="10" fontId="41" fillId="0" borderId="4" xfId="0" applyNumberFormat="1" applyFont="1" applyFill="1" applyBorder="1"/>
    <xf numFmtId="10" fontId="14" fillId="0" borderId="0" xfId="0" applyNumberFormat="1" applyFont="1" applyFill="1" applyBorder="1"/>
    <xf numFmtId="10" fontId="24" fillId="0" borderId="0" xfId="0" applyNumberFormat="1" applyFont="1" applyFill="1" applyBorder="1"/>
    <xf numFmtId="10" fontId="0" fillId="0" borderId="35" xfId="0" applyNumberFormat="1" applyBorder="1" applyAlignment="1">
      <alignment horizontal="right"/>
    </xf>
    <xf numFmtId="10" fontId="36" fillId="2" borderId="6" xfId="0" applyNumberFormat="1" applyFont="1" applyFill="1" applyBorder="1" applyAlignment="1">
      <alignment horizontal="center" vertical="center" wrapText="1"/>
    </xf>
    <xf numFmtId="10" fontId="36" fillId="0" borderId="14" xfId="0" applyNumberFormat="1" applyFont="1" applyFill="1" applyBorder="1" applyAlignment="1">
      <alignment horizontal="right" vertical="center" indent="1"/>
    </xf>
    <xf numFmtId="10" fontId="36" fillId="6" borderId="20" xfId="0" applyNumberFormat="1" applyFont="1" applyFill="1" applyBorder="1" applyAlignment="1">
      <alignment horizontal="right" vertical="center" indent="1"/>
    </xf>
    <xf numFmtId="10" fontId="36" fillId="2" borderId="6" xfId="0" applyNumberFormat="1" applyFont="1" applyFill="1" applyBorder="1" applyAlignment="1">
      <alignment horizontal="right" vertical="center" indent="1"/>
    </xf>
    <xf numFmtId="10" fontId="34" fillId="0" borderId="0" xfId="0" applyNumberFormat="1" applyFont="1" applyFill="1" applyBorder="1"/>
    <xf numFmtId="10" fontId="24" fillId="0" borderId="0" xfId="0" applyNumberFormat="1" applyFont="1" applyBorder="1"/>
    <xf numFmtId="10" fontId="24" fillId="0" borderId="4" xfId="0" applyNumberFormat="1" applyFont="1" applyFill="1" applyBorder="1"/>
    <xf numFmtId="0" fontId="6" fillId="0" borderId="21" xfId="0" applyFont="1" applyFill="1" applyBorder="1"/>
    <xf numFmtId="3" fontId="5" fillId="0" borderId="6" xfId="0" applyNumberFormat="1" applyFont="1" applyFill="1" applyBorder="1"/>
    <xf numFmtId="0" fontId="6" fillId="0" borderId="37" xfId="0" applyFont="1" applyFill="1" applyBorder="1"/>
    <xf numFmtId="0" fontId="6" fillId="0" borderId="18" xfId="0" applyFont="1" applyFill="1" applyBorder="1"/>
    <xf numFmtId="3" fontId="30" fillId="0" borderId="6" xfId="0" applyNumberFormat="1" applyFont="1" applyFill="1" applyBorder="1" applyAlignment="1">
      <alignment horizontal="right" vertical="center" wrapText="1" indent="1"/>
    </xf>
    <xf numFmtId="3" fontId="6" fillId="0" borderId="0" xfId="0" applyNumberFormat="1" applyFont="1" applyFill="1"/>
    <xf numFmtId="164" fontId="2" fillId="0" borderId="19" xfId="0" applyNumberFormat="1" applyFont="1" applyFill="1" applyBorder="1" applyAlignment="1">
      <alignment horizontal="right" vertical="center" wrapText="1" inden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justify" vertical="top" wrapText="1"/>
    </xf>
    <xf numFmtId="0" fontId="3" fillId="2" borderId="5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 wrapText="1" indent="1"/>
    </xf>
    <xf numFmtId="0" fontId="2" fillId="0" borderId="13" xfId="0" applyFont="1" applyBorder="1" applyAlignment="1">
      <alignment horizontal="left" vertical="top" wrapText="1" indent="1"/>
    </xf>
    <xf numFmtId="0" fontId="13" fillId="0" borderId="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2" borderId="4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/>
    </xf>
    <xf numFmtId="0" fontId="2" fillId="2" borderId="0" xfId="0" applyFont="1" applyFill="1" applyAlignment="1">
      <alignment vertical="center"/>
    </xf>
    <xf numFmtId="3" fontId="2" fillId="0" borderId="15" xfId="0" applyNumberFormat="1" applyFont="1" applyBorder="1" applyAlignment="1">
      <alignment horizontal="right" vertical="top" wrapText="1" indent="1"/>
    </xf>
    <xf numFmtId="3" fontId="2" fillId="0" borderId="31" xfId="0" applyNumberFormat="1" applyFont="1" applyFill="1" applyBorder="1" applyAlignment="1">
      <alignment horizontal="right" vertical="top" wrapText="1" indent="1"/>
    </xf>
    <xf numFmtId="3" fontId="2" fillId="0" borderId="19" xfId="0" applyNumberFormat="1" applyFont="1" applyFill="1" applyBorder="1" applyAlignment="1">
      <alignment horizontal="right" vertical="top" wrapText="1" indent="1"/>
    </xf>
    <xf numFmtId="0" fontId="2" fillId="0" borderId="30" xfId="0" applyFont="1" applyBorder="1" applyAlignment="1">
      <alignment horizontal="left" vertical="top" wrapText="1" indent="1"/>
    </xf>
    <xf numFmtId="0" fontId="2" fillId="0" borderId="31" xfId="0" applyFont="1" applyBorder="1" applyAlignment="1">
      <alignment horizontal="left" vertical="top" wrapText="1" indent="1"/>
    </xf>
    <xf numFmtId="164" fontId="2" fillId="0" borderId="32" xfId="0" applyNumberFormat="1" applyFont="1" applyFill="1" applyBorder="1" applyAlignment="1">
      <alignment horizontal="right" vertical="center" wrapText="1" indent="1"/>
    </xf>
    <xf numFmtId="164" fontId="55" fillId="0" borderId="0" xfId="0" applyNumberFormat="1" applyFont="1" applyFill="1"/>
    <xf numFmtId="0" fontId="52" fillId="0" borderId="0" xfId="0" applyFont="1" applyFill="1" applyAlignment="1">
      <alignment horizontal="right"/>
    </xf>
    <xf numFmtId="164" fontId="52" fillId="0" borderId="0" xfId="0" applyNumberFormat="1" applyFont="1" applyFill="1"/>
    <xf numFmtId="0" fontId="52" fillId="0" borderId="0" xfId="0" applyFont="1" applyFill="1"/>
    <xf numFmtId="3" fontId="52" fillId="0" borderId="0" xfId="0" applyNumberFormat="1" applyFont="1" applyFill="1"/>
    <xf numFmtId="10" fontId="3" fillId="2" borderId="28" xfId="0" applyNumberFormat="1" applyFont="1" applyFill="1" applyBorder="1" applyAlignment="1">
      <alignment horizontal="right" vertical="center" wrapText="1" indent="1"/>
    </xf>
    <xf numFmtId="10" fontId="3" fillId="2" borderId="11" xfId="0" applyNumberFormat="1" applyFont="1" applyFill="1" applyBorder="1" applyAlignment="1">
      <alignment horizontal="right" vertical="center" wrapText="1" indent="1"/>
    </xf>
    <xf numFmtId="10" fontId="2" fillId="0" borderId="25" xfId="0" applyNumberFormat="1" applyFont="1" applyFill="1" applyBorder="1" applyAlignment="1">
      <alignment horizontal="right" vertical="center" wrapText="1" indent="1"/>
    </xf>
    <xf numFmtId="10" fontId="3" fillId="2" borderId="19" xfId="0" applyNumberFormat="1" applyFont="1" applyFill="1" applyBorder="1" applyAlignment="1">
      <alignment horizontal="right" vertical="center" wrapText="1" indent="1"/>
    </xf>
    <xf numFmtId="10" fontId="2" fillId="0" borderId="8" xfId="0" applyNumberFormat="1" applyFont="1" applyFill="1" applyBorder="1" applyAlignment="1">
      <alignment horizontal="right" vertical="center" wrapText="1" indent="1"/>
    </xf>
    <xf numFmtId="10" fontId="52" fillId="0" borderId="0" xfId="0" applyNumberFormat="1" applyFont="1"/>
    <xf numFmtId="10" fontId="52" fillId="0" borderId="0" xfId="0" applyNumberFormat="1" applyFont="1" applyFill="1"/>
    <xf numFmtId="10" fontId="3" fillId="2" borderId="24" xfId="0" applyNumberFormat="1" applyFont="1" applyFill="1" applyBorder="1" applyAlignment="1">
      <alignment horizontal="right" vertical="center" wrapText="1" indent="1"/>
    </xf>
    <xf numFmtId="10" fontId="2" fillId="2" borderId="38" xfId="0" applyNumberFormat="1" applyFont="1" applyFill="1" applyBorder="1" applyAlignment="1">
      <alignment horizontal="right" vertical="center" wrapText="1" indent="1"/>
    </xf>
    <xf numFmtId="0" fontId="15" fillId="0" borderId="21" xfId="0" applyFont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9" fillId="2" borderId="26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3" fontId="19" fillId="0" borderId="37" xfId="0" applyNumberFormat="1" applyFont="1" applyBorder="1" applyAlignment="1">
      <alignment vertical="center" wrapText="1"/>
    </xf>
    <xf numFmtId="10" fontId="19" fillId="0" borderId="37" xfId="0" applyNumberFormat="1" applyFont="1" applyBorder="1" applyAlignment="1">
      <alignment vertical="center" wrapText="1"/>
    </xf>
    <xf numFmtId="0" fontId="15" fillId="0" borderId="13" xfId="0" applyFont="1" applyBorder="1"/>
    <xf numFmtId="3" fontId="15" fillId="0" borderId="0" xfId="0" applyNumberFormat="1" applyFont="1" applyBorder="1"/>
    <xf numFmtId="0" fontId="15" fillId="0" borderId="0" xfId="0" applyFont="1" applyBorder="1"/>
    <xf numFmtId="3" fontId="15" fillId="0" borderId="32" xfId="0" applyNumberFormat="1" applyFont="1" applyFill="1" applyBorder="1" applyAlignment="1"/>
    <xf numFmtId="0" fontId="16" fillId="0" borderId="0" xfId="0" applyFont="1" applyBorder="1"/>
    <xf numFmtId="0" fontId="17" fillId="0" borderId="0" xfId="0" applyFont="1" applyBorder="1" applyAlignment="1">
      <alignment vertical="center"/>
    </xf>
    <xf numFmtId="0" fontId="15" fillId="3" borderId="0" xfId="0" applyFont="1" applyFill="1" applyBorder="1"/>
    <xf numFmtId="3" fontId="19" fillId="3" borderId="0" xfId="0" applyNumberFormat="1" applyFont="1" applyFill="1" applyBorder="1"/>
    <xf numFmtId="0" fontId="19" fillId="3" borderId="0" xfId="0" applyFont="1" applyFill="1" applyBorder="1"/>
    <xf numFmtId="3" fontId="25" fillId="8" borderId="0" xfId="0" applyNumberFormat="1" applyFont="1" applyFill="1" applyBorder="1" applyAlignment="1">
      <alignment vertical="center"/>
    </xf>
    <xf numFmtId="0" fontId="25" fillId="8" borderId="0" xfId="0" applyFont="1" applyFill="1" applyBorder="1" applyAlignment="1">
      <alignment vertical="center"/>
    </xf>
    <xf numFmtId="0" fontId="25" fillId="8" borderId="0" xfId="0" applyFont="1" applyFill="1" applyAlignment="1">
      <alignment vertical="center"/>
    </xf>
    <xf numFmtId="10" fontId="2" fillId="0" borderId="21" xfId="0" applyNumberFormat="1" applyFont="1" applyBorder="1" applyAlignment="1">
      <alignment vertical="center" wrapText="1"/>
    </xf>
    <xf numFmtId="3" fontId="2" fillId="0" borderId="21" xfId="0" applyNumberFormat="1" applyFont="1" applyFill="1" applyBorder="1" applyAlignment="1">
      <alignment vertical="center" wrapText="1"/>
    </xf>
    <xf numFmtId="3" fontId="36" fillId="0" borderId="12" xfId="0" applyNumberFormat="1" applyFont="1" applyFill="1" applyBorder="1" applyAlignment="1">
      <alignment horizontal="left" vertical="center" wrapText="1"/>
    </xf>
    <xf numFmtId="3" fontId="36" fillId="0" borderId="14" xfId="0" applyNumberFormat="1" applyFont="1" applyFill="1" applyBorder="1" applyAlignment="1">
      <alignment horizontal="left" vertical="center" wrapText="1"/>
    </xf>
    <xf numFmtId="3" fontId="36" fillId="0" borderId="12" xfId="0" applyNumberFormat="1" applyFont="1" applyFill="1" applyBorder="1" applyAlignment="1">
      <alignment horizontal="left" vertical="center" wrapText="1"/>
    </xf>
    <xf numFmtId="3" fontId="36" fillId="6" borderId="24" xfId="0" applyNumberFormat="1" applyFont="1" applyFill="1" applyBorder="1" applyAlignment="1">
      <alignment vertical="center"/>
    </xf>
    <xf numFmtId="3" fontId="36" fillId="0" borderId="12" xfId="0" applyNumberFormat="1" applyFont="1" applyFill="1" applyBorder="1" applyAlignment="1">
      <alignment horizontal="right" vertical="center" indent="1"/>
    </xf>
    <xf numFmtId="3" fontId="35" fillId="0" borderId="43" xfId="0" applyNumberFormat="1" applyFont="1" applyFill="1" applyBorder="1" applyAlignment="1">
      <alignment horizontal="left" vertical="center" wrapText="1"/>
    </xf>
    <xf numFmtId="3" fontId="35" fillId="0" borderId="13" xfId="0" applyNumberFormat="1" applyFont="1" applyFill="1" applyBorder="1" applyAlignment="1">
      <alignment horizontal="left" vertical="center" wrapText="1"/>
    </xf>
    <xf numFmtId="0" fontId="2" fillId="8" borderId="0" xfId="0" applyFont="1" applyFill="1" applyBorder="1"/>
    <xf numFmtId="0" fontId="2" fillId="8" borderId="6" xfId="0" applyFont="1" applyFill="1" applyBorder="1"/>
    <xf numFmtId="3" fontId="35" fillId="0" borderId="7" xfId="0" applyNumberFormat="1" applyFont="1" applyFill="1" applyBorder="1" applyAlignment="1">
      <alignment horizontal="left" vertical="center" wrapText="1"/>
    </xf>
    <xf numFmtId="3" fontId="35" fillId="0" borderId="8" xfId="0" applyNumberFormat="1" applyFont="1" applyFill="1" applyBorder="1" applyAlignment="1">
      <alignment horizontal="right" vertical="center" wrapText="1" indent="1"/>
    </xf>
    <xf numFmtId="3" fontId="36" fillId="0" borderId="0" xfId="0" applyNumberFormat="1" applyFont="1" applyFill="1" applyBorder="1" applyAlignment="1">
      <alignment horizontal="right" vertical="center" wrapText="1"/>
    </xf>
    <xf numFmtId="3" fontId="36" fillId="0" borderId="8" xfId="0" applyNumberFormat="1" applyFont="1" applyFill="1" applyBorder="1" applyAlignment="1">
      <alignment horizontal="right" vertical="center" indent="1"/>
    </xf>
    <xf numFmtId="0" fontId="3" fillId="8" borderId="0" xfId="0" applyFont="1" applyFill="1" applyBorder="1"/>
    <xf numFmtId="0" fontId="3" fillId="8" borderId="6" xfId="0" applyFont="1" applyFill="1" applyBorder="1"/>
    <xf numFmtId="0" fontId="35" fillId="0" borderId="17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vertical="center" wrapText="1"/>
    </xf>
    <xf numFmtId="0" fontId="36" fillId="0" borderId="14" xfId="0" applyFont="1" applyFill="1" applyBorder="1" applyAlignment="1">
      <alignment vertical="center" wrapText="1"/>
    </xf>
    <xf numFmtId="0" fontId="36" fillId="8" borderId="0" xfId="0" applyFont="1" applyFill="1" applyBorder="1"/>
    <xf numFmtId="0" fontId="36" fillId="8" borderId="6" xfId="0" applyFont="1" applyFill="1" applyBorder="1"/>
    <xf numFmtId="0" fontId="36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left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left" vertical="center" wrapText="1"/>
    </xf>
    <xf numFmtId="3" fontId="35" fillId="0" borderId="9" xfId="0" applyNumberFormat="1" applyFont="1" applyFill="1" applyBorder="1" applyAlignment="1">
      <alignment horizontal="left" vertical="center" wrapText="1"/>
    </xf>
    <xf numFmtId="3" fontId="35" fillId="0" borderId="11" xfId="0" applyNumberFormat="1" applyFont="1" applyFill="1" applyBorder="1" applyAlignment="1">
      <alignment horizontal="right" vertical="center" wrapText="1" indent="1"/>
    </xf>
    <xf numFmtId="3" fontId="35" fillId="0" borderId="37" xfId="0" applyNumberFormat="1" applyFont="1" applyFill="1" applyBorder="1" applyAlignment="1">
      <alignment horizontal="right" vertical="center" indent="1"/>
    </xf>
    <xf numFmtId="0" fontId="2" fillId="0" borderId="32" xfId="0" applyFont="1" applyFill="1" applyBorder="1"/>
    <xf numFmtId="3" fontId="36" fillId="0" borderId="16" xfId="0" applyNumberFormat="1" applyFont="1" applyFill="1" applyBorder="1" applyAlignment="1">
      <alignment horizontal="right" vertical="center" indent="1"/>
    </xf>
    <xf numFmtId="3" fontId="36" fillId="0" borderId="12" xfId="0" applyNumberFormat="1" applyFont="1" applyFill="1" applyBorder="1" applyAlignment="1">
      <alignment vertical="center" wrapText="1"/>
    </xf>
    <xf numFmtId="0" fontId="3" fillId="8" borderId="33" xfId="0" applyFont="1" applyFill="1" applyBorder="1"/>
    <xf numFmtId="3" fontId="35" fillId="0" borderId="14" xfId="0" applyNumberFormat="1" applyFont="1" applyFill="1" applyBorder="1" applyAlignment="1">
      <alignment vertical="center" wrapText="1"/>
    </xf>
    <xf numFmtId="3" fontId="36" fillId="0" borderId="5" xfId="0" applyNumberFormat="1" applyFont="1" applyFill="1" applyBorder="1" applyAlignment="1">
      <alignment horizontal="right" vertical="center" wrapText="1"/>
    </xf>
    <xf numFmtId="164" fontId="36" fillId="2" borderId="20" xfId="0" applyNumberFormat="1" applyFont="1" applyFill="1" applyBorder="1" applyAlignment="1">
      <alignment horizontal="center" vertical="center" wrapText="1"/>
    </xf>
    <xf numFmtId="0" fontId="37" fillId="2" borderId="22" xfId="0" applyFont="1" applyFill="1" applyBorder="1" applyAlignment="1">
      <alignment horizontal="left" vertical="center" wrapText="1"/>
    </xf>
    <xf numFmtId="0" fontId="36" fillId="2" borderId="0" xfId="0" applyFont="1" applyFill="1" applyBorder="1" applyAlignment="1">
      <alignment horizontal="center" vertical="center" wrapText="1"/>
    </xf>
    <xf numFmtId="164" fontId="36" fillId="2" borderId="24" xfId="0" applyNumberFormat="1" applyFont="1" applyFill="1" applyBorder="1" applyAlignment="1">
      <alignment horizontal="center" vertical="center" wrapText="1"/>
    </xf>
    <xf numFmtId="3" fontId="36" fillId="0" borderId="8" xfId="0" applyNumberFormat="1" applyFont="1" applyFill="1" applyBorder="1" applyAlignment="1">
      <alignment horizontal="right" vertical="center" wrapText="1" indent="1"/>
    </xf>
    <xf numFmtId="0" fontId="36" fillId="2" borderId="4" xfId="0" applyFont="1" applyFill="1" applyBorder="1" applyAlignment="1">
      <alignment horizontal="left" vertical="center" wrapText="1"/>
    </xf>
    <xf numFmtId="0" fontId="36" fillId="2" borderId="5" xfId="0" applyFont="1" applyFill="1" applyBorder="1" applyAlignment="1">
      <alignment horizontal="center" vertical="center" wrapText="1"/>
    </xf>
    <xf numFmtId="164" fontId="36" fillId="2" borderId="6" xfId="0" applyNumberFormat="1" applyFont="1" applyFill="1" applyBorder="1" applyAlignment="1">
      <alignment horizontal="right" vertical="center" wrapText="1" indent="1"/>
    </xf>
    <xf numFmtId="3" fontId="35" fillId="0" borderId="0" xfId="0" applyNumberFormat="1" applyFont="1" applyFill="1" applyBorder="1" applyAlignment="1">
      <alignment horizontal="right" vertical="center" wrapText="1" indent="1"/>
    </xf>
    <xf numFmtId="0" fontId="36" fillId="2" borderId="27" xfId="0" applyFont="1" applyFill="1" applyBorder="1" applyAlignment="1">
      <alignment horizontal="center" vertical="center" wrapText="1"/>
    </xf>
    <xf numFmtId="3" fontId="35" fillId="0" borderId="11" xfId="0" applyNumberFormat="1" applyFont="1" applyFill="1" applyBorder="1" applyAlignment="1">
      <alignment horizontal="right" vertical="center" indent="1"/>
    </xf>
    <xf numFmtId="0" fontId="36" fillId="0" borderId="22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164" fontId="36" fillId="0" borderId="24" xfId="0" applyNumberFormat="1" applyFont="1" applyFill="1" applyBorder="1" applyAlignment="1">
      <alignment horizontal="right" vertical="center" wrapText="1" indent="1"/>
    </xf>
    <xf numFmtId="164" fontId="36" fillId="0" borderId="24" xfId="0" applyNumberFormat="1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3" fontId="36" fillId="0" borderId="16" xfId="0" applyNumberFormat="1" applyFont="1" applyFill="1" applyBorder="1" applyAlignment="1">
      <alignment horizontal="right" vertical="center" wrapText="1" indent="1"/>
    </xf>
    <xf numFmtId="3" fontId="36" fillId="0" borderId="0" xfId="0" applyNumberFormat="1" applyFont="1" applyFill="1" applyBorder="1" applyAlignment="1">
      <alignment horizontal="left" vertical="center" wrapText="1"/>
    </xf>
    <xf numFmtId="0" fontId="37" fillId="2" borderId="4" xfId="0" applyFont="1" applyFill="1" applyBorder="1" applyAlignment="1">
      <alignment horizontal="left" vertical="center" wrapText="1"/>
    </xf>
    <xf numFmtId="3" fontId="36" fillId="0" borderId="36" xfId="0" applyNumberFormat="1" applyFont="1" applyFill="1" applyBorder="1" applyAlignment="1">
      <alignment horizontal="right" vertical="center" indent="1"/>
    </xf>
    <xf numFmtId="3" fontId="36" fillId="0" borderId="11" xfId="0" applyNumberFormat="1" applyFont="1" applyFill="1" applyBorder="1" applyAlignment="1">
      <alignment horizontal="right" vertical="center" indent="1"/>
    </xf>
    <xf numFmtId="0" fontId="36" fillId="0" borderId="4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right" vertical="center" wrapText="1" indent="1"/>
    </xf>
    <xf numFmtId="0" fontId="35" fillId="0" borderId="33" xfId="0" applyFont="1" applyFill="1" applyBorder="1"/>
    <xf numFmtId="10" fontId="36" fillId="6" borderId="24" xfId="0" applyNumberFormat="1" applyFont="1" applyFill="1" applyBorder="1" applyAlignment="1">
      <alignment vertical="center"/>
    </xf>
    <xf numFmtId="10" fontId="36" fillId="0" borderId="8" xfId="0" applyNumberFormat="1" applyFont="1" applyFill="1" applyBorder="1" applyAlignment="1">
      <alignment horizontal="right" vertical="center" indent="1"/>
    </xf>
    <xf numFmtId="10" fontId="35" fillId="0" borderId="37" xfId="0" applyNumberFormat="1" applyFont="1" applyFill="1" applyBorder="1" applyAlignment="1">
      <alignment horizontal="right" vertical="center" indent="1"/>
    </xf>
    <xf numFmtId="10" fontId="36" fillId="0" borderId="16" xfId="0" applyNumberFormat="1" applyFont="1" applyFill="1" applyBorder="1" applyAlignment="1">
      <alignment horizontal="right" vertical="center" indent="1"/>
    </xf>
    <xf numFmtId="10" fontId="3" fillId="0" borderId="0" xfId="0" applyNumberFormat="1" applyFont="1" applyFill="1" applyBorder="1"/>
    <xf numFmtId="10" fontId="0" fillId="0" borderId="0" xfId="0" applyNumberFormat="1" applyFill="1" applyBorder="1"/>
    <xf numFmtId="10" fontId="36" fillId="2" borderId="20" xfId="0" applyNumberFormat="1" applyFont="1" applyFill="1" applyBorder="1" applyAlignment="1">
      <alignment horizontal="center" vertical="center" wrapText="1"/>
    </xf>
    <xf numFmtId="10" fontId="36" fillId="2" borderId="24" xfId="0" applyNumberFormat="1" applyFont="1" applyFill="1" applyBorder="1" applyAlignment="1">
      <alignment horizontal="center" vertical="center" wrapText="1"/>
    </xf>
    <xf numFmtId="10" fontId="36" fillId="2" borderId="6" xfId="0" applyNumberFormat="1" applyFont="1" applyFill="1" applyBorder="1" applyAlignment="1">
      <alignment horizontal="right" vertical="center" wrapText="1" indent="1"/>
    </xf>
    <xf numFmtId="10" fontId="35" fillId="0" borderId="14" xfId="0" applyNumberFormat="1" applyFont="1" applyFill="1" applyBorder="1" applyAlignment="1">
      <alignment horizontal="right" vertical="center" indent="1"/>
    </xf>
    <xf numFmtId="10" fontId="35" fillId="0" borderId="11" xfId="0" applyNumberFormat="1" applyFont="1" applyFill="1" applyBorder="1" applyAlignment="1">
      <alignment horizontal="right" vertical="center" indent="1"/>
    </xf>
    <xf numFmtId="10" fontId="36" fillId="0" borderId="24" xfId="0" applyNumberFormat="1" applyFont="1" applyFill="1" applyBorder="1" applyAlignment="1">
      <alignment horizontal="center" vertical="center" wrapText="1"/>
    </xf>
    <xf numFmtId="10" fontId="36" fillId="0" borderId="24" xfId="0" applyNumberFormat="1" applyFont="1" applyFill="1" applyBorder="1" applyAlignment="1">
      <alignment horizontal="right" vertical="center" wrapText="1" indent="1"/>
    </xf>
    <xf numFmtId="10" fontId="36" fillId="0" borderId="11" xfId="0" applyNumberFormat="1" applyFont="1" applyFill="1" applyBorder="1" applyAlignment="1">
      <alignment horizontal="right" vertical="center" indent="1"/>
    </xf>
    <xf numFmtId="10" fontId="0" fillId="0" borderId="0" xfId="0" applyNumberFormat="1" applyBorder="1"/>
    <xf numFmtId="10" fontId="0" fillId="0" borderId="6" xfId="0" applyNumberFormat="1" applyBorder="1"/>
    <xf numFmtId="10" fontId="0" fillId="2" borderId="6" xfId="0" applyNumberFormat="1" applyFont="1" applyFill="1" applyBorder="1" applyAlignment="1">
      <alignment horizontal="right" vertical="center" indent="1"/>
    </xf>
    <xf numFmtId="3" fontId="36" fillId="0" borderId="12" xfId="0" applyNumberFormat="1" applyFont="1" applyFill="1" applyBorder="1" applyAlignment="1">
      <alignment horizontal="left" vertical="center" wrapText="1"/>
    </xf>
    <xf numFmtId="3" fontId="36" fillId="0" borderId="9" xfId="0" applyNumberFormat="1" applyFont="1" applyFill="1" applyBorder="1" applyAlignment="1">
      <alignment horizontal="left" vertical="center" wrapText="1"/>
    </xf>
    <xf numFmtId="3" fontId="0" fillId="3" borderId="0" xfId="0" applyNumberFormat="1" applyFill="1"/>
    <xf numFmtId="3" fontId="35" fillId="9" borderId="20" xfId="0" applyNumberFormat="1" applyFont="1" applyFill="1" applyBorder="1" applyAlignment="1">
      <alignment horizontal="right" vertical="center" wrapText="1" indent="1"/>
    </xf>
    <xf numFmtId="3" fontId="36" fillId="9" borderId="6" xfId="0" applyNumberFormat="1" applyFont="1" applyFill="1" applyBorder="1" applyAlignment="1">
      <alignment horizontal="right" vertical="center" indent="1"/>
    </xf>
    <xf numFmtId="10" fontId="36" fillId="9" borderId="6" xfId="0" applyNumberFormat="1" applyFont="1" applyFill="1" applyBorder="1" applyAlignment="1">
      <alignment horizontal="right" vertical="center" indent="1"/>
    </xf>
    <xf numFmtId="3" fontId="36" fillId="9" borderId="4" xfId="0" applyNumberFormat="1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right" vertical="center" wrapText="1" indent="1"/>
    </xf>
    <xf numFmtId="3" fontId="4" fillId="0" borderId="6" xfId="0" applyNumberFormat="1" applyFont="1" applyFill="1" applyBorder="1" applyAlignment="1">
      <alignment horizontal="right" vertical="center" wrapText="1" indent="1"/>
    </xf>
    <xf numFmtId="4" fontId="4" fillId="0" borderId="6" xfId="0" applyNumberFormat="1" applyFont="1" applyFill="1" applyBorder="1" applyAlignment="1">
      <alignment horizontal="right" vertical="center" indent="1"/>
    </xf>
    <xf numFmtId="3" fontId="4" fillId="0" borderId="6" xfId="0" applyNumberFormat="1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center" vertical="center"/>
    </xf>
    <xf numFmtId="3" fontId="2" fillId="0" borderId="46" xfId="2" applyNumberFormat="1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36" fillId="2" borderId="8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3" fontId="2" fillId="0" borderId="46" xfId="2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50" fillId="0" borderId="3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1" xfId="0" quotePrefix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right" vertical="center" wrapText="1" indent="1"/>
    </xf>
    <xf numFmtId="49" fontId="4" fillId="0" borderId="21" xfId="0" applyNumberFormat="1" applyFont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right" vertical="center" wrapText="1" indent="1"/>
    </xf>
    <xf numFmtId="0" fontId="5" fillId="2" borderId="21" xfId="0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center" vertical="center" wrapText="1"/>
    </xf>
    <xf numFmtId="3" fontId="5" fillId="2" borderId="21" xfId="0" applyNumberFormat="1" applyFont="1" applyFill="1" applyBorder="1" applyAlignment="1">
      <alignment horizontal="right" vertical="center" wrapText="1" indent="1"/>
    </xf>
    <xf numFmtId="0" fontId="5" fillId="0" borderId="21" xfId="0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righ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49" fontId="4" fillId="0" borderId="18" xfId="0" applyNumberFormat="1" applyFont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right" vertical="center" wrapText="1" indent="1"/>
    </xf>
    <xf numFmtId="0" fontId="5" fillId="2" borderId="6" xfId="0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vertical="center" wrapText="1"/>
    </xf>
    <xf numFmtId="3" fontId="2" fillId="0" borderId="46" xfId="2" quotePrefix="1" applyNumberFormat="1" applyFont="1" applyFill="1" applyBorder="1" applyAlignment="1">
      <alignment horizontal="center" vertical="center" wrapText="1"/>
    </xf>
    <xf numFmtId="3" fontId="2" fillId="0" borderId="46" xfId="2" applyNumberFormat="1" applyFont="1" applyFill="1" applyBorder="1" applyAlignment="1">
      <alignment horizontal="center" vertical="center" wrapText="1"/>
    </xf>
    <xf numFmtId="3" fontId="36" fillId="0" borderId="21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10" fontId="24" fillId="0" borderId="0" xfId="0" applyNumberFormat="1" applyFont="1" applyFill="1" applyBorder="1" applyAlignment="1">
      <alignment horizontal="right" vertical="center" wrapText="1"/>
    </xf>
    <xf numFmtId="10" fontId="0" fillId="0" borderId="0" xfId="0" applyNumberForma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10" fontId="24" fillId="0" borderId="0" xfId="0" applyNumberFormat="1" applyFont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0" fillId="0" borderId="6" xfId="0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6" fillId="0" borderId="16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 vertical="center" wrapText="1"/>
    </xf>
    <xf numFmtId="3" fontId="36" fillId="0" borderId="38" xfId="0" applyNumberFormat="1" applyFont="1" applyFill="1" applyBorder="1" applyAlignment="1">
      <alignment horizontal="right" vertical="center" wrapText="1" indent="1"/>
    </xf>
    <xf numFmtId="0" fontId="36" fillId="2" borderId="25" xfId="0" applyFont="1" applyFill="1" applyBorder="1" applyAlignment="1">
      <alignment horizontal="center" vertical="center" wrapText="1"/>
    </xf>
    <xf numFmtId="3" fontId="36" fillId="0" borderId="21" xfId="0" applyNumberFormat="1" applyFont="1" applyFill="1" applyBorder="1" applyAlignment="1">
      <alignment horizontal="right" vertical="center" wrapText="1"/>
    </xf>
    <xf numFmtId="3" fontId="36" fillId="0" borderId="37" xfId="0" applyNumberFormat="1" applyFont="1" applyFill="1" applyBorder="1" applyAlignment="1">
      <alignment horizontal="right" vertical="center" wrapText="1"/>
    </xf>
    <xf numFmtId="3" fontId="36" fillId="0" borderId="18" xfId="0" applyNumberFormat="1" applyFont="1" applyFill="1" applyBorder="1" applyAlignment="1">
      <alignment horizontal="right" vertical="center" wrapText="1"/>
    </xf>
    <xf numFmtId="3" fontId="36" fillId="0" borderId="19" xfId="0" applyNumberFormat="1" applyFont="1" applyFill="1" applyBorder="1" applyAlignment="1">
      <alignment horizontal="right" vertical="center" wrapText="1" indent="1"/>
    </xf>
    <xf numFmtId="3" fontId="36" fillId="0" borderId="38" xfId="0" applyNumberFormat="1" applyFont="1" applyFill="1" applyBorder="1" applyAlignment="1">
      <alignment horizontal="right" vertical="center" wrapText="1"/>
    </xf>
    <xf numFmtId="3" fontId="36" fillId="0" borderId="19" xfId="0" applyNumberFormat="1" applyFont="1" applyFill="1" applyBorder="1" applyAlignment="1">
      <alignment horizontal="right" vertical="center" wrapText="1"/>
    </xf>
    <xf numFmtId="0" fontId="0" fillId="0" borderId="0" xfId="0"/>
    <xf numFmtId="43" fontId="3" fillId="0" borderId="0" xfId="5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center"/>
    </xf>
    <xf numFmtId="43" fontId="3" fillId="0" borderId="0" xfId="5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center"/>
    </xf>
    <xf numFmtId="0" fontId="53" fillId="0" borderId="1" xfId="0" applyFont="1" applyFill="1" applyBorder="1" applyAlignment="1">
      <alignment horizontal="center"/>
    </xf>
    <xf numFmtId="0" fontId="53" fillId="0" borderId="1" xfId="0" applyFont="1" applyFill="1" applyBorder="1"/>
    <xf numFmtId="3" fontId="53" fillId="0" borderId="1" xfId="0" applyNumberFormat="1" applyFont="1" applyFill="1" applyBorder="1"/>
    <xf numFmtId="0" fontId="54" fillId="0" borderId="1" xfId="0" applyFont="1" applyFill="1" applyBorder="1" applyAlignment="1">
      <alignment horizontal="center"/>
    </xf>
    <xf numFmtId="0" fontId="54" fillId="0" borderId="1" xfId="0" applyFont="1" applyFill="1" applyBorder="1"/>
    <xf numFmtId="3" fontId="54" fillId="0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center"/>
    </xf>
    <xf numFmtId="3" fontId="35" fillId="0" borderId="21" xfId="0" applyNumberFormat="1" applyFont="1" applyFill="1" applyBorder="1" applyAlignment="1">
      <alignment horizontal="right" vertical="center" wrapText="1" indent="1"/>
    </xf>
    <xf numFmtId="3" fontId="36" fillId="0" borderId="9" xfId="0" applyNumberFormat="1" applyFont="1" applyFill="1" applyBorder="1" applyAlignment="1">
      <alignment vertical="center" wrapText="1"/>
    </xf>
    <xf numFmtId="3" fontId="36" fillId="0" borderId="11" xfId="0" applyNumberFormat="1" applyFont="1" applyFill="1" applyBorder="1" applyAlignment="1">
      <alignment vertical="center" wrapText="1"/>
    </xf>
    <xf numFmtId="3" fontId="36" fillId="0" borderId="1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6" fillId="0" borderId="0" xfId="0" applyFont="1" applyAlignment="1">
      <alignment horizontal="left" wrapText="1"/>
    </xf>
    <xf numFmtId="43" fontId="8" fillId="0" borderId="0" xfId="1" applyFont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3" fontId="3" fillId="0" borderId="0" xfId="5" applyFont="1" applyAlignment="1">
      <alignment horizontal="center" vertical="center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 indent="1"/>
    </xf>
    <xf numFmtId="0" fontId="3" fillId="2" borderId="5" xfId="0" applyFont="1" applyFill="1" applyBorder="1" applyAlignment="1">
      <alignment horizontal="left" vertical="top" wrapText="1" indent="1"/>
    </xf>
    <xf numFmtId="0" fontId="13" fillId="0" borderId="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 indent="2"/>
    </xf>
    <xf numFmtId="0" fontId="2" fillId="0" borderId="13" xfId="0" applyFont="1" applyBorder="1" applyAlignment="1">
      <alignment horizontal="left" vertical="top" wrapText="1" indent="2"/>
    </xf>
    <xf numFmtId="0" fontId="2" fillId="0" borderId="12" xfId="0" applyFont="1" applyBorder="1" applyAlignment="1">
      <alignment horizontal="left" vertical="top" wrapText="1" indent="1"/>
    </xf>
    <xf numFmtId="0" fontId="2" fillId="0" borderId="13" xfId="0" applyFont="1" applyBorder="1" applyAlignment="1">
      <alignment horizontal="left" vertical="top" wrapText="1" indent="1"/>
    </xf>
    <xf numFmtId="0" fontId="1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justify" vertical="top" wrapText="1"/>
    </xf>
    <xf numFmtId="0" fontId="3" fillId="2" borderId="5" xfId="0" applyFont="1" applyFill="1" applyBorder="1" applyAlignment="1">
      <alignment horizontal="justify" vertical="top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 indent="1"/>
    </xf>
    <xf numFmtId="0" fontId="3" fillId="2" borderId="12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9" fillId="3" borderId="6" xfId="0" applyFont="1" applyFill="1" applyBorder="1" applyAlignment="1">
      <alignment horizontal="center"/>
    </xf>
    <xf numFmtId="164" fontId="19" fillId="3" borderId="22" xfId="0" applyNumberFormat="1" applyFont="1" applyFill="1" applyBorder="1" applyAlignment="1">
      <alignment horizontal="center" vertical="center" wrapText="1"/>
    </xf>
    <xf numFmtId="164" fontId="19" fillId="3" borderId="23" xfId="0" applyNumberFormat="1" applyFont="1" applyFill="1" applyBorder="1" applyAlignment="1">
      <alignment horizontal="center" vertical="center" wrapText="1"/>
    </xf>
    <xf numFmtId="164" fontId="19" fillId="3" borderId="24" xfId="0" applyNumberFormat="1" applyFont="1" applyFill="1" applyBorder="1" applyAlignment="1">
      <alignment horizontal="center" vertical="center" wrapText="1"/>
    </xf>
    <xf numFmtId="164" fontId="19" fillId="3" borderId="34" xfId="0" applyNumberFormat="1" applyFont="1" applyFill="1" applyBorder="1" applyAlignment="1">
      <alignment horizontal="center" vertical="center" wrapText="1"/>
    </xf>
    <xf numFmtId="164" fontId="19" fillId="3" borderId="35" xfId="0" applyNumberFormat="1" applyFont="1" applyFill="1" applyBorder="1" applyAlignment="1">
      <alignment horizontal="center" vertical="center" wrapText="1"/>
    </xf>
    <xf numFmtId="164" fontId="19" fillId="3" borderId="36" xfId="0" applyNumberFormat="1" applyFont="1" applyFill="1" applyBorder="1" applyAlignment="1">
      <alignment horizontal="center" vertical="center" wrapText="1"/>
    </xf>
    <xf numFmtId="164" fontId="19" fillId="3" borderId="6" xfId="0" applyNumberFormat="1" applyFont="1" applyFill="1" applyBorder="1" applyAlignment="1">
      <alignment horizontal="center" vertical="center" wrapText="1"/>
    </xf>
    <xf numFmtId="164" fontId="19" fillId="3" borderId="4" xfId="0" applyNumberFormat="1" applyFont="1" applyFill="1" applyBorder="1" applyAlignment="1">
      <alignment horizontal="center"/>
    </xf>
    <xf numFmtId="164" fontId="19" fillId="3" borderId="5" xfId="0" applyNumberFormat="1" applyFont="1" applyFill="1" applyBorder="1" applyAlignment="1">
      <alignment horizontal="center"/>
    </xf>
    <xf numFmtId="164" fontId="19" fillId="3" borderId="20" xfId="0" applyNumberFormat="1" applyFont="1" applyFill="1" applyBorder="1" applyAlignment="1">
      <alignment horizontal="center"/>
    </xf>
    <xf numFmtId="0" fontId="19" fillId="3" borderId="33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164" fontId="19" fillId="3" borderId="22" xfId="0" applyNumberFormat="1" applyFont="1" applyFill="1" applyBorder="1" applyAlignment="1">
      <alignment horizontal="center"/>
    </xf>
    <xf numFmtId="164" fontId="19" fillId="3" borderId="23" xfId="0" applyNumberFormat="1" applyFont="1" applyFill="1" applyBorder="1" applyAlignment="1">
      <alignment horizontal="center"/>
    </xf>
    <xf numFmtId="164" fontId="19" fillId="3" borderId="24" xfId="0" applyNumberFormat="1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right"/>
    </xf>
    <xf numFmtId="164" fontId="7" fillId="3" borderId="6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/>
    </xf>
    <xf numFmtId="164" fontId="7" fillId="3" borderId="22" xfId="0" applyNumberFormat="1" applyFont="1" applyFill="1" applyBorder="1" applyAlignment="1">
      <alignment horizontal="center" vertical="center" wrapText="1"/>
    </xf>
    <xf numFmtId="164" fontId="7" fillId="3" borderId="23" xfId="0" applyNumberFormat="1" applyFont="1" applyFill="1" applyBorder="1" applyAlignment="1">
      <alignment horizontal="center" vertical="center" wrapText="1"/>
    </xf>
    <xf numFmtId="164" fontId="7" fillId="3" borderId="24" xfId="0" applyNumberFormat="1" applyFont="1" applyFill="1" applyBorder="1" applyAlignment="1">
      <alignment horizontal="center" vertical="center" wrapText="1"/>
    </xf>
    <xf numFmtId="164" fontId="7" fillId="3" borderId="34" xfId="0" applyNumberFormat="1" applyFont="1" applyFill="1" applyBorder="1" applyAlignment="1">
      <alignment horizontal="center" vertical="center" wrapText="1"/>
    </xf>
    <xf numFmtId="164" fontId="7" fillId="3" borderId="35" xfId="0" applyNumberFormat="1" applyFont="1" applyFill="1" applyBorder="1" applyAlignment="1">
      <alignment horizontal="center" vertical="center" wrapText="1"/>
    </xf>
    <xf numFmtId="164" fontId="7" fillId="3" borderId="36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7" fillId="3" borderId="20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4" fontId="7" fillId="3" borderId="20" xfId="0" applyNumberFormat="1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3" fillId="3" borderId="6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36" fillId="0" borderId="12" xfId="0" applyNumberFormat="1" applyFont="1" applyFill="1" applyBorder="1" applyAlignment="1">
      <alignment horizontal="left" vertical="center" wrapText="1"/>
    </xf>
    <xf numFmtId="3" fontId="36" fillId="0" borderId="14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3" fontId="36" fillId="0" borderId="26" xfId="0" applyNumberFormat="1" applyFont="1" applyFill="1" applyBorder="1" applyAlignment="1">
      <alignment horizontal="left" vertical="center" wrapText="1"/>
    </xf>
    <xf numFmtId="3" fontId="36" fillId="0" borderId="28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3" fontId="36" fillId="0" borderId="9" xfId="0" applyNumberFormat="1" applyFont="1" applyFill="1" applyBorder="1" applyAlignment="1">
      <alignment horizontal="left" vertical="center" wrapText="1"/>
    </xf>
    <xf numFmtId="3" fontId="36" fillId="0" borderId="11" xfId="0" applyNumberFormat="1" applyFont="1" applyFill="1" applyBorder="1" applyAlignment="1">
      <alignment horizontal="left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43" fillId="2" borderId="4" xfId="0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43" fillId="2" borderId="33" xfId="0" applyFont="1" applyFill="1" applyBorder="1" applyAlignment="1">
      <alignment horizontal="center" vertical="center" wrapText="1"/>
    </xf>
    <xf numFmtId="0" fontId="29" fillId="2" borderId="25" xfId="0" applyFont="1" applyFill="1" applyBorder="1" applyAlignment="1">
      <alignment horizontal="center" vertical="center" wrapText="1"/>
    </xf>
    <xf numFmtId="0" fontId="29" fillId="2" borderId="32" xfId="0" applyFont="1" applyFill="1" applyBorder="1" applyAlignment="1">
      <alignment horizontal="center" vertical="center" wrapText="1"/>
    </xf>
    <xf numFmtId="0" fontId="43" fillId="2" borderId="22" xfId="0" applyFont="1" applyFill="1" applyBorder="1" applyAlignment="1">
      <alignment horizontal="center" vertical="center" wrapText="1"/>
    </xf>
    <xf numFmtId="0" fontId="43" fillId="2" borderId="23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43" fillId="2" borderId="32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right"/>
    </xf>
    <xf numFmtId="0" fontId="3" fillId="4" borderId="22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9" fontId="5" fillId="4" borderId="51" xfId="0" applyNumberFormat="1" applyFont="1" applyFill="1" applyBorder="1" applyAlignment="1">
      <alignment horizontal="center" vertical="center" wrapText="1"/>
    </xf>
    <xf numFmtId="9" fontId="5" fillId="4" borderId="45" xfId="0" applyNumberFormat="1" applyFont="1" applyFill="1" applyBorder="1" applyAlignment="1">
      <alignment horizontal="center" vertical="center" wrapText="1"/>
    </xf>
    <xf numFmtId="9" fontId="5" fillId="4" borderId="53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horizontal="right"/>
    </xf>
    <xf numFmtId="0" fontId="5" fillId="2" borderId="25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2" fillId="0" borderId="49" xfId="2" applyFont="1" applyBorder="1" applyAlignment="1">
      <alignment horizontal="left" vertical="center" wrapText="1"/>
    </xf>
    <xf numFmtId="0" fontId="6" fillId="0" borderId="46" xfId="2" applyFont="1" applyBorder="1" applyAlignment="1">
      <alignment horizontal="left" vertical="center" wrapText="1"/>
    </xf>
    <xf numFmtId="3" fontId="2" fillId="0" borderId="49" xfId="2" applyNumberFormat="1" applyFont="1" applyBorder="1" applyAlignment="1">
      <alignment horizontal="center" vertical="center" wrapText="1"/>
    </xf>
    <xf numFmtId="3" fontId="2" fillId="0" borderId="46" xfId="2" applyNumberFormat="1" applyFont="1" applyBorder="1" applyAlignment="1">
      <alignment horizontal="center" vertical="center" wrapText="1"/>
    </xf>
    <xf numFmtId="0" fontId="11" fillId="0" borderId="0" xfId="2" applyFont="1" applyAlignment="1">
      <alignment horizontal="center"/>
    </xf>
    <xf numFmtId="0" fontId="3" fillId="3" borderId="46" xfId="2" applyFont="1" applyFill="1" applyBorder="1" applyAlignment="1">
      <alignment horizontal="center" vertical="center" wrapText="1"/>
    </xf>
    <xf numFmtId="3" fontId="2" fillId="0" borderId="47" xfId="2" applyNumberFormat="1" applyFont="1" applyBorder="1" applyAlignment="1">
      <alignment horizontal="center" vertical="center" wrapText="1"/>
    </xf>
    <xf numFmtId="164" fontId="3" fillId="3" borderId="47" xfId="2" applyNumberFormat="1" applyFont="1" applyFill="1" applyBorder="1" applyAlignment="1">
      <alignment horizontal="center" vertical="top" wrapText="1"/>
    </xf>
    <xf numFmtId="164" fontId="3" fillId="3" borderId="48" xfId="2" applyNumberFormat="1" applyFont="1" applyFill="1" applyBorder="1" applyAlignment="1">
      <alignment horizontal="center" vertical="top" wrapText="1"/>
    </xf>
    <xf numFmtId="164" fontId="3" fillId="3" borderId="49" xfId="2" applyNumberFormat="1" applyFont="1" applyFill="1" applyBorder="1" applyAlignment="1">
      <alignment horizontal="center" vertical="top" wrapText="1"/>
    </xf>
    <xf numFmtId="0" fontId="30" fillId="0" borderId="4" xfId="0" applyFont="1" applyBorder="1" applyAlignment="1">
      <alignment horizontal="left" vertical="top" wrapText="1"/>
    </xf>
    <xf numFmtId="0" fontId="30" fillId="0" borderId="5" xfId="0" applyFont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left" vertical="top"/>
    </xf>
    <xf numFmtId="0" fontId="30" fillId="0" borderId="5" xfId="0" applyFont="1" applyBorder="1" applyAlignment="1">
      <alignment horizontal="left" vertical="top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4" fillId="0" borderId="35" xfId="0" applyFont="1" applyBorder="1" applyAlignment="1">
      <alignment horizontal="right"/>
    </xf>
    <xf numFmtId="0" fontId="30" fillId="2" borderId="33" xfId="0" applyFont="1" applyFill="1" applyBorder="1" applyAlignment="1">
      <alignment horizontal="center" vertical="center" wrapText="1"/>
    </xf>
    <xf numFmtId="0" fontId="30" fillId="2" borderId="25" xfId="0" applyFont="1" applyFill="1" applyBorder="1" applyAlignment="1">
      <alignment horizontal="center" vertical="center" wrapText="1"/>
    </xf>
    <xf numFmtId="0" fontId="30" fillId="2" borderId="32" xfId="0" applyFont="1" applyFill="1" applyBorder="1" applyAlignment="1">
      <alignment horizontal="center" vertical="center" wrapText="1"/>
    </xf>
    <xf numFmtId="0" fontId="31" fillId="2" borderId="22" xfId="0" applyFont="1" applyFill="1" applyBorder="1" applyAlignment="1">
      <alignment horizontal="center" vertical="center" wrapText="1"/>
    </xf>
    <xf numFmtId="0" fontId="31" fillId="2" borderId="24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34" xfId="0" applyFont="1" applyFill="1" applyBorder="1" applyAlignment="1">
      <alignment horizontal="center" vertical="center" wrapText="1"/>
    </xf>
    <xf numFmtId="0" fontId="31" fillId="2" borderId="3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3" fontId="36" fillId="0" borderId="17" xfId="0" applyNumberFormat="1" applyFont="1" applyFill="1" applyBorder="1" applyAlignment="1">
      <alignment horizontal="left" vertical="center" wrapText="1"/>
    </xf>
    <xf numFmtId="3" fontId="36" fillId="0" borderId="16" xfId="0" applyNumberFormat="1" applyFont="1" applyFill="1" applyBorder="1" applyAlignment="1">
      <alignment horizontal="left" vertical="center" wrapText="1"/>
    </xf>
    <xf numFmtId="0" fontId="36" fillId="0" borderId="30" xfId="0" applyFont="1" applyFill="1" applyBorder="1" applyAlignment="1">
      <alignment horizontal="left" vertical="center" wrapText="1"/>
    </xf>
    <xf numFmtId="0" fontId="36" fillId="0" borderId="19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6" fillId="2" borderId="4" xfId="0" applyNumberFormat="1" applyFont="1" applyFill="1" applyBorder="1" applyAlignment="1">
      <alignment horizontal="center" vertical="center" wrapText="1"/>
    </xf>
    <xf numFmtId="164" fontId="36" fillId="2" borderId="5" xfId="0" applyNumberFormat="1" applyFont="1" applyFill="1" applyBorder="1" applyAlignment="1">
      <alignment horizontal="center" vertical="center" wrapText="1"/>
    </xf>
    <xf numFmtId="164" fontId="36" fillId="2" borderId="20" xfId="0" applyNumberFormat="1" applyFont="1" applyFill="1" applyBorder="1" applyAlignment="1">
      <alignment horizontal="center" vertical="center" wrapText="1"/>
    </xf>
    <xf numFmtId="0" fontId="36" fillId="2" borderId="22" xfId="0" applyFont="1" applyFill="1" applyBorder="1" applyAlignment="1">
      <alignment horizontal="center" vertical="center" wrapText="1"/>
    </xf>
    <xf numFmtId="0" fontId="36" fillId="2" borderId="24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right"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</cellXfs>
  <cellStyles count="7">
    <cellStyle name="Ezres" xfId="1" builtinId="3"/>
    <cellStyle name="Ezres 2" xfId="4"/>
    <cellStyle name="Ezres 2 2" xfId="6"/>
    <cellStyle name="Ezres 3" xfId="5"/>
    <cellStyle name="Normál" xfId="0" builtinId="0"/>
    <cellStyle name="Normál 2" xfId="2"/>
    <cellStyle name="Normá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="96" zoomScaleSheetLayoutView="96" workbookViewId="0">
      <selection sqref="A1:XFD1"/>
    </sheetView>
  </sheetViews>
  <sheetFormatPr defaultRowHeight="15.75"/>
  <cols>
    <col min="1" max="1" width="9.28515625" style="1" customWidth="1"/>
    <col min="2" max="2" width="74.28515625" style="1" customWidth="1"/>
    <col min="3" max="3" width="18" style="1" customWidth="1"/>
    <col min="4" max="4" width="14.28515625" style="1" customWidth="1"/>
    <col min="5" max="5" width="18.140625" style="1" customWidth="1"/>
    <col min="6" max="257" width="9.140625" style="1"/>
    <col min="258" max="258" width="74.28515625" style="1" customWidth="1"/>
    <col min="259" max="261" width="15.5703125" style="1" customWidth="1"/>
    <col min="262" max="513" width="9.140625" style="1"/>
    <col min="514" max="514" width="74.28515625" style="1" customWidth="1"/>
    <col min="515" max="517" width="15.5703125" style="1" customWidth="1"/>
    <col min="518" max="769" width="9.140625" style="1"/>
    <col min="770" max="770" width="74.28515625" style="1" customWidth="1"/>
    <col min="771" max="773" width="15.5703125" style="1" customWidth="1"/>
    <col min="774" max="1025" width="9.140625" style="1"/>
    <col min="1026" max="1026" width="74.28515625" style="1" customWidth="1"/>
    <col min="1027" max="1029" width="15.5703125" style="1" customWidth="1"/>
    <col min="1030" max="1281" width="9.140625" style="1"/>
    <col min="1282" max="1282" width="74.28515625" style="1" customWidth="1"/>
    <col min="1283" max="1285" width="15.5703125" style="1" customWidth="1"/>
    <col min="1286" max="1537" width="9.140625" style="1"/>
    <col min="1538" max="1538" width="74.28515625" style="1" customWidth="1"/>
    <col min="1539" max="1541" width="15.5703125" style="1" customWidth="1"/>
    <col min="1542" max="1793" width="9.140625" style="1"/>
    <col min="1794" max="1794" width="74.28515625" style="1" customWidth="1"/>
    <col min="1795" max="1797" width="15.5703125" style="1" customWidth="1"/>
    <col min="1798" max="2049" width="9.140625" style="1"/>
    <col min="2050" max="2050" width="74.28515625" style="1" customWidth="1"/>
    <col min="2051" max="2053" width="15.5703125" style="1" customWidth="1"/>
    <col min="2054" max="2305" width="9.140625" style="1"/>
    <col min="2306" max="2306" width="74.28515625" style="1" customWidth="1"/>
    <col min="2307" max="2309" width="15.5703125" style="1" customWidth="1"/>
    <col min="2310" max="2561" width="9.140625" style="1"/>
    <col min="2562" max="2562" width="74.28515625" style="1" customWidth="1"/>
    <col min="2563" max="2565" width="15.5703125" style="1" customWidth="1"/>
    <col min="2566" max="2817" width="9.140625" style="1"/>
    <col min="2818" max="2818" width="74.28515625" style="1" customWidth="1"/>
    <col min="2819" max="2821" width="15.5703125" style="1" customWidth="1"/>
    <col min="2822" max="3073" width="9.140625" style="1"/>
    <col min="3074" max="3074" width="74.28515625" style="1" customWidth="1"/>
    <col min="3075" max="3077" width="15.5703125" style="1" customWidth="1"/>
    <col min="3078" max="3329" width="9.140625" style="1"/>
    <col min="3330" max="3330" width="74.28515625" style="1" customWidth="1"/>
    <col min="3331" max="3333" width="15.5703125" style="1" customWidth="1"/>
    <col min="3334" max="3585" width="9.140625" style="1"/>
    <col min="3586" max="3586" width="74.28515625" style="1" customWidth="1"/>
    <col min="3587" max="3589" width="15.5703125" style="1" customWidth="1"/>
    <col min="3590" max="3841" width="9.140625" style="1"/>
    <col min="3842" max="3842" width="74.28515625" style="1" customWidth="1"/>
    <col min="3843" max="3845" width="15.5703125" style="1" customWidth="1"/>
    <col min="3846" max="4097" width="9.140625" style="1"/>
    <col min="4098" max="4098" width="74.28515625" style="1" customWidth="1"/>
    <col min="4099" max="4101" width="15.5703125" style="1" customWidth="1"/>
    <col min="4102" max="4353" width="9.140625" style="1"/>
    <col min="4354" max="4354" width="74.28515625" style="1" customWidth="1"/>
    <col min="4355" max="4357" width="15.5703125" style="1" customWidth="1"/>
    <col min="4358" max="4609" width="9.140625" style="1"/>
    <col min="4610" max="4610" width="74.28515625" style="1" customWidth="1"/>
    <col min="4611" max="4613" width="15.5703125" style="1" customWidth="1"/>
    <col min="4614" max="4865" width="9.140625" style="1"/>
    <col min="4866" max="4866" width="74.28515625" style="1" customWidth="1"/>
    <col min="4867" max="4869" width="15.5703125" style="1" customWidth="1"/>
    <col min="4870" max="5121" width="9.140625" style="1"/>
    <col min="5122" max="5122" width="74.28515625" style="1" customWidth="1"/>
    <col min="5123" max="5125" width="15.5703125" style="1" customWidth="1"/>
    <col min="5126" max="5377" width="9.140625" style="1"/>
    <col min="5378" max="5378" width="74.28515625" style="1" customWidth="1"/>
    <col min="5379" max="5381" width="15.5703125" style="1" customWidth="1"/>
    <col min="5382" max="5633" width="9.140625" style="1"/>
    <col min="5634" max="5634" width="74.28515625" style="1" customWidth="1"/>
    <col min="5635" max="5637" width="15.5703125" style="1" customWidth="1"/>
    <col min="5638" max="5889" width="9.140625" style="1"/>
    <col min="5890" max="5890" width="74.28515625" style="1" customWidth="1"/>
    <col min="5891" max="5893" width="15.5703125" style="1" customWidth="1"/>
    <col min="5894" max="6145" width="9.140625" style="1"/>
    <col min="6146" max="6146" width="74.28515625" style="1" customWidth="1"/>
    <col min="6147" max="6149" width="15.5703125" style="1" customWidth="1"/>
    <col min="6150" max="6401" width="9.140625" style="1"/>
    <col min="6402" max="6402" width="74.28515625" style="1" customWidth="1"/>
    <col min="6403" max="6405" width="15.5703125" style="1" customWidth="1"/>
    <col min="6406" max="6657" width="9.140625" style="1"/>
    <col min="6658" max="6658" width="74.28515625" style="1" customWidth="1"/>
    <col min="6659" max="6661" width="15.5703125" style="1" customWidth="1"/>
    <col min="6662" max="6913" width="9.140625" style="1"/>
    <col min="6914" max="6914" width="74.28515625" style="1" customWidth="1"/>
    <col min="6915" max="6917" width="15.5703125" style="1" customWidth="1"/>
    <col min="6918" max="7169" width="9.140625" style="1"/>
    <col min="7170" max="7170" width="74.28515625" style="1" customWidth="1"/>
    <col min="7171" max="7173" width="15.5703125" style="1" customWidth="1"/>
    <col min="7174" max="7425" width="9.140625" style="1"/>
    <col min="7426" max="7426" width="74.28515625" style="1" customWidth="1"/>
    <col min="7427" max="7429" width="15.5703125" style="1" customWidth="1"/>
    <col min="7430" max="7681" width="9.140625" style="1"/>
    <col min="7682" max="7682" width="74.28515625" style="1" customWidth="1"/>
    <col min="7683" max="7685" width="15.5703125" style="1" customWidth="1"/>
    <col min="7686" max="7937" width="9.140625" style="1"/>
    <col min="7938" max="7938" width="74.28515625" style="1" customWidth="1"/>
    <col min="7939" max="7941" width="15.5703125" style="1" customWidth="1"/>
    <col min="7942" max="8193" width="9.140625" style="1"/>
    <col min="8194" max="8194" width="74.28515625" style="1" customWidth="1"/>
    <col min="8195" max="8197" width="15.5703125" style="1" customWidth="1"/>
    <col min="8198" max="8449" width="9.140625" style="1"/>
    <col min="8450" max="8450" width="74.28515625" style="1" customWidth="1"/>
    <col min="8451" max="8453" width="15.5703125" style="1" customWidth="1"/>
    <col min="8454" max="8705" width="9.140625" style="1"/>
    <col min="8706" max="8706" width="74.28515625" style="1" customWidth="1"/>
    <col min="8707" max="8709" width="15.5703125" style="1" customWidth="1"/>
    <col min="8710" max="8961" width="9.140625" style="1"/>
    <col min="8962" max="8962" width="74.28515625" style="1" customWidth="1"/>
    <col min="8963" max="8965" width="15.5703125" style="1" customWidth="1"/>
    <col min="8966" max="9217" width="9.140625" style="1"/>
    <col min="9218" max="9218" width="74.28515625" style="1" customWidth="1"/>
    <col min="9219" max="9221" width="15.5703125" style="1" customWidth="1"/>
    <col min="9222" max="9473" width="9.140625" style="1"/>
    <col min="9474" max="9474" width="74.28515625" style="1" customWidth="1"/>
    <col min="9475" max="9477" width="15.5703125" style="1" customWidth="1"/>
    <col min="9478" max="9729" width="9.140625" style="1"/>
    <col min="9730" max="9730" width="74.28515625" style="1" customWidth="1"/>
    <col min="9731" max="9733" width="15.5703125" style="1" customWidth="1"/>
    <col min="9734" max="9985" width="9.140625" style="1"/>
    <col min="9986" max="9986" width="74.28515625" style="1" customWidth="1"/>
    <col min="9987" max="9989" width="15.5703125" style="1" customWidth="1"/>
    <col min="9990" max="10241" width="9.140625" style="1"/>
    <col min="10242" max="10242" width="74.28515625" style="1" customWidth="1"/>
    <col min="10243" max="10245" width="15.5703125" style="1" customWidth="1"/>
    <col min="10246" max="10497" width="9.140625" style="1"/>
    <col min="10498" max="10498" width="74.28515625" style="1" customWidth="1"/>
    <col min="10499" max="10501" width="15.5703125" style="1" customWidth="1"/>
    <col min="10502" max="10753" width="9.140625" style="1"/>
    <col min="10754" max="10754" width="74.28515625" style="1" customWidth="1"/>
    <col min="10755" max="10757" width="15.5703125" style="1" customWidth="1"/>
    <col min="10758" max="11009" width="9.140625" style="1"/>
    <col min="11010" max="11010" width="74.28515625" style="1" customWidth="1"/>
    <col min="11011" max="11013" width="15.5703125" style="1" customWidth="1"/>
    <col min="11014" max="11265" width="9.140625" style="1"/>
    <col min="11266" max="11266" width="74.28515625" style="1" customWidth="1"/>
    <col min="11267" max="11269" width="15.5703125" style="1" customWidth="1"/>
    <col min="11270" max="11521" width="9.140625" style="1"/>
    <col min="11522" max="11522" width="74.28515625" style="1" customWidth="1"/>
    <col min="11523" max="11525" width="15.5703125" style="1" customWidth="1"/>
    <col min="11526" max="11777" width="9.140625" style="1"/>
    <col min="11778" max="11778" width="74.28515625" style="1" customWidth="1"/>
    <col min="11779" max="11781" width="15.5703125" style="1" customWidth="1"/>
    <col min="11782" max="12033" width="9.140625" style="1"/>
    <col min="12034" max="12034" width="74.28515625" style="1" customWidth="1"/>
    <col min="12035" max="12037" width="15.5703125" style="1" customWidth="1"/>
    <col min="12038" max="12289" width="9.140625" style="1"/>
    <col min="12290" max="12290" width="74.28515625" style="1" customWidth="1"/>
    <col min="12291" max="12293" width="15.5703125" style="1" customWidth="1"/>
    <col min="12294" max="12545" width="9.140625" style="1"/>
    <col min="12546" max="12546" width="74.28515625" style="1" customWidth="1"/>
    <col min="12547" max="12549" width="15.5703125" style="1" customWidth="1"/>
    <col min="12550" max="12801" width="9.140625" style="1"/>
    <col min="12802" max="12802" width="74.28515625" style="1" customWidth="1"/>
    <col min="12803" max="12805" width="15.5703125" style="1" customWidth="1"/>
    <col min="12806" max="13057" width="9.140625" style="1"/>
    <col min="13058" max="13058" width="74.28515625" style="1" customWidth="1"/>
    <col min="13059" max="13061" width="15.5703125" style="1" customWidth="1"/>
    <col min="13062" max="13313" width="9.140625" style="1"/>
    <col min="13314" max="13314" width="74.28515625" style="1" customWidth="1"/>
    <col min="13315" max="13317" width="15.5703125" style="1" customWidth="1"/>
    <col min="13318" max="13569" width="9.140625" style="1"/>
    <col min="13570" max="13570" width="74.28515625" style="1" customWidth="1"/>
    <col min="13571" max="13573" width="15.5703125" style="1" customWidth="1"/>
    <col min="13574" max="13825" width="9.140625" style="1"/>
    <col min="13826" max="13826" width="74.28515625" style="1" customWidth="1"/>
    <col min="13827" max="13829" width="15.5703125" style="1" customWidth="1"/>
    <col min="13830" max="14081" width="9.140625" style="1"/>
    <col min="14082" max="14082" width="74.28515625" style="1" customWidth="1"/>
    <col min="14083" max="14085" width="15.5703125" style="1" customWidth="1"/>
    <col min="14086" max="14337" width="9.140625" style="1"/>
    <col min="14338" max="14338" width="74.28515625" style="1" customWidth="1"/>
    <col min="14339" max="14341" width="15.5703125" style="1" customWidth="1"/>
    <col min="14342" max="14593" width="9.140625" style="1"/>
    <col min="14594" max="14594" width="74.28515625" style="1" customWidth="1"/>
    <col min="14595" max="14597" width="15.5703125" style="1" customWidth="1"/>
    <col min="14598" max="14849" width="9.140625" style="1"/>
    <col min="14850" max="14850" width="74.28515625" style="1" customWidth="1"/>
    <col min="14851" max="14853" width="15.5703125" style="1" customWidth="1"/>
    <col min="14854" max="15105" width="9.140625" style="1"/>
    <col min="15106" max="15106" width="74.28515625" style="1" customWidth="1"/>
    <col min="15107" max="15109" width="15.5703125" style="1" customWidth="1"/>
    <col min="15110" max="15361" width="9.140625" style="1"/>
    <col min="15362" max="15362" width="74.28515625" style="1" customWidth="1"/>
    <col min="15363" max="15365" width="15.5703125" style="1" customWidth="1"/>
    <col min="15366" max="15617" width="9.140625" style="1"/>
    <col min="15618" max="15618" width="74.28515625" style="1" customWidth="1"/>
    <col min="15619" max="15621" width="15.5703125" style="1" customWidth="1"/>
    <col min="15622" max="15873" width="9.140625" style="1"/>
    <col min="15874" max="15874" width="74.28515625" style="1" customWidth="1"/>
    <col min="15875" max="15877" width="15.5703125" style="1" customWidth="1"/>
    <col min="15878" max="16129" width="9.140625" style="1"/>
    <col min="16130" max="16130" width="74.28515625" style="1" customWidth="1"/>
    <col min="16131" max="16133" width="15.5703125" style="1" customWidth="1"/>
    <col min="16134" max="16384" width="9.140625" style="1"/>
  </cols>
  <sheetData>
    <row r="1" spans="1:5">
      <c r="A1" s="1" t="s">
        <v>1027</v>
      </c>
    </row>
    <row r="4" spans="1:5" s="2" customFormat="1" ht="16.5">
      <c r="A4" s="818" t="s">
        <v>750</v>
      </c>
      <c r="B4" s="818"/>
      <c r="C4" s="818"/>
      <c r="D4" s="818"/>
      <c r="E4" s="818"/>
    </row>
    <row r="5" spans="1:5" s="2" customFormat="1">
      <c r="B5" s="3"/>
      <c r="C5" s="3"/>
      <c r="D5" s="3"/>
      <c r="E5" s="3"/>
    </row>
    <row r="6" spans="1:5">
      <c r="E6" s="4" t="s">
        <v>7</v>
      </c>
    </row>
    <row r="7" spans="1:5" s="6" customFormat="1" ht="31.5">
      <c r="A7" s="5" t="s">
        <v>8</v>
      </c>
      <c r="B7" s="5" t="s">
        <v>0</v>
      </c>
      <c r="C7" s="5" t="s">
        <v>1</v>
      </c>
      <c r="D7" s="5" t="s">
        <v>2</v>
      </c>
      <c r="E7" s="5" t="s">
        <v>3</v>
      </c>
    </row>
    <row r="8" spans="1:5" s="7" customFormat="1" ht="22.5" customHeight="1">
      <c r="A8" s="9" t="s">
        <v>18</v>
      </c>
      <c r="B8" s="10" t="s">
        <v>43</v>
      </c>
      <c r="C8" s="11">
        <v>30826855</v>
      </c>
      <c r="D8" s="11">
        <v>0</v>
      </c>
      <c r="E8" s="438">
        <v>30826855</v>
      </c>
    </row>
    <row r="9" spans="1:5" s="7" customFormat="1" ht="22.5" customHeight="1">
      <c r="A9" s="9" t="s">
        <v>19</v>
      </c>
      <c r="B9" s="10" t="s">
        <v>44</v>
      </c>
      <c r="C9" s="11">
        <v>15515947551</v>
      </c>
      <c r="D9" s="11">
        <v>0</v>
      </c>
      <c r="E9" s="438">
        <v>15515947551</v>
      </c>
    </row>
    <row r="10" spans="1:5" s="7" customFormat="1" ht="22.5" customHeight="1">
      <c r="A10" s="9" t="s">
        <v>20</v>
      </c>
      <c r="B10" s="10" t="s">
        <v>45</v>
      </c>
      <c r="C10" s="11">
        <v>131966200</v>
      </c>
      <c r="D10" s="11">
        <v>0</v>
      </c>
      <c r="E10" s="438">
        <v>131966200</v>
      </c>
    </row>
    <row r="11" spans="1:5" s="7" customFormat="1" ht="22.5" customHeight="1">
      <c r="A11" s="9" t="s">
        <v>21</v>
      </c>
      <c r="B11" s="10" t="s">
        <v>46</v>
      </c>
      <c r="C11" s="11">
        <v>81560395</v>
      </c>
      <c r="D11" s="11">
        <v>0</v>
      </c>
      <c r="E11" s="438">
        <v>81560395</v>
      </c>
    </row>
    <row r="12" spans="1:5" s="7" customFormat="1" ht="22.5" customHeight="1">
      <c r="A12" s="12" t="s">
        <v>22</v>
      </c>
      <c r="B12" s="13" t="s">
        <v>47</v>
      </c>
      <c r="C12" s="14">
        <f>SUM(C8:C11)</f>
        <v>15760301001</v>
      </c>
      <c r="D12" s="14">
        <v>0</v>
      </c>
      <c r="E12" s="439">
        <f>SUM(E8:E11)</f>
        <v>15760301001</v>
      </c>
    </row>
    <row r="13" spans="1:5" s="7" customFormat="1" ht="22.5" customHeight="1">
      <c r="A13" s="9" t="s">
        <v>23</v>
      </c>
      <c r="B13" s="10" t="s">
        <v>48</v>
      </c>
      <c r="C13" s="11">
        <v>15929589</v>
      </c>
      <c r="D13" s="11">
        <v>0</v>
      </c>
      <c r="E13" s="438">
        <v>15929589</v>
      </c>
    </row>
    <row r="14" spans="1:5" s="7" customFormat="1" ht="22.5" customHeight="1">
      <c r="A14" s="12" t="s">
        <v>24</v>
      </c>
      <c r="B14" s="13" t="s">
        <v>49</v>
      </c>
      <c r="C14" s="14">
        <f>SUM(C13)</f>
        <v>15929589</v>
      </c>
      <c r="D14" s="14">
        <v>0</v>
      </c>
      <c r="E14" s="439">
        <f>SUM(E13)</f>
        <v>15929589</v>
      </c>
    </row>
    <row r="15" spans="1:5" s="7" customFormat="1" ht="22.5" customHeight="1">
      <c r="A15" s="9" t="s">
        <v>25</v>
      </c>
      <c r="B15" s="10" t="s">
        <v>50</v>
      </c>
      <c r="C15" s="11">
        <v>1209681</v>
      </c>
      <c r="D15" s="11">
        <v>0</v>
      </c>
      <c r="E15" s="438">
        <v>1209681</v>
      </c>
    </row>
    <row r="16" spans="1:5" s="7" customFormat="1" ht="22.5" customHeight="1">
      <c r="A16" s="9" t="s">
        <v>13</v>
      </c>
      <c r="B16" s="10" t="s">
        <v>51</v>
      </c>
      <c r="C16" s="11">
        <v>3540205017</v>
      </c>
      <c r="D16" s="11">
        <v>0</v>
      </c>
      <c r="E16" s="438">
        <v>3540205017</v>
      </c>
    </row>
    <row r="17" spans="1:5" s="7" customFormat="1" ht="22.5" customHeight="1">
      <c r="A17" s="12" t="s">
        <v>26</v>
      </c>
      <c r="B17" s="13" t="s">
        <v>52</v>
      </c>
      <c r="C17" s="14">
        <f>SUM(C15:C16)</f>
        <v>3541414698</v>
      </c>
      <c r="D17" s="14">
        <v>0</v>
      </c>
      <c r="E17" s="439">
        <f>SUM(E15:E16)</f>
        <v>3541414698</v>
      </c>
    </row>
    <row r="18" spans="1:5" s="7" customFormat="1" ht="22.5" customHeight="1">
      <c r="A18" s="9" t="s">
        <v>27</v>
      </c>
      <c r="B18" s="10" t="s">
        <v>53</v>
      </c>
      <c r="C18" s="11">
        <v>261990415</v>
      </c>
      <c r="D18" s="11">
        <v>0</v>
      </c>
      <c r="E18" s="438">
        <v>261990415</v>
      </c>
    </row>
    <row r="19" spans="1:5" s="7" customFormat="1" ht="22.5" customHeight="1">
      <c r="A19" s="9" t="s">
        <v>28</v>
      </c>
      <c r="B19" s="10" t="s">
        <v>54</v>
      </c>
      <c r="C19" s="11">
        <v>128954177</v>
      </c>
      <c r="D19" s="11">
        <v>0</v>
      </c>
      <c r="E19" s="438">
        <v>128954177</v>
      </c>
    </row>
    <row r="20" spans="1:5" s="7" customFormat="1" ht="22.5" customHeight="1">
      <c r="A20" s="9" t="s">
        <v>29</v>
      </c>
      <c r="B20" s="10" t="s">
        <v>55</v>
      </c>
      <c r="C20" s="11">
        <v>210336172</v>
      </c>
      <c r="D20" s="11">
        <v>0</v>
      </c>
      <c r="E20" s="438">
        <v>210336172</v>
      </c>
    </row>
    <row r="21" spans="1:5" s="7" customFormat="1" ht="22.5" customHeight="1">
      <c r="A21" s="12" t="s">
        <v>30</v>
      </c>
      <c r="B21" s="13" t="s">
        <v>56</v>
      </c>
      <c r="C21" s="14">
        <f>SUM(C18:C20)</f>
        <v>601280764</v>
      </c>
      <c r="D21" s="14">
        <v>0</v>
      </c>
      <c r="E21" s="439">
        <f>SUM(E18:E20)</f>
        <v>601280764</v>
      </c>
    </row>
    <row r="22" spans="1:5" s="7" customFormat="1" ht="22.5" customHeight="1">
      <c r="A22" s="12" t="s">
        <v>31</v>
      </c>
      <c r="B22" s="13" t="s">
        <v>57</v>
      </c>
      <c r="C22" s="14">
        <v>51477253</v>
      </c>
      <c r="D22" s="14">
        <v>0</v>
      </c>
      <c r="E22" s="439">
        <v>51477253</v>
      </c>
    </row>
    <row r="23" spans="1:5" s="7" customFormat="1" ht="22.5" customHeight="1">
      <c r="A23" s="12" t="s">
        <v>32</v>
      </c>
      <c r="B23" s="13" t="s">
        <v>58</v>
      </c>
      <c r="C23" s="14">
        <v>3206247</v>
      </c>
      <c r="D23" s="14">
        <v>0</v>
      </c>
      <c r="E23" s="439">
        <v>3206247</v>
      </c>
    </row>
    <row r="24" spans="1:5" s="7" customFormat="1" ht="22.5" customHeight="1">
      <c r="A24" s="15" t="s">
        <v>33</v>
      </c>
      <c r="B24" s="16" t="s">
        <v>4</v>
      </c>
      <c r="C24" s="17">
        <f>SUM(C12+C14+C17+C21+C22+C23)</f>
        <v>19973609552</v>
      </c>
      <c r="D24" s="17">
        <v>0</v>
      </c>
      <c r="E24" s="17">
        <f>SUM(E12+E14+E17+E21+E22+E23)</f>
        <v>19973609552</v>
      </c>
    </row>
    <row r="25" spans="1:5" s="7" customFormat="1" ht="22.5" customHeight="1">
      <c r="A25" s="9" t="s">
        <v>34</v>
      </c>
      <c r="B25" s="10" t="s">
        <v>59</v>
      </c>
      <c r="C25" s="11">
        <v>19923665087</v>
      </c>
      <c r="D25" s="11">
        <v>0</v>
      </c>
      <c r="E25" s="438">
        <v>19923665087</v>
      </c>
    </row>
    <row r="26" spans="1:5" s="7" customFormat="1" ht="22.5" customHeight="1">
      <c r="A26" s="9" t="s">
        <v>35</v>
      </c>
      <c r="B26" s="10" t="s">
        <v>60</v>
      </c>
      <c r="C26" s="11">
        <v>-4577345297</v>
      </c>
      <c r="D26" s="11">
        <v>0</v>
      </c>
      <c r="E26" s="438">
        <v>-4577345297</v>
      </c>
    </row>
    <row r="27" spans="1:5" s="7" customFormat="1" ht="22.5" customHeight="1">
      <c r="A27" s="9" t="s">
        <v>36</v>
      </c>
      <c r="B27" s="10" t="s">
        <v>61</v>
      </c>
      <c r="C27" s="11">
        <v>-642567798</v>
      </c>
      <c r="D27" s="11">
        <v>0</v>
      </c>
      <c r="E27" s="438">
        <v>-642567798</v>
      </c>
    </row>
    <row r="28" spans="1:5" s="7" customFormat="1" ht="22.5" customHeight="1">
      <c r="A28" s="12" t="s">
        <v>37</v>
      </c>
      <c r="B28" s="13" t="s">
        <v>62</v>
      </c>
      <c r="C28" s="14">
        <f>SUM(C25:C27)</f>
        <v>14703751992</v>
      </c>
      <c r="D28" s="14">
        <v>0</v>
      </c>
      <c r="E28" s="439">
        <f>SUM(E25:E27)</f>
        <v>14703751992</v>
      </c>
    </row>
    <row r="29" spans="1:5" s="7" customFormat="1" ht="22.5" customHeight="1">
      <c r="A29" s="9" t="s">
        <v>38</v>
      </c>
      <c r="B29" s="10" t="s">
        <v>63</v>
      </c>
      <c r="C29" s="11">
        <v>135267816</v>
      </c>
      <c r="D29" s="11">
        <v>0</v>
      </c>
      <c r="E29" s="438">
        <v>135267816</v>
      </c>
    </row>
    <row r="30" spans="1:5" s="7" customFormat="1" ht="22.5" customHeight="1">
      <c r="A30" s="9" t="s">
        <v>39</v>
      </c>
      <c r="B30" s="10" t="s">
        <v>64</v>
      </c>
      <c r="C30" s="11">
        <v>92831005</v>
      </c>
      <c r="D30" s="11">
        <v>0</v>
      </c>
      <c r="E30" s="438">
        <v>92831005</v>
      </c>
    </row>
    <row r="31" spans="1:5" s="7" customFormat="1" ht="22.5" customHeight="1">
      <c r="A31" s="9" t="s">
        <v>40</v>
      </c>
      <c r="B31" s="10" t="s">
        <v>65</v>
      </c>
      <c r="C31" s="11">
        <v>35709597</v>
      </c>
      <c r="D31" s="11">
        <v>0</v>
      </c>
      <c r="E31" s="438">
        <v>35709597</v>
      </c>
    </row>
    <row r="32" spans="1:5" s="7" customFormat="1" ht="22.5" customHeight="1">
      <c r="A32" s="12" t="s">
        <v>38</v>
      </c>
      <c r="B32" s="13" t="s">
        <v>66</v>
      </c>
      <c r="C32" s="14">
        <f>SUM(C29:C31)</f>
        <v>263808418</v>
      </c>
      <c r="D32" s="14">
        <v>0</v>
      </c>
      <c r="E32" s="439">
        <f>SUM(E29:E31)</f>
        <v>263808418</v>
      </c>
    </row>
    <row r="33" spans="1:5" s="7" customFormat="1" ht="22.5" customHeight="1">
      <c r="A33" s="12" t="s">
        <v>41</v>
      </c>
      <c r="B33" s="13" t="s">
        <v>67</v>
      </c>
      <c r="C33" s="14">
        <v>5006049142</v>
      </c>
      <c r="D33" s="14">
        <v>0</v>
      </c>
      <c r="E33" s="439">
        <v>5006049142</v>
      </c>
    </row>
    <row r="34" spans="1:5" ht="22.5" customHeight="1">
      <c r="A34" s="15" t="s">
        <v>42</v>
      </c>
      <c r="B34" s="16" t="s">
        <v>5</v>
      </c>
      <c r="C34" s="17">
        <f>SUM(C28+C32+C33)</f>
        <v>19973609552</v>
      </c>
      <c r="D34" s="17">
        <v>0</v>
      </c>
      <c r="E34" s="17">
        <f>SUM(E28+E32+E33)</f>
        <v>19973609552</v>
      </c>
    </row>
    <row r="35" spans="1:5">
      <c r="C35" s="275">
        <f>SUM(C24-C34)</f>
        <v>0</v>
      </c>
      <c r="E35" s="275">
        <f>SUM(E24-E34)</f>
        <v>0</v>
      </c>
    </row>
  </sheetData>
  <mergeCells count="1">
    <mergeCell ref="A4:E4"/>
  </mergeCells>
  <pageMargins left="0.7" right="0.7" top="0.75" bottom="0.75" header="0.3" footer="0.3"/>
  <pageSetup paperSize="9" scale="63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M21"/>
  <sheetViews>
    <sheetView view="pageBreakPreview" zoomScale="98" zoomScaleSheetLayoutView="98" workbookViewId="0">
      <selection sqref="A1:XFD1"/>
    </sheetView>
  </sheetViews>
  <sheetFormatPr defaultRowHeight="15"/>
  <cols>
    <col min="1" max="1" width="26.140625" style="204" customWidth="1"/>
    <col min="2" max="4" width="15.7109375" style="202" customWidth="1"/>
    <col min="5" max="5" width="12" style="203" customWidth="1"/>
    <col min="6" max="7" width="15.42578125" style="204" customWidth="1"/>
    <col min="8" max="8" width="15.42578125" style="202" customWidth="1"/>
    <col min="9" max="9" width="12" style="203" customWidth="1"/>
    <col min="10" max="11" width="14.7109375" style="204" customWidth="1"/>
    <col min="12" max="12" width="14.7109375" style="202" customWidth="1"/>
    <col min="13" max="13" width="12" style="203" customWidth="1"/>
    <col min="14" max="15" width="13.28515625" style="204" customWidth="1"/>
    <col min="16" max="16" width="13.28515625" style="202" customWidth="1"/>
    <col min="17" max="17" width="12" style="203" customWidth="1"/>
    <col min="18" max="19" width="15.42578125" style="204" customWidth="1"/>
    <col min="20" max="20" width="15.42578125" style="202" customWidth="1"/>
    <col min="21" max="21" width="12" style="203" customWidth="1"/>
    <col min="22" max="23" width="14.140625" style="204" customWidth="1"/>
    <col min="24" max="24" width="14.140625" style="202" customWidth="1"/>
    <col min="25" max="25" width="12" style="203" customWidth="1"/>
    <col min="26" max="26" width="26.140625" style="204" customWidth="1"/>
    <col min="27" max="28" width="14.28515625" style="204" customWidth="1"/>
    <col min="29" max="29" width="14.28515625" style="202" customWidth="1"/>
    <col min="30" max="30" width="12" style="203" customWidth="1"/>
    <col min="31" max="32" width="14.85546875" style="204" customWidth="1"/>
    <col min="33" max="33" width="14.85546875" style="202" customWidth="1"/>
    <col min="34" max="34" width="12" style="203" customWidth="1"/>
    <col min="35" max="36" width="15.28515625" style="204" customWidth="1"/>
    <col min="37" max="37" width="15.28515625" style="202" customWidth="1"/>
    <col min="38" max="38" width="12" style="203" customWidth="1"/>
    <col min="39" max="40" width="16" style="204" customWidth="1"/>
    <col min="41" max="41" width="16" style="202" customWidth="1"/>
    <col min="42" max="42" width="16" style="203" customWidth="1"/>
    <col min="43" max="44" width="16" style="204" customWidth="1"/>
    <col min="45" max="45" width="16" style="202" customWidth="1"/>
    <col min="46" max="46" width="16" style="203" customWidth="1"/>
    <col min="47" max="48" width="16" style="204" customWidth="1"/>
    <col min="49" max="49" width="16" style="202" customWidth="1"/>
    <col min="50" max="50" width="16" style="203" customWidth="1"/>
    <col min="51" max="51" width="13.5703125" style="204" customWidth="1"/>
    <col min="52" max="52" width="13.28515625" style="204" bestFit="1" customWidth="1"/>
    <col min="53" max="55" width="13.5703125" style="204" customWidth="1"/>
    <col min="56" max="56" width="14.28515625" style="204" customWidth="1"/>
    <col min="57" max="59" width="13.5703125" style="204" customWidth="1"/>
    <col min="60" max="16384" width="9.140625" style="204"/>
  </cols>
  <sheetData>
    <row r="1" spans="1:91" s="199" customFormat="1" ht="15.75">
      <c r="A1" s="816" t="s">
        <v>1036</v>
      </c>
      <c r="B1" s="197"/>
      <c r="C1" s="197"/>
      <c r="D1" s="197"/>
      <c r="E1" s="198"/>
      <c r="H1" s="197"/>
      <c r="I1" s="198"/>
      <c r="L1" s="197"/>
      <c r="M1" s="198"/>
      <c r="P1" s="197"/>
      <c r="Q1" s="198"/>
      <c r="T1" s="197"/>
      <c r="U1" s="198"/>
      <c r="X1" s="197"/>
      <c r="Y1" s="200" t="s">
        <v>390</v>
      </c>
      <c r="Z1" s="196" t="s">
        <v>418</v>
      </c>
      <c r="AC1" s="197"/>
      <c r="AD1" s="198"/>
      <c r="AG1" s="197"/>
      <c r="AH1" s="198"/>
      <c r="AK1" s="197"/>
      <c r="AL1" s="198"/>
      <c r="AO1" s="197"/>
      <c r="AP1" s="198"/>
      <c r="AS1" s="197"/>
      <c r="AT1" s="198"/>
      <c r="AW1" s="197"/>
      <c r="AX1" s="200" t="s">
        <v>391</v>
      </c>
    </row>
    <row r="2" spans="1:91" ht="15.75">
      <c r="A2" s="201"/>
      <c r="Z2" s="201"/>
    </row>
    <row r="3" spans="1:91" ht="15.75">
      <c r="A3" s="201"/>
      <c r="Z3" s="201"/>
    </row>
    <row r="4" spans="1:91" ht="15.75">
      <c r="A4" s="201"/>
      <c r="Z4" s="201"/>
    </row>
    <row r="5" spans="1:91" ht="19.5">
      <c r="A5" s="908" t="s">
        <v>826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  <c r="P5" s="908"/>
      <c r="Q5" s="908"/>
      <c r="R5" s="908"/>
      <c r="S5" s="908"/>
      <c r="T5" s="908"/>
      <c r="U5" s="908"/>
      <c r="V5" s="908"/>
      <c r="W5" s="908"/>
      <c r="X5" s="908"/>
      <c r="Y5" s="908"/>
      <c r="Z5" s="205"/>
      <c r="AA5" s="908" t="s">
        <v>666</v>
      </c>
      <c r="AB5" s="908"/>
      <c r="AC5" s="908"/>
      <c r="AD5" s="908"/>
      <c r="AE5" s="908"/>
      <c r="AF5" s="908"/>
      <c r="AG5" s="908"/>
      <c r="AH5" s="908"/>
      <c r="AI5" s="908"/>
      <c r="AJ5" s="908"/>
      <c r="AK5" s="908"/>
      <c r="AL5" s="908"/>
      <c r="AM5" s="908"/>
      <c r="AN5" s="908"/>
      <c r="AO5" s="908"/>
      <c r="AP5" s="908"/>
      <c r="AQ5" s="908"/>
      <c r="AR5" s="908"/>
      <c r="AS5" s="908"/>
      <c r="AT5" s="908"/>
      <c r="AU5" s="908"/>
      <c r="AV5" s="908"/>
      <c r="AW5" s="908"/>
      <c r="AX5" s="908"/>
      <c r="AY5" s="206"/>
      <c r="AZ5" s="206"/>
      <c r="BA5" s="206"/>
      <c r="BB5" s="206"/>
      <c r="BC5" s="206"/>
      <c r="BD5" s="206"/>
      <c r="BE5" s="206"/>
      <c r="BF5" s="206"/>
      <c r="BG5" s="206"/>
      <c r="BH5" s="206"/>
    </row>
    <row r="6" spans="1:91">
      <c r="A6" s="25"/>
      <c r="Z6" s="25"/>
    </row>
    <row r="7" spans="1:91">
      <c r="A7" s="25"/>
      <c r="Z7" s="25"/>
    </row>
    <row r="8" spans="1:91" ht="15.75">
      <c r="A8" s="207" t="s">
        <v>392</v>
      </c>
      <c r="Z8" s="207" t="s">
        <v>392</v>
      </c>
      <c r="AZ8" s="909"/>
      <c r="BA8" s="909"/>
      <c r="BB8" s="909"/>
      <c r="BC8" s="909"/>
      <c r="BD8" s="909"/>
      <c r="BE8" s="909"/>
      <c r="BF8" s="909"/>
      <c r="BG8" s="909"/>
    </row>
    <row r="9" spans="1:91" customFormat="1" ht="15.75">
      <c r="A9" s="133"/>
      <c r="B9" s="133"/>
      <c r="C9" s="133"/>
      <c r="D9" s="133"/>
      <c r="E9" s="208"/>
      <c r="F9" s="133"/>
      <c r="G9" s="133"/>
      <c r="H9" s="133"/>
      <c r="I9" s="208"/>
      <c r="J9" s="133"/>
      <c r="K9" s="133"/>
      <c r="L9" s="133"/>
      <c r="M9" s="208"/>
      <c r="N9" s="133"/>
      <c r="O9" s="133"/>
      <c r="P9" s="133"/>
      <c r="Q9" s="208"/>
      <c r="R9" s="133"/>
      <c r="S9" s="133"/>
      <c r="T9" s="133"/>
      <c r="U9" s="208"/>
      <c r="V9" s="133"/>
      <c r="W9" s="133"/>
      <c r="X9" s="133"/>
      <c r="Y9" s="208"/>
      <c r="Z9" s="133"/>
      <c r="AA9" s="133"/>
      <c r="AB9" s="133"/>
      <c r="AC9" s="133"/>
      <c r="AD9" s="208"/>
      <c r="AE9" s="133"/>
      <c r="AF9" s="133"/>
      <c r="AG9" s="133"/>
      <c r="AH9" s="208"/>
      <c r="AI9" s="133"/>
      <c r="AJ9" s="133"/>
      <c r="AK9" s="133"/>
      <c r="AL9" s="208"/>
      <c r="AM9" s="133"/>
      <c r="AN9" s="133"/>
      <c r="AO9" s="133"/>
      <c r="AP9" s="208"/>
      <c r="AQ9" s="133"/>
      <c r="AR9" s="133"/>
      <c r="AS9" s="133"/>
      <c r="AT9" s="208"/>
      <c r="AU9" s="133"/>
      <c r="AV9" s="133"/>
      <c r="AW9" s="133"/>
      <c r="AX9" s="208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</row>
    <row r="10" spans="1:91" customFormat="1" ht="16.5" thickBot="1">
      <c r="A10" s="133"/>
      <c r="B10" s="133"/>
      <c r="C10" s="133"/>
      <c r="D10" s="133"/>
      <c r="E10" s="208"/>
      <c r="F10" s="133"/>
      <c r="G10" s="133"/>
      <c r="H10" s="133"/>
      <c r="I10" s="208"/>
      <c r="J10" s="133"/>
      <c r="K10" s="133"/>
      <c r="L10" s="133"/>
      <c r="M10" s="208"/>
      <c r="N10" s="133"/>
      <c r="O10" s="133"/>
      <c r="P10" s="133"/>
      <c r="Q10" s="208"/>
      <c r="R10" s="133"/>
      <c r="S10" s="133"/>
      <c r="T10" s="133"/>
      <c r="U10" s="208"/>
      <c r="V10" s="133"/>
      <c r="W10" s="133"/>
      <c r="X10" s="133"/>
      <c r="Y10" s="208"/>
      <c r="Z10" s="133"/>
      <c r="AA10" s="133"/>
      <c r="AB10" s="133"/>
      <c r="AC10" s="133"/>
      <c r="AD10" s="208"/>
      <c r="AE10" s="133"/>
      <c r="AF10" s="133"/>
      <c r="AG10" s="133"/>
      <c r="AH10" s="208"/>
      <c r="AI10" s="133"/>
      <c r="AJ10" s="133"/>
      <c r="AK10" s="133"/>
      <c r="AL10" s="208"/>
      <c r="AM10" s="133"/>
      <c r="AN10" s="133"/>
      <c r="AO10" s="133"/>
      <c r="AP10" s="208"/>
      <c r="AQ10" s="910"/>
      <c r="AR10" s="910"/>
      <c r="AS10" s="910"/>
      <c r="AT10" s="910"/>
      <c r="AU10" s="910"/>
      <c r="AV10" s="50"/>
      <c r="AW10" s="50"/>
      <c r="AX10" s="50" t="s">
        <v>282</v>
      </c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</row>
    <row r="11" spans="1:91" s="137" customFormat="1" ht="13.5" thickBot="1">
      <c r="A11" s="907" t="s">
        <v>365</v>
      </c>
      <c r="B11" s="899" t="s">
        <v>393</v>
      </c>
      <c r="C11" s="900"/>
      <c r="D11" s="900"/>
      <c r="E11" s="901"/>
      <c r="F11" s="899" t="s">
        <v>394</v>
      </c>
      <c r="G11" s="900"/>
      <c r="H11" s="900"/>
      <c r="I11" s="901"/>
      <c r="J11" s="899" t="s">
        <v>395</v>
      </c>
      <c r="K11" s="900"/>
      <c r="L11" s="900"/>
      <c r="M11" s="901"/>
      <c r="N11" s="899" t="s">
        <v>396</v>
      </c>
      <c r="O11" s="900"/>
      <c r="P11" s="900"/>
      <c r="Q11" s="901"/>
      <c r="R11" s="899" t="s">
        <v>397</v>
      </c>
      <c r="S11" s="900"/>
      <c r="T11" s="900"/>
      <c r="U11" s="901"/>
      <c r="V11" s="899" t="s">
        <v>398</v>
      </c>
      <c r="W11" s="900"/>
      <c r="X11" s="900"/>
      <c r="Y11" s="901"/>
      <c r="Z11" s="907" t="s">
        <v>365</v>
      </c>
      <c r="AA11" s="899" t="s">
        <v>399</v>
      </c>
      <c r="AB11" s="900"/>
      <c r="AC11" s="900"/>
      <c r="AD11" s="901"/>
      <c r="AE11" s="899" t="s">
        <v>400</v>
      </c>
      <c r="AF11" s="900"/>
      <c r="AG11" s="900"/>
      <c r="AH11" s="901"/>
      <c r="AI11" s="899" t="s">
        <v>401</v>
      </c>
      <c r="AJ11" s="900"/>
      <c r="AK11" s="900"/>
      <c r="AL11" s="901"/>
      <c r="AM11" s="899" t="s">
        <v>402</v>
      </c>
      <c r="AN11" s="900"/>
      <c r="AO11" s="900"/>
      <c r="AP11" s="900"/>
      <c r="AQ11" s="900"/>
      <c r="AR11" s="900"/>
      <c r="AS11" s="900"/>
      <c r="AT11" s="900"/>
      <c r="AU11" s="900"/>
      <c r="AV11" s="900"/>
      <c r="AW11" s="900"/>
      <c r="AX11" s="901"/>
      <c r="AY11" s="209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</row>
    <row r="12" spans="1:91" s="139" customFormat="1" ht="15.75" thickBot="1">
      <c r="A12" s="907"/>
      <c r="B12" s="890" t="s">
        <v>403</v>
      </c>
      <c r="C12" s="891"/>
      <c r="D12" s="891"/>
      <c r="E12" s="892"/>
      <c r="F12" s="890" t="s">
        <v>404</v>
      </c>
      <c r="G12" s="891"/>
      <c r="H12" s="891"/>
      <c r="I12" s="892"/>
      <c r="J12" s="890" t="s">
        <v>405</v>
      </c>
      <c r="K12" s="891"/>
      <c r="L12" s="891"/>
      <c r="M12" s="892"/>
      <c r="N12" s="890" t="s">
        <v>406</v>
      </c>
      <c r="O12" s="891"/>
      <c r="P12" s="891"/>
      <c r="Q12" s="892"/>
      <c r="R12" s="890" t="s">
        <v>407</v>
      </c>
      <c r="S12" s="891"/>
      <c r="T12" s="891"/>
      <c r="U12" s="892"/>
      <c r="V12" s="890" t="s">
        <v>408</v>
      </c>
      <c r="W12" s="891"/>
      <c r="X12" s="891"/>
      <c r="Y12" s="892"/>
      <c r="Z12" s="907"/>
      <c r="AA12" s="890" t="s">
        <v>409</v>
      </c>
      <c r="AB12" s="891"/>
      <c r="AC12" s="891"/>
      <c r="AD12" s="892"/>
      <c r="AE12" s="890" t="s">
        <v>410</v>
      </c>
      <c r="AF12" s="891"/>
      <c r="AG12" s="891"/>
      <c r="AH12" s="892"/>
      <c r="AI12" s="890" t="s">
        <v>411</v>
      </c>
      <c r="AJ12" s="891"/>
      <c r="AK12" s="891"/>
      <c r="AL12" s="892"/>
      <c r="AM12" s="893" t="s">
        <v>412</v>
      </c>
      <c r="AN12" s="894"/>
      <c r="AO12" s="894"/>
      <c r="AP12" s="894"/>
      <c r="AQ12" s="894"/>
      <c r="AR12" s="894"/>
      <c r="AS12" s="894"/>
      <c r="AT12" s="894"/>
      <c r="AU12" s="894"/>
      <c r="AV12" s="894"/>
      <c r="AW12" s="894"/>
      <c r="AX12" s="895"/>
      <c r="AY12" s="210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</row>
    <row r="13" spans="1:91" s="139" customFormat="1" ht="15.75" thickBot="1">
      <c r="A13" s="907"/>
      <c r="B13" s="893"/>
      <c r="C13" s="894"/>
      <c r="D13" s="894"/>
      <c r="E13" s="895"/>
      <c r="F13" s="893"/>
      <c r="G13" s="894"/>
      <c r="H13" s="894"/>
      <c r="I13" s="895"/>
      <c r="J13" s="893"/>
      <c r="K13" s="894"/>
      <c r="L13" s="894"/>
      <c r="M13" s="895"/>
      <c r="N13" s="893"/>
      <c r="O13" s="894"/>
      <c r="P13" s="894"/>
      <c r="Q13" s="895"/>
      <c r="R13" s="893"/>
      <c r="S13" s="894"/>
      <c r="T13" s="894"/>
      <c r="U13" s="895"/>
      <c r="V13" s="893"/>
      <c r="W13" s="894"/>
      <c r="X13" s="894"/>
      <c r="Y13" s="895"/>
      <c r="Z13" s="907"/>
      <c r="AA13" s="893"/>
      <c r="AB13" s="894"/>
      <c r="AC13" s="894"/>
      <c r="AD13" s="895"/>
      <c r="AE13" s="893"/>
      <c r="AF13" s="894"/>
      <c r="AG13" s="894"/>
      <c r="AH13" s="895"/>
      <c r="AI13" s="893"/>
      <c r="AJ13" s="894"/>
      <c r="AK13" s="894"/>
      <c r="AL13" s="895"/>
      <c r="AM13" s="896" t="s">
        <v>341</v>
      </c>
      <c r="AN13" s="897"/>
      <c r="AO13" s="897"/>
      <c r="AP13" s="898"/>
      <c r="AQ13" s="896" t="s">
        <v>342</v>
      </c>
      <c r="AR13" s="897"/>
      <c r="AS13" s="897"/>
      <c r="AT13" s="898"/>
      <c r="AU13" s="896" t="s">
        <v>412</v>
      </c>
      <c r="AV13" s="897"/>
      <c r="AW13" s="897"/>
      <c r="AX13" s="898"/>
      <c r="AY13" s="210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</row>
    <row r="14" spans="1:91" s="139" customFormat="1" ht="26.25" thickBot="1">
      <c r="A14" s="907"/>
      <c r="B14" s="211" t="s">
        <v>343</v>
      </c>
      <c r="C14" s="211" t="s">
        <v>344</v>
      </c>
      <c r="D14" s="211" t="s">
        <v>285</v>
      </c>
      <c r="E14" s="212" t="s">
        <v>286</v>
      </c>
      <c r="F14" s="211" t="s">
        <v>343</v>
      </c>
      <c r="G14" s="211" t="s">
        <v>344</v>
      </c>
      <c r="H14" s="211" t="s">
        <v>285</v>
      </c>
      <c r="I14" s="212" t="s">
        <v>286</v>
      </c>
      <c r="J14" s="211" t="s">
        <v>343</v>
      </c>
      <c r="K14" s="211" t="s">
        <v>344</v>
      </c>
      <c r="L14" s="211" t="s">
        <v>285</v>
      </c>
      <c r="M14" s="212" t="s">
        <v>286</v>
      </c>
      <c r="N14" s="211" t="s">
        <v>343</v>
      </c>
      <c r="O14" s="211" t="s">
        <v>344</v>
      </c>
      <c r="P14" s="211" t="s">
        <v>285</v>
      </c>
      <c r="Q14" s="212" t="s">
        <v>286</v>
      </c>
      <c r="R14" s="211" t="s">
        <v>343</v>
      </c>
      <c r="S14" s="211" t="s">
        <v>344</v>
      </c>
      <c r="T14" s="211" t="s">
        <v>285</v>
      </c>
      <c r="U14" s="212" t="s">
        <v>286</v>
      </c>
      <c r="V14" s="211" t="s">
        <v>343</v>
      </c>
      <c r="W14" s="211" t="s">
        <v>344</v>
      </c>
      <c r="X14" s="211" t="s">
        <v>285</v>
      </c>
      <c r="Y14" s="212" t="s">
        <v>286</v>
      </c>
      <c r="Z14" s="907"/>
      <c r="AA14" s="211" t="s">
        <v>343</v>
      </c>
      <c r="AB14" s="211" t="s">
        <v>344</v>
      </c>
      <c r="AC14" s="211" t="s">
        <v>285</v>
      </c>
      <c r="AD14" s="212" t="s">
        <v>286</v>
      </c>
      <c r="AE14" s="211" t="s">
        <v>343</v>
      </c>
      <c r="AF14" s="211" t="s">
        <v>344</v>
      </c>
      <c r="AG14" s="211" t="s">
        <v>285</v>
      </c>
      <c r="AH14" s="212" t="s">
        <v>286</v>
      </c>
      <c r="AI14" s="211" t="s">
        <v>343</v>
      </c>
      <c r="AJ14" s="211" t="s">
        <v>344</v>
      </c>
      <c r="AK14" s="211" t="s">
        <v>285</v>
      </c>
      <c r="AL14" s="212" t="s">
        <v>286</v>
      </c>
      <c r="AM14" s="211" t="s">
        <v>343</v>
      </c>
      <c r="AN14" s="211" t="s">
        <v>344</v>
      </c>
      <c r="AO14" s="211" t="s">
        <v>285</v>
      </c>
      <c r="AP14" s="212" t="s">
        <v>286</v>
      </c>
      <c r="AQ14" s="211" t="s">
        <v>343</v>
      </c>
      <c r="AR14" s="211" t="s">
        <v>344</v>
      </c>
      <c r="AS14" s="211" t="s">
        <v>285</v>
      </c>
      <c r="AT14" s="212" t="s">
        <v>286</v>
      </c>
      <c r="AU14" s="211" t="s">
        <v>343</v>
      </c>
      <c r="AV14" s="211" t="s">
        <v>344</v>
      </c>
      <c r="AW14" s="211" t="s">
        <v>285</v>
      </c>
      <c r="AX14" s="212" t="s">
        <v>286</v>
      </c>
      <c r="AY14" s="210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</row>
    <row r="15" spans="1:91" s="145" customFormat="1" ht="31.5">
      <c r="A15" s="141" t="s">
        <v>413</v>
      </c>
      <c r="B15" s="142"/>
      <c r="C15" s="142"/>
      <c r="D15" s="142"/>
      <c r="E15" s="213"/>
      <c r="F15" s="142"/>
      <c r="G15" s="142"/>
      <c r="H15" s="142"/>
      <c r="I15" s="213"/>
      <c r="J15" s="142"/>
      <c r="K15" s="142"/>
      <c r="L15" s="142"/>
      <c r="M15" s="213"/>
      <c r="N15" s="142"/>
      <c r="O15" s="142"/>
      <c r="P15" s="142"/>
      <c r="Q15" s="213"/>
      <c r="R15" s="142"/>
      <c r="S15" s="142"/>
      <c r="T15" s="142"/>
      <c r="U15" s="213"/>
      <c r="V15" s="142"/>
      <c r="W15" s="142"/>
      <c r="X15" s="142"/>
      <c r="Y15" s="213"/>
      <c r="Z15" s="141" t="s">
        <v>413</v>
      </c>
      <c r="AA15" s="142"/>
      <c r="AB15" s="142"/>
      <c r="AC15" s="142"/>
      <c r="AD15" s="213"/>
      <c r="AE15" s="142"/>
      <c r="AF15" s="142"/>
      <c r="AG15" s="142"/>
      <c r="AH15" s="213"/>
      <c r="AI15" s="142"/>
      <c r="AJ15" s="142"/>
      <c r="AK15" s="142"/>
      <c r="AL15" s="213"/>
      <c r="AM15" s="142"/>
      <c r="AN15" s="142"/>
      <c r="AO15" s="142"/>
      <c r="AP15" s="213"/>
      <c r="AQ15" s="142"/>
      <c r="AR15" s="142"/>
      <c r="AS15" s="142"/>
      <c r="AT15" s="213"/>
      <c r="AU15" s="142"/>
      <c r="AV15" s="142"/>
      <c r="AW15" s="142"/>
      <c r="AX15" s="213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</row>
    <row r="16" spans="1:91" s="145" customFormat="1" ht="47.25">
      <c r="A16" s="146" t="s">
        <v>414</v>
      </c>
      <c r="B16" s="147">
        <f>SUM('13. sz. melléklet'!B41)</f>
        <v>839662051</v>
      </c>
      <c r="C16" s="147">
        <f>SUM('13. sz. melléklet'!C41)</f>
        <v>1239979066</v>
      </c>
      <c r="D16" s="147">
        <f>SUM('13. sz. melléklet'!D41)</f>
        <v>1232554014</v>
      </c>
      <c r="E16" s="148">
        <f>SUM(D16/C16)</f>
        <v>0.99401195374696749</v>
      </c>
      <c r="F16" s="147">
        <f>SUM('13. sz. melléklet'!F41)</f>
        <v>163291640</v>
      </c>
      <c r="G16" s="147">
        <f>SUM('13. sz. melléklet'!G41)</f>
        <v>236798279</v>
      </c>
      <c r="H16" s="147">
        <f>SUM('13. sz. melléklet'!H41)</f>
        <v>224978581</v>
      </c>
      <c r="I16" s="148">
        <f>SUM(H16/G16)</f>
        <v>0.95008537203093435</v>
      </c>
      <c r="J16" s="147">
        <f>SUM('13. sz. melléklet'!J41)</f>
        <v>562918803</v>
      </c>
      <c r="K16" s="147">
        <f>SUM('13. sz. melléklet'!K41)</f>
        <v>659029533</v>
      </c>
      <c r="L16" s="147">
        <f>SUM('13. sz. melléklet'!L41)</f>
        <v>552251194</v>
      </c>
      <c r="M16" s="148">
        <f>SUM(L16/K16)</f>
        <v>0.83797639763740295</v>
      </c>
      <c r="N16" s="147">
        <f>SUM('13. sz. melléklet'!N41)</f>
        <v>0</v>
      </c>
      <c r="O16" s="147">
        <f>SUM('13. sz. melléklet'!O41)</f>
        <v>0</v>
      </c>
      <c r="P16" s="147">
        <f>SUM('13. sz. melléklet'!P41)</f>
        <v>0</v>
      </c>
      <c r="Q16" s="148">
        <v>0</v>
      </c>
      <c r="R16" s="147">
        <f>SUM('13. sz. melléklet'!R41)</f>
        <v>0</v>
      </c>
      <c r="S16" s="147">
        <f>SUM('13. sz. melléklet'!S41)</f>
        <v>6102160</v>
      </c>
      <c r="T16" s="147">
        <f>SUM('13. sz. melléklet'!T41)</f>
        <v>6101163</v>
      </c>
      <c r="U16" s="148">
        <f>SUM(T16/S16)</f>
        <v>0.99983661523132794</v>
      </c>
      <c r="V16" s="147">
        <f>SUM('13. sz. melléklet'!V41)</f>
        <v>12685000</v>
      </c>
      <c r="W16" s="147">
        <f>SUM('13. sz. melléklet'!W41)</f>
        <v>38957260</v>
      </c>
      <c r="X16" s="147">
        <f>SUM('13. sz. melléklet'!X41)</f>
        <v>38003181</v>
      </c>
      <c r="Y16" s="148">
        <f>SUM(X16/W16)</f>
        <v>0.97550959692750461</v>
      </c>
      <c r="Z16" s="146" t="s">
        <v>414</v>
      </c>
      <c r="AA16" s="147">
        <f>SUM('13. sz. melléklet'!Z41)</f>
        <v>114167900</v>
      </c>
      <c r="AB16" s="147">
        <f>SUM('13. sz. melléklet'!AA41)</f>
        <v>162687548</v>
      </c>
      <c r="AC16" s="147">
        <f>SUM('13. sz. melléklet'!AB41)</f>
        <v>58549636</v>
      </c>
      <c r="AD16" s="148">
        <f>SUM(AC16/AB16)</f>
        <v>0.35989008820761131</v>
      </c>
      <c r="AE16" s="147">
        <f>SUM('13. sz. melléklet'!AD41)</f>
        <v>0</v>
      </c>
      <c r="AF16" s="147">
        <f>SUM('13. sz. melléklet'!AE41)</f>
        <v>0</v>
      </c>
      <c r="AG16" s="147">
        <f>SUM('13. sz. melléklet'!AF41)</f>
        <v>0</v>
      </c>
      <c r="AH16" s="148">
        <v>0</v>
      </c>
      <c r="AI16" s="147"/>
      <c r="AJ16" s="147"/>
      <c r="AK16" s="147"/>
      <c r="AL16" s="148"/>
      <c r="AM16" s="147">
        <f>SUM(B16+F16+J16+N16+R16)</f>
        <v>1565872494</v>
      </c>
      <c r="AN16" s="147">
        <f t="shared" ref="AN16:AO16" si="0">SUM(C16+G16+K16+O16+S16)</f>
        <v>2141909038</v>
      </c>
      <c r="AO16" s="147">
        <f t="shared" si="0"/>
        <v>2015884952</v>
      </c>
      <c r="AP16" s="148">
        <f>SUM(AO16/AN16)</f>
        <v>0.94116272737815487</v>
      </c>
      <c r="AQ16" s="147">
        <f>SUM(V16+AA16+AE16+AI16)</f>
        <v>126852900</v>
      </c>
      <c r="AR16" s="147">
        <f t="shared" ref="AR16:AS16" si="1">SUM(W16+AB16+AF16+AJ16)</f>
        <v>201644808</v>
      </c>
      <c r="AS16" s="147">
        <f t="shared" si="1"/>
        <v>96552817</v>
      </c>
      <c r="AT16" s="148">
        <f>SUM(AS16/AR16)</f>
        <v>0.47882619918485581</v>
      </c>
      <c r="AU16" s="147">
        <f>SUM(AM16+AQ16)</f>
        <v>1692725394</v>
      </c>
      <c r="AV16" s="147">
        <f t="shared" ref="AV16:AW16" si="2">SUM(AN16+AR16)</f>
        <v>2343553846</v>
      </c>
      <c r="AW16" s="147">
        <f t="shared" si="2"/>
        <v>2112437769</v>
      </c>
      <c r="AX16" s="148">
        <f>SUM(AW16/AV16)</f>
        <v>0.90138222025729375</v>
      </c>
      <c r="AY16" s="717">
        <f>SUM(AW16-AK16)</f>
        <v>2112437769</v>
      </c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</row>
    <row r="17" spans="1:91" s="145" customFormat="1" ht="47.25">
      <c r="A17" s="141" t="s">
        <v>415</v>
      </c>
      <c r="B17" s="165"/>
      <c r="C17" s="165"/>
      <c r="D17" s="165"/>
      <c r="E17" s="194"/>
      <c r="F17" s="165"/>
      <c r="G17" s="165"/>
      <c r="H17" s="165"/>
      <c r="I17" s="194"/>
      <c r="J17" s="165"/>
      <c r="K17" s="165"/>
      <c r="L17" s="165"/>
      <c r="M17" s="194"/>
      <c r="N17" s="165"/>
      <c r="O17" s="165"/>
      <c r="P17" s="165"/>
      <c r="Q17" s="194"/>
      <c r="R17" s="165"/>
      <c r="S17" s="165"/>
      <c r="T17" s="165"/>
      <c r="U17" s="194"/>
      <c r="V17" s="165"/>
      <c r="W17" s="165"/>
      <c r="X17" s="165"/>
      <c r="Y17" s="194"/>
      <c r="Z17" s="141" t="s">
        <v>415</v>
      </c>
      <c r="AA17" s="165"/>
      <c r="AB17" s="165"/>
      <c r="AC17" s="165"/>
      <c r="AD17" s="194"/>
      <c r="AE17" s="165"/>
      <c r="AF17" s="165"/>
      <c r="AG17" s="165"/>
      <c r="AH17" s="194"/>
      <c r="AI17" s="165"/>
      <c r="AJ17" s="165"/>
      <c r="AK17" s="165"/>
      <c r="AL17" s="194"/>
      <c r="AM17" s="165"/>
      <c r="AN17" s="165"/>
      <c r="AO17" s="165"/>
      <c r="AP17" s="194"/>
      <c r="AQ17" s="165"/>
      <c r="AR17" s="165"/>
      <c r="AS17" s="165"/>
      <c r="AT17" s="194"/>
      <c r="AU17" s="153"/>
      <c r="AV17" s="153"/>
      <c r="AW17" s="165"/>
      <c r="AX17" s="19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</row>
    <row r="18" spans="1:91" s="171" customFormat="1" ht="32.25" thickBot="1">
      <c r="A18" s="215" t="s">
        <v>416</v>
      </c>
      <c r="B18" s="166">
        <f>SUM('12. sz. melléklet'!C26)</f>
        <v>48099099</v>
      </c>
      <c r="C18" s="166">
        <f>SUM('12. sz. melléklet'!D26)</f>
        <v>65728802</v>
      </c>
      <c r="D18" s="166">
        <f>SUM('12. sz. melléklet'!E26)</f>
        <v>64479299</v>
      </c>
      <c r="E18" s="167">
        <f>SUM(D18/C18)</f>
        <v>0.98099002321691486</v>
      </c>
      <c r="F18" s="166">
        <f>SUM('12. sz. melléklet'!C46)</f>
        <v>10148701</v>
      </c>
      <c r="G18" s="166">
        <f>SUM('12. sz. melléklet'!D46)</f>
        <v>14886065</v>
      </c>
      <c r="H18" s="166">
        <f>SUM('12. sz. melléklet'!E46)</f>
        <v>14883223</v>
      </c>
      <c r="I18" s="167">
        <f>SUM(H18/G18)</f>
        <v>0.99980908319290562</v>
      </c>
      <c r="J18" s="166">
        <f>SUM('12. sz. melléklet'!C136)</f>
        <v>315935805</v>
      </c>
      <c r="K18" s="166">
        <f>SUM('12. sz. melléklet'!D136)</f>
        <v>401843285</v>
      </c>
      <c r="L18" s="166">
        <f>SUM('12. sz. melléklet'!E136)</f>
        <v>251268519</v>
      </c>
      <c r="M18" s="167">
        <f>SUM(L18/K18)</f>
        <v>0.62528982909344866</v>
      </c>
      <c r="N18" s="166">
        <f>SUM('12. sz. melléklet'!C152)</f>
        <v>61790000</v>
      </c>
      <c r="O18" s="166">
        <f>SUM('12. sz. melléklet'!D152)</f>
        <v>83407500</v>
      </c>
      <c r="P18" s="166">
        <f>SUM('12. sz. melléklet'!E152)</f>
        <v>60134588</v>
      </c>
      <c r="Q18" s="167">
        <f>SUM(P18/O18)</f>
        <v>0.72097338968318192</v>
      </c>
      <c r="R18" s="166">
        <f>SUM('12. sz. melléklet'!C205)</f>
        <v>1774724646</v>
      </c>
      <c r="S18" s="166">
        <f>SUM('12. sz. melléklet'!D205)</f>
        <v>2822031913</v>
      </c>
      <c r="T18" s="166">
        <f>SUM('12. sz. melléklet'!E205)</f>
        <v>1032152188</v>
      </c>
      <c r="U18" s="167">
        <f>SUM(T18/S18)</f>
        <v>0.36574787947835657</v>
      </c>
      <c r="V18" s="166">
        <f>SUM('12. sz. melléklet'!C235)</f>
        <v>1282769406</v>
      </c>
      <c r="W18" s="166">
        <f>SUM('12. sz. melléklet'!D235)</f>
        <v>1304685043</v>
      </c>
      <c r="X18" s="166">
        <f>SUM('12. sz. melléklet'!E235)</f>
        <v>84365784</v>
      </c>
      <c r="Y18" s="167">
        <f>SUM(X18/W18)</f>
        <v>6.4663716697486509E-2</v>
      </c>
      <c r="Z18" s="215" t="s">
        <v>416</v>
      </c>
      <c r="AA18" s="166">
        <f>SUM('12. sz. melléklet'!C258)</f>
        <v>683725648</v>
      </c>
      <c r="AB18" s="166">
        <f>SUM('12. sz. melléklet'!D258)</f>
        <v>1030892889</v>
      </c>
      <c r="AC18" s="166">
        <f>SUM('12. sz. melléklet'!E258)</f>
        <v>377693382</v>
      </c>
      <c r="AD18" s="167">
        <f>SUM(AC18/AB18)</f>
        <v>0.36637499979883942</v>
      </c>
      <c r="AE18" s="166">
        <f>SUM('12. sz. melléklet'!C262)</f>
        <v>0</v>
      </c>
      <c r="AF18" s="166">
        <f>SUM('12. sz. melléklet'!D262)</f>
        <v>22356945</v>
      </c>
      <c r="AG18" s="166">
        <f>SUM('12. sz. melléklet'!E262)</f>
        <v>22356495</v>
      </c>
      <c r="AH18" s="167">
        <f>SUM(AG18/AF18)</f>
        <v>0.99997987202634353</v>
      </c>
      <c r="AI18" s="166">
        <f>SUM('12. sz. melléklet'!C268-'12. sz. melléklet'!C265)</f>
        <v>58439181</v>
      </c>
      <c r="AJ18" s="166">
        <f>SUM('12. sz. melléklet'!D268-'12. sz. melléklet'!D265)</f>
        <v>216790419</v>
      </c>
      <c r="AK18" s="166">
        <f>SUM('12. sz. melléklet'!E268-'12. sz. melléklet'!E265)</f>
        <v>216790419</v>
      </c>
      <c r="AL18" s="167">
        <f>SUM(AK18/AJ18)</f>
        <v>1</v>
      </c>
      <c r="AM18" s="166">
        <f>SUM(B18+F18+J18+N18+R18)</f>
        <v>2210698251</v>
      </c>
      <c r="AN18" s="166">
        <f>SUM(C18+G18+K18+O18+S18)</f>
        <v>3387897565</v>
      </c>
      <c r="AO18" s="166">
        <f>SUM(D18+H18+L18+P18+T18+AK18)</f>
        <v>1639708236</v>
      </c>
      <c r="AP18" s="167">
        <f>SUM(AO18/AN18)</f>
        <v>0.48398990953553223</v>
      </c>
      <c r="AQ18" s="166">
        <f>SUM(V18+AA18+AE18+AI18)</f>
        <v>2024934235</v>
      </c>
      <c r="AR18" s="166">
        <f>SUM(W18+AB18+AF18+AJ18)</f>
        <v>2574725296</v>
      </c>
      <c r="AS18" s="166">
        <f>SUM(X18+AC18+AG18)</f>
        <v>484415661</v>
      </c>
      <c r="AT18" s="167">
        <f>SUM(AS18/AR18)</f>
        <v>0.18814265807407518</v>
      </c>
      <c r="AU18" s="166">
        <f>SUM(AM18+AQ18)</f>
        <v>4235632486</v>
      </c>
      <c r="AV18" s="166">
        <f>SUM(AN18+AR18)</f>
        <v>5962622861</v>
      </c>
      <c r="AW18" s="166">
        <f>SUM(AO18+AS18)</f>
        <v>2124123897</v>
      </c>
      <c r="AX18" s="167">
        <f>SUM(AW18/AV18)</f>
        <v>0.35623985392290269</v>
      </c>
      <c r="AY18" s="717">
        <f>SUM(AW18-AK18)</f>
        <v>1907333478</v>
      </c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</row>
    <row r="19" spans="1:91" s="190" customFormat="1" ht="17.25" thickTop="1" thickBot="1">
      <c r="A19" s="216" t="s">
        <v>417</v>
      </c>
      <c r="B19" s="217">
        <f>SUM(B16+B18)</f>
        <v>887761150</v>
      </c>
      <c r="C19" s="217">
        <f>SUM(C16+C18)</f>
        <v>1305707868</v>
      </c>
      <c r="D19" s="217">
        <f>SUM(D16+D18)</f>
        <v>1297033313</v>
      </c>
      <c r="E19" s="218">
        <f>D19/C19</f>
        <v>0.99335643507051308</v>
      </c>
      <c r="F19" s="217">
        <f>SUM(F16+F18)</f>
        <v>173440341</v>
      </c>
      <c r="G19" s="217">
        <f t="shared" ref="G19" si="3">SUM(G16+G18)</f>
        <v>251684344</v>
      </c>
      <c r="H19" s="217">
        <f>SUM(H16+H18)</f>
        <v>239861804</v>
      </c>
      <c r="I19" s="218">
        <f>H19/G19</f>
        <v>0.95302631934865201</v>
      </c>
      <c r="J19" s="217">
        <f t="shared" ref="J19:AW19" si="4">SUM(J16+J18)</f>
        <v>878854608</v>
      </c>
      <c r="K19" s="217">
        <f t="shared" si="4"/>
        <v>1060872818</v>
      </c>
      <c r="L19" s="217">
        <f t="shared" si="4"/>
        <v>803519713</v>
      </c>
      <c r="M19" s="218">
        <f>L19/K19</f>
        <v>0.75741380056737395</v>
      </c>
      <c r="N19" s="217">
        <f t="shared" si="4"/>
        <v>61790000</v>
      </c>
      <c r="O19" s="217">
        <f t="shared" si="4"/>
        <v>83407500</v>
      </c>
      <c r="P19" s="217">
        <f t="shared" si="4"/>
        <v>60134588</v>
      </c>
      <c r="Q19" s="218">
        <f>P19/O19</f>
        <v>0.72097338968318192</v>
      </c>
      <c r="R19" s="217">
        <f t="shared" si="4"/>
        <v>1774724646</v>
      </c>
      <c r="S19" s="217">
        <f t="shared" si="4"/>
        <v>2828134073</v>
      </c>
      <c r="T19" s="217">
        <f>SUM(T16+T18)</f>
        <v>1038253351</v>
      </c>
      <c r="U19" s="218">
        <f>T19/S19</f>
        <v>0.36711602922652531</v>
      </c>
      <c r="V19" s="217">
        <f t="shared" si="4"/>
        <v>1295454406</v>
      </c>
      <c r="W19" s="217">
        <f>SUM(W16+W18)</f>
        <v>1343642303</v>
      </c>
      <c r="X19" s="217">
        <f t="shared" ref="X19" si="5">SUM(X16+X18)</f>
        <v>122368965</v>
      </c>
      <c r="Y19" s="218">
        <f>X19/W19</f>
        <v>9.1072575436767861E-2</v>
      </c>
      <c r="Z19" s="216" t="s">
        <v>417</v>
      </c>
      <c r="AA19" s="217">
        <f t="shared" si="4"/>
        <v>797893548</v>
      </c>
      <c r="AB19" s="217">
        <f t="shared" si="4"/>
        <v>1193580437</v>
      </c>
      <c r="AC19" s="217">
        <f t="shared" si="4"/>
        <v>436243018</v>
      </c>
      <c r="AD19" s="218">
        <f>AC19/AB19</f>
        <v>0.3654910925789579</v>
      </c>
      <c r="AE19" s="217">
        <f t="shared" si="4"/>
        <v>0</v>
      </c>
      <c r="AF19" s="217">
        <f t="shared" si="4"/>
        <v>22356945</v>
      </c>
      <c r="AG19" s="217">
        <f t="shared" si="4"/>
        <v>22356495</v>
      </c>
      <c r="AH19" s="218">
        <f>AG19/AF19</f>
        <v>0.99997987202634353</v>
      </c>
      <c r="AI19" s="217">
        <f t="shared" si="4"/>
        <v>58439181</v>
      </c>
      <c r="AJ19" s="217">
        <f t="shared" si="4"/>
        <v>216790419</v>
      </c>
      <c r="AK19" s="217">
        <f t="shared" si="4"/>
        <v>216790419</v>
      </c>
      <c r="AL19" s="218">
        <f>AK19/AJ19</f>
        <v>1</v>
      </c>
      <c r="AM19" s="217">
        <f t="shared" si="4"/>
        <v>3776570745</v>
      </c>
      <c r="AN19" s="217">
        <f t="shared" si="4"/>
        <v>5529806603</v>
      </c>
      <c r="AO19" s="217">
        <f t="shared" si="4"/>
        <v>3655593188</v>
      </c>
      <c r="AP19" s="218">
        <f>AO19/AN19</f>
        <v>0.6610707119516237</v>
      </c>
      <c r="AQ19" s="217">
        <f t="shared" si="4"/>
        <v>2151787135</v>
      </c>
      <c r="AR19" s="217">
        <f t="shared" si="4"/>
        <v>2776370104</v>
      </c>
      <c r="AS19" s="217">
        <f t="shared" si="4"/>
        <v>580968478</v>
      </c>
      <c r="AT19" s="218">
        <f>AS19/AR19</f>
        <v>0.20925469452468934</v>
      </c>
      <c r="AU19" s="217">
        <f t="shared" si="4"/>
        <v>5928357880</v>
      </c>
      <c r="AV19" s="217">
        <f>SUM(AV16+AV18)</f>
        <v>8306176707</v>
      </c>
      <c r="AW19" s="217">
        <f t="shared" si="4"/>
        <v>4236561666</v>
      </c>
      <c r="AX19" s="218">
        <f>AW19/AV19</f>
        <v>0.51004954691484627</v>
      </c>
      <c r="AY19" s="717">
        <f>SUM(AW19-AK19)</f>
        <v>4019771247</v>
      </c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</row>
    <row r="20" spans="1:91" ht="15.75" thickTop="1">
      <c r="AU20" s="202"/>
      <c r="AV20" s="202"/>
    </row>
    <row r="21" spans="1:91">
      <c r="AU21" s="202"/>
      <c r="AV21" s="202"/>
    </row>
  </sheetData>
  <mergeCells count="29">
    <mergeCell ref="A5:Y5"/>
    <mergeCell ref="AA5:AX5"/>
    <mergeCell ref="AZ8:BG8"/>
    <mergeCell ref="AQ10:AU10"/>
    <mergeCell ref="A11:A14"/>
    <mergeCell ref="B11:E11"/>
    <mergeCell ref="F11:I11"/>
    <mergeCell ref="J11:M11"/>
    <mergeCell ref="N11:Q11"/>
    <mergeCell ref="R11:U11"/>
    <mergeCell ref="AM11:AX11"/>
    <mergeCell ref="AA12:AD13"/>
    <mergeCell ref="AE12:AH13"/>
    <mergeCell ref="AI12:AL13"/>
    <mergeCell ref="AM12:AX12"/>
    <mergeCell ref="V11:Y11"/>
    <mergeCell ref="AQ13:AT13"/>
    <mergeCell ref="AU13:AX13"/>
    <mergeCell ref="B12:E13"/>
    <mergeCell ref="F12:I13"/>
    <mergeCell ref="J12:M13"/>
    <mergeCell ref="N12:Q13"/>
    <mergeCell ref="R12:U13"/>
    <mergeCell ref="V12:Y13"/>
    <mergeCell ref="Z11:Z14"/>
    <mergeCell ref="AA11:AD11"/>
    <mergeCell ref="AE11:AH11"/>
    <mergeCell ref="AI11:AL11"/>
    <mergeCell ref="AM13:AP13"/>
  </mergeCells>
  <pageMargins left="0.70866141732283472" right="0.70866141732283472" top="0.74803149606299213" bottom="0.74803149606299213" header="0.31496062992125984" footer="0.31496062992125984"/>
  <pageSetup paperSize="9" scale="33" orientation="landscape" horizontalDpi="300" verticalDpi="300" r:id="rId1"/>
  <colBreaks count="1" manualBreakCount="1">
    <brk id="25" max="1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U982"/>
  <sheetViews>
    <sheetView view="pageBreakPreview" zoomScale="95" zoomScaleSheetLayoutView="95" workbookViewId="0"/>
  </sheetViews>
  <sheetFormatPr defaultRowHeight="15.75" thickBottom="1"/>
  <cols>
    <col min="1" max="1" width="80" style="302" customWidth="1"/>
    <col min="2" max="2" width="18.28515625" style="302" customWidth="1"/>
    <col min="3" max="5" width="21.42578125" style="303" customWidth="1"/>
    <col min="6" max="6" width="21.42578125" style="574" customWidth="1"/>
    <col min="7" max="8" width="9.140625" style="283"/>
    <col min="9" max="9" width="11.5703125" style="283" bestFit="1" customWidth="1"/>
    <col min="10" max="40" width="9.140625" style="283"/>
    <col min="41" max="41" width="9.140625" style="296"/>
    <col min="42" max="16384" width="9.140625" style="297"/>
  </cols>
  <sheetData>
    <row r="1" spans="1:125" s="281" customFormat="1" ht="18.75">
      <c r="A1" s="278" t="s">
        <v>1037</v>
      </c>
      <c r="B1" s="279"/>
      <c r="C1" s="280"/>
      <c r="D1" s="280"/>
      <c r="E1" s="280"/>
      <c r="F1" s="565"/>
    </row>
    <row r="2" spans="1:125" s="283" customFormat="1">
      <c r="A2" s="279"/>
      <c r="B2" s="279"/>
      <c r="C2" s="282"/>
      <c r="D2" s="282"/>
      <c r="E2" s="282"/>
      <c r="F2" s="566"/>
    </row>
    <row r="3" spans="1:125" s="283" customFormat="1" ht="30.75" customHeight="1">
      <c r="A3" s="913" t="s">
        <v>827</v>
      </c>
      <c r="B3" s="913"/>
      <c r="C3" s="913"/>
      <c r="D3" s="913"/>
      <c r="E3" s="913"/>
      <c r="F3" s="913"/>
    </row>
    <row r="4" spans="1:125" s="283" customFormat="1" ht="15">
      <c r="C4" s="282"/>
      <c r="D4" s="282"/>
      <c r="E4" s="282"/>
      <c r="F4" s="566"/>
    </row>
    <row r="5" spans="1:125" s="534" customFormat="1" ht="15.75" customHeight="1" thickBot="1">
      <c r="C5" s="535"/>
      <c r="D5" s="536"/>
      <c r="E5" s="536"/>
      <c r="F5" s="567" t="s">
        <v>7</v>
      </c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</row>
    <row r="6" spans="1:125" s="541" customFormat="1" ht="66.75" customHeight="1" thickBot="1">
      <c r="A6" s="537" t="s">
        <v>456</v>
      </c>
      <c r="B6" s="538"/>
      <c r="C6" s="539" t="s">
        <v>343</v>
      </c>
      <c r="D6" s="539" t="s">
        <v>344</v>
      </c>
      <c r="E6" s="539" t="s">
        <v>285</v>
      </c>
      <c r="F6" s="568" t="s">
        <v>286</v>
      </c>
      <c r="G6" s="540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0"/>
      <c r="X6" s="540"/>
      <c r="Y6" s="540"/>
      <c r="Z6" s="540"/>
      <c r="AA6" s="540"/>
      <c r="AB6" s="540"/>
      <c r="AC6" s="540"/>
      <c r="AD6" s="540"/>
      <c r="AE6" s="540"/>
      <c r="AF6" s="540"/>
      <c r="AG6" s="540"/>
      <c r="AH6" s="540"/>
      <c r="AI6" s="540"/>
      <c r="AJ6" s="540"/>
      <c r="AK6" s="540"/>
      <c r="AL6" s="540"/>
      <c r="AM6" s="540"/>
      <c r="AN6" s="540"/>
      <c r="AO6" s="540"/>
      <c r="AP6" s="540"/>
      <c r="AQ6" s="540"/>
      <c r="AR6" s="540"/>
      <c r="AS6" s="540"/>
      <c r="AT6" s="540"/>
      <c r="AU6" s="540"/>
      <c r="AV6" s="540"/>
      <c r="AW6" s="540"/>
      <c r="AX6" s="540"/>
      <c r="AY6" s="540"/>
      <c r="AZ6" s="540"/>
      <c r="BA6" s="540"/>
      <c r="BB6" s="540"/>
      <c r="BC6" s="540"/>
      <c r="BD6" s="540"/>
      <c r="BE6" s="540"/>
      <c r="BF6" s="540"/>
      <c r="BG6" s="540"/>
      <c r="BH6" s="540"/>
      <c r="BI6" s="540"/>
      <c r="BJ6" s="540"/>
      <c r="BK6" s="540"/>
      <c r="BL6" s="540"/>
      <c r="BM6" s="540"/>
      <c r="BN6" s="540"/>
      <c r="BO6" s="540"/>
      <c r="BP6" s="540"/>
      <c r="BQ6" s="540"/>
      <c r="BR6" s="540"/>
      <c r="BS6" s="540"/>
      <c r="BT6" s="540"/>
      <c r="BU6" s="540"/>
    </row>
    <row r="7" spans="1:125" s="396" customFormat="1" ht="33" customHeight="1" thickBot="1">
      <c r="A7" s="286" t="s">
        <v>345</v>
      </c>
      <c r="B7" s="287"/>
      <c r="C7" s="542"/>
      <c r="D7" s="641"/>
      <c r="E7" s="641"/>
      <c r="F7" s="698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</row>
    <row r="8" spans="1:125" s="396" customFormat="1" ht="21" customHeight="1" thickBot="1">
      <c r="A8" s="638" t="s">
        <v>457</v>
      </c>
      <c r="B8" s="393"/>
      <c r="C8" s="399">
        <v>59000000</v>
      </c>
      <c r="D8" s="399">
        <f>SUM(C8)</f>
        <v>59000000</v>
      </c>
      <c r="E8" s="399">
        <v>38152476</v>
      </c>
      <c r="F8" s="315">
        <f t="shared" ref="F8:F9" si="0">E8/D8</f>
        <v>0.64665213559322032</v>
      </c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</row>
    <row r="9" spans="1:125" s="401" customFormat="1" ht="28.5" customHeight="1" thickBot="1">
      <c r="A9" s="638" t="s">
        <v>644</v>
      </c>
      <c r="B9" s="398"/>
      <c r="C9" s="399">
        <f>SUM(B10:B10)</f>
        <v>2000000</v>
      </c>
      <c r="D9" s="399">
        <f>SUM(C9)</f>
        <v>2000000</v>
      </c>
      <c r="E9" s="399">
        <v>3308153</v>
      </c>
      <c r="F9" s="315">
        <f t="shared" si="0"/>
        <v>1.6540764999999999</v>
      </c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/>
      <c r="AL9" s="400"/>
      <c r="AM9" s="400"/>
      <c r="AN9" s="400"/>
      <c r="AO9" s="400"/>
      <c r="AP9" s="400"/>
      <c r="AQ9" s="400"/>
      <c r="AR9" s="400"/>
      <c r="AS9" s="400"/>
      <c r="AT9" s="400"/>
      <c r="AU9" s="400"/>
      <c r="AV9" s="400"/>
      <c r="AW9" s="400"/>
      <c r="AX9" s="400"/>
      <c r="AY9" s="400"/>
      <c r="AZ9" s="400"/>
      <c r="BA9" s="400"/>
      <c r="BB9" s="400"/>
      <c r="BC9" s="400"/>
      <c r="BD9" s="400"/>
      <c r="BE9" s="400"/>
      <c r="BF9" s="400"/>
      <c r="BG9" s="400"/>
      <c r="BH9" s="400"/>
      <c r="BI9" s="400"/>
      <c r="BJ9" s="400"/>
      <c r="BK9" s="400"/>
      <c r="BL9" s="400"/>
      <c r="BM9" s="400"/>
      <c r="BN9" s="400"/>
      <c r="BO9" s="400"/>
      <c r="BP9" s="400"/>
      <c r="BQ9" s="400"/>
      <c r="BR9" s="400"/>
      <c r="BS9" s="400"/>
      <c r="BT9" s="400"/>
      <c r="BU9" s="400"/>
    </row>
    <row r="10" spans="1:125" s="396" customFormat="1" ht="19.5" customHeight="1" thickBot="1">
      <c r="A10" s="397" t="s">
        <v>645</v>
      </c>
      <c r="B10" s="393">
        <v>2000000</v>
      </c>
      <c r="C10" s="394"/>
      <c r="D10" s="394"/>
      <c r="E10" s="394"/>
      <c r="F10" s="321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95"/>
      <c r="AM10" s="395"/>
      <c r="AN10" s="395"/>
      <c r="AO10" s="395"/>
      <c r="AP10" s="395"/>
      <c r="AQ10" s="395"/>
      <c r="AR10" s="395"/>
      <c r="AS10" s="395"/>
      <c r="AT10" s="395"/>
      <c r="AU10" s="395"/>
      <c r="AV10" s="395"/>
      <c r="AW10" s="395"/>
      <c r="AX10" s="395"/>
      <c r="AY10" s="395"/>
      <c r="AZ10" s="395"/>
      <c r="BA10" s="395"/>
      <c r="BB10" s="395"/>
      <c r="BC10" s="395"/>
      <c r="BD10" s="395"/>
      <c r="BE10" s="395"/>
      <c r="BF10" s="395"/>
      <c r="BG10" s="395"/>
      <c r="BH10" s="395"/>
      <c r="BI10" s="395"/>
      <c r="BJ10" s="395"/>
      <c r="BK10" s="395"/>
      <c r="BL10" s="395"/>
      <c r="BM10" s="395"/>
      <c r="BN10" s="395"/>
      <c r="BO10" s="395"/>
      <c r="BP10" s="395"/>
      <c r="BQ10" s="395"/>
      <c r="BR10" s="395"/>
      <c r="BS10" s="395"/>
      <c r="BT10" s="395"/>
      <c r="BU10" s="395"/>
    </row>
    <row r="11" spans="1:125" s="396" customFormat="1" ht="29.25" customHeight="1" thickBot="1">
      <c r="A11" s="638" t="s">
        <v>458</v>
      </c>
      <c r="B11" s="393"/>
      <c r="C11" s="399">
        <v>11260000</v>
      </c>
      <c r="D11" s="399">
        <f>SUM(B12:B15)</f>
        <v>4860000</v>
      </c>
      <c r="E11" s="399">
        <v>7939982</v>
      </c>
      <c r="F11" s="315">
        <f>E11/D11</f>
        <v>1.6337411522633745</v>
      </c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5"/>
      <c r="AR11" s="395"/>
      <c r="AS11" s="395"/>
      <c r="AT11" s="395"/>
      <c r="AU11" s="395"/>
      <c r="AV11" s="395"/>
      <c r="AW11" s="395"/>
      <c r="AX11" s="395"/>
      <c r="AY11" s="395"/>
      <c r="AZ11" s="395"/>
      <c r="BA11" s="395"/>
      <c r="BB11" s="395"/>
      <c r="BC11" s="395"/>
      <c r="BD11" s="395"/>
      <c r="BE11" s="395"/>
      <c r="BF11" s="395"/>
      <c r="BG11" s="395"/>
      <c r="BH11" s="395"/>
      <c r="BI11" s="395"/>
      <c r="BJ11" s="395"/>
      <c r="BK11" s="395"/>
      <c r="BL11" s="395"/>
      <c r="BM11" s="395"/>
      <c r="BN11" s="395"/>
      <c r="BO11" s="395"/>
      <c r="BP11" s="395"/>
      <c r="BQ11" s="395"/>
      <c r="BR11" s="395"/>
      <c r="BS11" s="395"/>
      <c r="BT11" s="395"/>
      <c r="BU11" s="395"/>
    </row>
    <row r="12" spans="1:125" s="396" customFormat="1" ht="39.75" customHeight="1" thickBot="1">
      <c r="A12" s="397" t="s">
        <v>459</v>
      </c>
      <c r="B12" s="425">
        <f>4000000-2400000</f>
        <v>1600000</v>
      </c>
      <c r="C12" s="399"/>
      <c r="D12" s="399"/>
      <c r="E12" s="399"/>
      <c r="F12" s="31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5"/>
      <c r="AF12" s="395"/>
      <c r="AG12" s="395"/>
      <c r="AH12" s="395"/>
      <c r="AI12" s="395"/>
      <c r="AJ12" s="395"/>
      <c r="AK12" s="395"/>
      <c r="AL12" s="395"/>
      <c r="AM12" s="395"/>
      <c r="AN12" s="395"/>
      <c r="AO12" s="395"/>
      <c r="AP12" s="395"/>
      <c r="AQ12" s="395"/>
      <c r="AR12" s="395"/>
      <c r="AS12" s="395"/>
      <c r="AT12" s="395"/>
      <c r="AU12" s="395"/>
      <c r="AV12" s="395"/>
      <c r="AW12" s="395"/>
      <c r="AX12" s="395"/>
      <c r="AY12" s="395"/>
      <c r="AZ12" s="395"/>
      <c r="BA12" s="395"/>
      <c r="BB12" s="395"/>
      <c r="BC12" s="395"/>
      <c r="BD12" s="395"/>
      <c r="BE12" s="395"/>
      <c r="BF12" s="395"/>
      <c r="BG12" s="395"/>
      <c r="BH12" s="395"/>
      <c r="BI12" s="395"/>
      <c r="BJ12" s="395"/>
      <c r="BK12" s="395"/>
      <c r="BL12" s="395"/>
      <c r="BM12" s="395"/>
      <c r="BN12" s="395"/>
      <c r="BO12" s="395"/>
      <c r="BP12" s="395"/>
      <c r="BQ12" s="395"/>
      <c r="BR12" s="395"/>
      <c r="BS12" s="395"/>
      <c r="BT12" s="395"/>
      <c r="BU12" s="395"/>
    </row>
    <row r="13" spans="1:125" s="396" customFormat="1" ht="27.75" customHeight="1" thickBot="1">
      <c r="A13" s="397" t="s">
        <v>837</v>
      </c>
      <c r="B13" s="425">
        <f>4000000-4000000</f>
        <v>0</v>
      </c>
      <c r="C13" s="642"/>
      <c r="D13" s="399"/>
      <c r="E13" s="399"/>
      <c r="F13" s="31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5"/>
      <c r="AI13" s="395"/>
      <c r="AJ13" s="395"/>
      <c r="AK13" s="395"/>
      <c r="AL13" s="395"/>
      <c r="AM13" s="395"/>
      <c r="AN13" s="395"/>
      <c r="AO13" s="395"/>
      <c r="AP13" s="395"/>
      <c r="AQ13" s="395"/>
      <c r="AR13" s="395"/>
      <c r="AS13" s="395"/>
      <c r="AT13" s="395"/>
      <c r="AU13" s="395"/>
      <c r="AV13" s="395"/>
      <c r="AW13" s="395"/>
      <c r="AX13" s="395"/>
      <c r="AY13" s="395"/>
      <c r="AZ13" s="395"/>
      <c r="BA13" s="395"/>
      <c r="BB13" s="395"/>
      <c r="BC13" s="395"/>
      <c r="BD13" s="395"/>
      <c r="BE13" s="395"/>
      <c r="BF13" s="395"/>
      <c r="BG13" s="395"/>
      <c r="BH13" s="395"/>
      <c r="BI13" s="395"/>
      <c r="BJ13" s="395"/>
      <c r="BK13" s="395"/>
      <c r="BL13" s="395"/>
      <c r="BM13" s="395"/>
      <c r="BN13" s="395"/>
      <c r="BO13" s="395"/>
      <c r="BP13" s="395"/>
      <c r="BQ13" s="395"/>
      <c r="BR13" s="395"/>
      <c r="BS13" s="395"/>
      <c r="BT13" s="395"/>
      <c r="BU13" s="395"/>
    </row>
    <row r="14" spans="1:125" s="435" customFormat="1" ht="21" customHeight="1" thickBot="1">
      <c r="A14" s="643" t="s">
        <v>646</v>
      </c>
      <c r="B14" s="425">
        <v>2540000</v>
      </c>
      <c r="C14" s="309"/>
      <c r="D14" s="399"/>
      <c r="E14" s="399"/>
      <c r="F14" s="315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434"/>
      <c r="AP14" s="544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/>
      <c r="DK14" s="278"/>
      <c r="DL14" s="278"/>
      <c r="DM14" s="278"/>
      <c r="DN14" s="278"/>
      <c r="DO14" s="278"/>
      <c r="DP14" s="278"/>
      <c r="DQ14" s="278"/>
      <c r="DR14" s="278"/>
      <c r="DS14" s="278"/>
      <c r="DT14" s="278"/>
      <c r="DU14" s="278"/>
    </row>
    <row r="15" spans="1:125" s="435" customFormat="1" ht="21" customHeight="1" thickBot="1">
      <c r="A15" s="644" t="s">
        <v>838</v>
      </c>
      <c r="B15" s="425">
        <v>720000</v>
      </c>
      <c r="C15" s="309"/>
      <c r="D15" s="399"/>
      <c r="E15" s="399"/>
      <c r="F15" s="315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8"/>
      <c r="DS15" s="278"/>
      <c r="DT15" s="278"/>
      <c r="DU15" s="278"/>
    </row>
    <row r="16" spans="1:125" s="396" customFormat="1" ht="22.5" customHeight="1" thickBot="1">
      <c r="A16" s="638" t="s">
        <v>460</v>
      </c>
      <c r="B16" s="393"/>
      <c r="C16" s="399">
        <v>150000</v>
      </c>
      <c r="D16" s="399">
        <f>SUM(C16)</f>
        <v>150000</v>
      </c>
      <c r="E16" s="399">
        <v>0</v>
      </c>
      <c r="F16" s="315">
        <f t="shared" ref="F16:F17" si="1">E16/D16</f>
        <v>0</v>
      </c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5"/>
      <c r="BG16" s="395"/>
      <c r="BH16" s="395"/>
      <c r="BI16" s="395"/>
      <c r="BJ16" s="395"/>
      <c r="BK16" s="395"/>
      <c r="BL16" s="395"/>
      <c r="BM16" s="395"/>
      <c r="BN16" s="395"/>
      <c r="BO16" s="395"/>
      <c r="BP16" s="395"/>
      <c r="BQ16" s="395"/>
      <c r="BR16" s="395"/>
      <c r="BS16" s="395"/>
      <c r="BT16" s="395"/>
      <c r="BU16" s="395"/>
    </row>
    <row r="17" spans="1:73" s="396" customFormat="1" ht="22.5" customHeight="1" thickBot="1">
      <c r="A17" s="638" t="s">
        <v>461</v>
      </c>
      <c r="B17" s="393"/>
      <c r="C17" s="399">
        <v>10000000</v>
      </c>
      <c r="D17" s="399">
        <f>SUM(B18:B19)</f>
        <v>4000000.3200000003</v>
      </c>
      <c r="E17" s="399">
        <v>1181829</v>
      </c>
      <c r="F17" s="315">
        <f t="shared" si="1"/>
        <v>0.29545722636342187</v>
      </c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5"/>
      <c r="BG17" s="395"/>
      <c r="BH17" s="395"/>
      <c r="BI17" s="395"/>
      <c r="BJ17" s="395"/>
      <c r="BK17" s="395"/>
      <c r="BL17" s="395"/>
      <c r="BM17" s="395"/>
      <c r="BN17" s="395"/>
      <c r="BO17" s="395"/>
      <c r="BP17" s="395"/>
      <c r="BQ17" s="395"/>
      <c r="BR17" s="395"/>
      <c r="BS17" s="395"/>
      <c r="BT17" s="395"/>
      <c r="BU17" s="395"/>
    </row>
    <row r="18" spans="1:73" s="396" customFormat="1" ht="22.5" customHeight="1" thickBot="1">
      <c r="A18" s="397" t="s">
        <v>839</v>
      </c>
      <c r="B18" s="393">
        <f>963600*1.27</f>
        <v>1223772</v>
      </c>
      <c r="C18" s="399"/>
      <c r="D18" s="399"/>
      <c r="E18" s="399"/>
      <c r="F18" s="31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395"/>
      <c r="AS18" s="395"/>
      <c r="AT18" s="395"/>
      <c r="AU18" s="395"/>
      <c r="AV18" s="395"/>
      <c r="AW18" s="395"/>
      <c r="AX18" s="395"/>
      <c r="AY18" s="395"/>
      <c r="AZ18" s="395"/>
      <c r="BA18" s="395"/>
      <c r="BB18" s="395"/>
      <c r="BC18" s="395"/>
      <c r="BD18" s="395"/>
      <c r="BE18" s="395"/>
      <c r="BF18" s="395"/>
      <c r="BG18" s="395"/>
      <c r="BH18" s="395"/>
      <c r="BI18" s="395"/>
      <c r="BJ18" s="395"/>
      <c r="BK18" s="395"/>
      <c r="BL18" s="395"/>
      <c r="BM18" s="395"/>
      <c r="BN18" s="395"/>
      <c r="BO18" s="395"/>
      <c r="BP18" s="395"/>
      <c r="BQ18" s="395"/>
      <c r="BR18" s="395"/>
      <c r="BS18" s="395"/>
      <c r="BT18" s="395"/>
      <c r="BU18" s="395"/>
    </row>
    <row r="19" spans="1:73" s="396" customFormat="1" ht="30.75" customHeight="1" thickBot="1">
      <c r="A19" s="397" t="s">
        <v>840</v>
      </c>
      <c r="B19" s="393">
        <f>6910416*1.27-6000000</f>
        <v>2776228.3200000003</v>
      </c>
      <c r="C19" s="394"/>
      <c r="D19" s="394"/>
      <c r="E19" s="394"/>
      <c r="F19" s="321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5"/>
      <c r="AX19" s="395"/>
      <c r="AY19" s="395"/>
      <c r="AZ19" s="395"/>
      <c r="BA19" s="395"/>
      <c r="BB19" s="395"/>
      <c r="BC19" s="395"/>
      <c r="BD19" s="395"/>
      <c r="BE19" s="395"/>
      <c r="BF19" s="395"/>
      <c r="BG19" s="395"/>
      <c r="BH19" s="395"/>
      <c r="BI19" s="395"/>
      <c r="BJ19" s="395"/>
      <c r="BK19" s="395"/>
      <c r="BL19" s="395"/>
      <c r="BM19" s="395"/>
      <c r="BN19" s="395"/>
      <c r="BO19" s="395"/>
      <c r="BP19" s="395"/>
      <c r="BQ19" s="395"/>
      <c r="BR19" s="395"/>
      <c r="BS19" s="395"/>
      <c r="BT19" s="395"/>
      <c r="BU19" s="395"/>
    </row>
    <row r="20" spans="1:73" s="396" customFormat="1" ht="22.5" customHeight="1" thickBot="1">
      <c r="A20" s="638" t="s">
        <v>462</v>
      </c>
      <c r="B20" s="393"/>
      <c r="C20" s="399">
        <f>SUM(B22:B24)</f>
        <v>21126250</v>
      </c>
      <c r="D20" s="399">
        <f>SUM(B22:B25)</f>
        <v>21963250</v>
      </c>
      <c r="E20" s="399">
        <f>846853+19346000</f>
        <v>20192853</v>
      </c>
      <c r="F20" s="315">
        <f>E20/D20</f>
        <v>0.91939275835771117</v>
      </c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395"/>
      <c r="AP20" s="395"/>
      <c r="AQ20" s="395"/>
      <c r="AR20" s="395"/>
      <c r="AS20" s="395"/>
      <c r="AT20" s="395"/>
      <c r="AU20" s="395"/>
      <c r="AV20" s="395"/>
      <c r="AW20" s="395"/>
      <c r="AX20" s="395"/>
      <c r="AY20" s="395"/>
      <c r="AZ20" s="395"/>
      <c r="BA20" s="395"/>
      <c r="BB20" s="395"/>
      <c r="BC20" s="395"/>
      <c r="BD20" s="395"/>
      <c r="BE20" s="395"/>
      <c r="BF20" s="395"/>
      <c r="BG20" s="395"/>
      <c r="BH20" s="395"/>
      <c r="BI20" s="395"/>
      <c r="BJ20" s="395"/>
      <c r="BK20" s="395"/>
      <c r="BL20" s="395"/>
      <c r="BM20" s="395"/>
      <c r="BN20" s="395"/>
      <c r="BO20" s="395"/>
      <c r="BP20" s="395"/>
      <c r="BQ20" s="395"/>
      <c r="BR20" s="395"/>
      <c r="BS20" s="395"/>
      <c r="BT20" s="395"/>
      <c r="BU20" s="395"/>
    </row>
    <row r="21" spans="1:73" s="396" customFormat="1" ht="22.5" customHeight="1" thickBot="1">
      <c r="A21" s="397" t="s">
        <v>427</v>
      </c>
      <c r="B21" s="393"/>
      <c r="C21" s="399"/>
      <c r="D21" s="399"/>
      <c r="E21" s="399"/>
      <c r="F21" s="31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  <c r="AN21" s="395"/>
      <c r="AO21" s="395"/>
      <c r="AP21" s="395"/>
      <c r="AQ21" s="395"/>
      <c r="AR21" s="395"/>
      <c r="AS21" s="395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5"/>
      <c r="BG21" s="395"/>
      <c r="BH21" s="395"/>
      <c r="BI21" s="395"/>
      <c r="BJ21" s="395"/>
      <c r="BK21" s="395"/>
      <c r="BL21" s="395"/>
      <c r="BM21" s="395"/>
      <c r="BN21" s="395"/>
      <c r="BO21" s="395"/>
      <c r="BP21" s="395"/>
      <c r="BQ21" s="395"/>
      <c r="BR21" s="395"/>
      <c r="BS21" s="395"/>
      <c r="BT21" s="395"/>
      <c r="BU21" s="395"/>
    </row>
    <row r="22" spans="1:73" s="396" customFormat="1" ht="22.5" customHeight="1" thickBot="1">
      <c r="A22" s="397" t="s">
        <v>463</v>
      </c>
      <c r="B22" s="393">
        <v>50000</v>
      </c>
      <c r="C22" s="399"/>
      <c r="D22" s="399"/>
      <c r="E22" s="399"/>
      <c r="F22" s="31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  <c r="AW22" s="395"/>
      <c r="AX22" s="395"/>
      <c r="AY22" s="395"/>
      <c r="AZ22" s="395"/>
      <c r="BA22" s="395"/>
      <c r="BB22" s="395"/>
      <c r="BC22" s="395"/>
      <c r="BD22" s="395"/>
      <c r="BE22" s="395"/>
      <c r="BF22" s="395"/>
      <c r="BG22" s="395"/>
      <c r="BH22" s="395"/>
      <c r="BI22" s="395"/>
      <c r="BJ22" s="395"/>
      <c r="BK22" s="395"/>
      <c r="BL22" s="395"/>
      <c r="BM22" s="395"/>
      <c r="BN22" s="395"/>
      <c r="BO22" s="395"/>
      <c r="BP22" s="395"/>
      <c r="BQ22" s="395"/>
      <c r="BR22" s="395"/>
      <c r="BS22" s="395"/>
      <c r="BT22" s="395"/>
      <c r="BU22" s="395"/>
    </row>
    <row r="23" spans="1:73" s="396" customFormat="1" ht="22.5" customHeight="1" thickBot="1">
      <c r="A23" s="397" t="s">
        <v>647</v>
      </c>
      <c r="B23" s="393">
        <v>1000000</v>
      </c>
      <c r="C23" s="399"/>
      <c r="D23" s="399"/>
      <c r="E23" s="399"/>
      <c r="F23" s="31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C23" s="395"/>
      <c r="BD23" s="395"/>
      <c r="BE23" s="395"/>
      <c r="BF23" s="395"/>
      <c r="BG23" s="395"/>
      <c r="BH23" s="395"/>
      <c r="BI23" s="395"/>
      <c r="BJ23" s="395"/>
      <c r="BK23" s="395"/>
      <c r="BL23" s="395"/>
      <c r="BM23" s="395"/>
      <c r="BN23" s="395"/>
      <c r="BO23" s="395"/>
      <c r="BP23" s="395"/>
      <c r="BQ23" s="395"/>
      <c r="BR23" s="395"/>
      <c r="BS23" s="395"/>
      <c r="BT23" s="395"/>
      <c r="BU23" s="395"/>
    </row>
    <row r="24" spans="1:73" s="396" customFormat="1" ht="22.5" customHeight="1" thickBot="1">
      <c r="A24" s="397" t="s">
        <v>841</v>
      </c>
      <c r="B24" s="393">
        <v>20076250</v>
      </c>
      <c r="C24" s="399"/>
      <c r="D24" s="399"/>
      <c r="E24" s="399"/>
      <c r="F24" s="31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5"/>
      <c r="AI24" s="395"/>
      <c r="AJ24" s="395"/>
      <c r="AK24" s="395"/>
      <c r="AL24" s="395"/>
      <c r="AM24" s="395"/>
      <c r="AN24" s="395"/>
      <c r="AO24" s="395"/>
      <c r="AP24" s="395"/>
      <c r="AQ24" s="395"/>
      <c r="AR24" s="395"/>
      <c r="AS24" s="395"/>
      <c r="AT24" s="395"/>
      <c r="AU24" s="395"/>
      <c r="AV24" s="395"/>
      <c r="AW24" s="395"/>
      <c r="AX24" s="395"/>
      <c r="AY24" s="395"/>
      <c r="AZ24" s="395"/>
      <c r="BA24" s="395"/>
      <c r="BB24" s="395"/>
      <c r="BC24" s="395"/>
      <c r="BD24" s="395"/>
      <c r="BE24" s="395"/>
      <c r="BF24" s="395"/>
      <c r="BG24" s="395"/>
      <c r="BH24" s="395"/>
      <c r="BI24" s="395"/>
      <c r="BJ24" s="395"/>
      <c r="BK24" s="395"/>
      <c r="BL24" s="395"/>
      <c r="BM24" s="395"/>
      <c r="BN24" s="395"/>
      <c r="BO24" s="395"/>
      <c r="BP24" s="395"/>
      <c r="BQ24" s="395"/>
      <c r="BR24" s="395"/>
      <c r="BS24" s="395"/>
      <c r="BT24" s="395"/>
      <c r="BU24" s="395"/>
    </row>
    <row r="25" spans="1:73" s="396" customFormat="1" ht="22.5" customHeight="1" thickBot="1">
      <c r="A25" s="397" t="s">
        <v>842</v>
      </c>
      <c r="B25" s="393">
        <v>837000</v>
      </c>
      <c r="C25" s="399"/>
      <c r="D25" s="543"/>
      <c r="E25" s="543"/>
      <c r="F25" s="569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95"/>
      <c r="AU25" s="395"/>
      <c r="AV25" s="395"/>
      <c r="AW25" s="395"/>
      <c r="AX25" s="395"/>
      <c r="AY25" s="395"/>
      <c r="AZ25" s="395"/>
      <c r="BA25" s="395"/>
      <c r="BB25" s="395"/>
      <c r="BC25" s="395"/>
      <c r="BD25" s="395"/>
      <c r="BE25" s="395"/>
      <c r="BF25" s="395"/>
      <c r="BG25" s="395"/>
      <c r="BH25" s="395"/>
      <c r="BI25" s="395"/>
      <c r="BJ25" s="395"/>
      <c r="BK25" s="395"/>
      <c r="BL25" s="395"/>
      <c r="BM25" s="395"/>
      <c r="BN25" s="395"/>
      <c r="BO25" s="395"/>
      <c r="BP25" s="395"/>
      <c r="BQ25" s="395"/>
      <c r="BR25" s="395"/>
      <c r="BS25" s="395"/>
      <c r="BT25" s="395"/>
      <c r="BU25" s="395"/>
    </row>
    <row r="26" spans="1:73" s="401" customFormat="1" ht="22.5" customHeight="1" thickBot="1">
      <c r="A26" s="638" t="s">
        <v>843</v>
      </c>
      <c r="B26" s="398"/>
      <c r="C26" s="399"/>
      <c r="D26" s="543">
        <f>60000+15000</f>
        <v>75000</v>
      </c>
      <c r="E26" s="543">
        <v>487500</v>
      </c>
      <c r="F26" s="315">
        <f t="shared" ref="F26:F27" si="2">E26/D26</f>
        <v>6.5</v>
      </c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400"/>
      <c r="AD26" s="400"/>
      <c r="AE26" s="400"/>
      <c r="AF26" s="400"/>
      <c r="AG26" s="400"/>
      <c r="AH26" s="400"/>
      <c r="AI26" s="400"/>
      <c r="AJ26" s="400"/>
      <c r="AK26" s="400"/>
      <c r="AL26" s="400"/>
      <c r="AM26" s="400"/>
      <c r="AN26" s="400"/>
      <c r="AO26" s="400"/>
      <c r="AP26" s="400"/>
      <c r="AQ26" s="400"/>
      <c r="AR26" s="400"/>
      <c r="AS26" s="400"/>
      <c r="AT26" s="400"/>
      <c r="AU26" s="400"/>
      <c r="AV26" s="400"/>
      <c r="AW26" s="400"/>
      <c r="AX26" s="400"/>
      <c r="AY26" s="400"/>
      <c r="AZ26" s="400"/>
      <c r="BA26" s="400"/>
      <c r="BB26" s="400"/>
      <c r="BC26" s="400"/>
      <c r="BD26" s="400"/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400"/>
      <c r="BP26" s="400"/>
      <c r="BQ26" s="400"/>
      <c r="BR26" s="400"/>
      <c r="BS26" s="400"/>
      <c r="BT26" s="400"/>
      <c r="BU26" s="400"/>
    </row>
    <row r="27" spans="1:73" s="396" customFormat="1" ht="22.5" customHeight="1" thickBot="1">
      <c r="A27" s="638" t="s">
        <v>464</v>
      </c>
      <c r="B27" s="393"/>
      <c r="C27" s="399">
        <v>3750188</v>
      </c>
      <c r="D27" s="399">
        <f>SUM(B29:B30)</f>
        <v>3800188</v>
      </c>
      <c r="E27" s="399">
        <f>2556891+272808</f>
        <v>2829699</v>
      </c>
      <c r="F27" s="315">
        <f t="shared" si="2"/>
        <v>0.74462079244500534</v>
      </c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395"/>
      <c r="AF27" s="395"/>
      <c r="AG27" s="395"/>
      <c r="AH27" s="395"/>
      <c r="AI27" s="395"/>
      <c r="AJ27" s="395"/>
      <c r="AK27" s="395"/>
      <c r="AL27" s="395"/>
      <c r="AM27" s="395"/>
      <c r="AN27" s="395"/>
      <c r="AO27" s="395"/>
      <c r="AP27" s="395"/>
      <c r="AQ27" s="395"/>
      <c r="AR27" s="395"/>
      <c r="AS27" s="395"/>
      <c r="AT27" s="395"/>
      <c r="AU27" s="395"/>
      <c r="AV27" s="395"/>
      <c r="AW27" s="395"/>
      <c r="AX27" s="395"/>
      <c r="AY27" s="395"/>
      <c r="AZ27" s="395"/>
      <c r="BA27" s="395"/>
      <c r="BB27" s="395"/>
      <c r="BC27" s="395"/>
      <c r="BD27" s="395"/>
      <c r="BE27" s="395"/>
      <c r="BF27" s="395"/>
      <c r="BG27" s="395"/>
      <c r="BH27" s="395"/>
      <c r="BI27" s="395"/>
      <c r="BJ27" s="395"/>
      <c r="BK27" s="395"/>
      <c r="BL27" s="395"/>
      <c r="BM27" s="395"/>
      <c r="BN27" s="395"/>
      <c r="BO27" s="395"/>
      <c r="BP27" s="395"/>
      <c r="BQ27" s="395"/>
      <c r="BR27" s="395"/>
      <c r="BS27" s="395"/>
      <c r="BT27" s="395"/>
      <c r="BU27" s="395"/>
    </row>
    <row r="28" spans="1:73" s="396" customFormat="1" ht="22.5" customHeight="1" thickBot="1">
      <c r="A28" s="397" t="s">
        <v>427</v>
      </c>
      <c r="B28" s="393"/>
      <c r="C28" s="399"/>
      <c r="D28" s="399"/>
      <c r="E28" s="399"/>
      <c r="F28" s="31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5"/>
      <c r="AI28" s="395"/>
      <c r="AJ28" s="395"/>
      <c r="AK28" s="395"/>
      <c r="AL28" s="395"/>
      <c r="AM28" s="395"/>
      <c r="AN28" s="395"/>
      <c r="AO28" s="395"/>
      <c r="AP28" s="395"/>
      <c r="AQ28" s="395"/>
      <c r="AR28" s="395"/>
      <c r="AS28" s="395"/>
      <c r="AT28" s="395"/>
      <c r="AU28" s="395"/>
      <c r="AV28" s="395"/>
      <c r="AW28" s="395"/>
      <c r="AX28" s="395"/>
      <c r="AY28" s="395"/>
      <c r="AZ28" s="395"/>
      <c r="BA28" s="395"/>
      <c r="BB28" s="395"/>
      <c r="BC28" s="395"/>
      <c r="BD28" s="395"/>
      <c r="BE28" s="395"/>
      <c r="BF28" s="395"/>
      <c r="BG28" s="395"/>
      <c r="BH28" s="395"/>
      <c r="BI28" s="395"/>
      <c r="BJ28" s="395"/>
      <c r="BK28" s="395"/>
      <c r="BL28" s="395"/>
      <c r="BM28" s="395"/>
      <c r="BN28" s="395"/>
      <c r="BO28" s="395"/>
      <c r="BP28" s="395"/>
      <c r="BQ28" s="395"/>
      <c r="BR28" s="395"/>
      <c r="BS28" s="395"/>
      <c r="BT28" s="395"/>
      <c r="BU28" s="395"/>
    </row>
    <row r="29" spans="1:73" s="396" customFormat="1" ht="45" customHeight="1" thickBot="1">
      <c r="A29" s="397" t="s">
        <v>844</v>
      </c>
      <c r="B29" s="393">
        <v>3409188</v>
      </c>
      <c r="C29" s="399"/>
      <c r="D29" s="399"/>
      <c r="E29" s="399"/>
      <c r="F29" s="31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5"/>
      <c r="AM29" s="395"/>
      <c r="AN29" s="395"/>
      <c r="AO29" s="395"/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395"/>
      <c r="BC29" s="395"/>
      <c r="BD29" s="395"/>
      <c r="BE29" s="395"/>
      <c r="BF29" s="395"/>
      <c r="BG29" s="395"/>
      <c r="BH29" s="395"/>
      <c r="BI29" s="395"/>
      <c r="BJ29" s="395"/>
      <c r="BK29" s="395"/>
      <c r="BL29" s="395"/>
      <c r="BM29" s="395"/>
      <c r="BN29" s="395"/>
      <c r="BO29" s="395"/>
      <c r="BP29" s="395"/>
      <c r="BQ29" s="395"/>
      <c r="BR29" s="395"/>
      <c r="BS29" s="395"/>
      <c r="BT29" s="395"/>
      <c r="BU29" s="395"/>
    </row>
    <row r="30" spans="1:73" s="396" customFormat="1" ht="30.75" customHeight="1" thickBot="1">
      <c r="A30" s="397" t="s">
        <v>465</v>
      </c>
      <c r="B30" s="393">
        <f>300000+41000+50000</f>
        <v>391000</v>
      </c>
      <c r="C30" s="399"/>
      <c r="D30" s="399"/>
      <c r="E30" s="399"/>
      <c r="F30" s="31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5"/>
      <c r="AI30" s="395"/>
      <c r="AJ30" s="395"/>
      <c r="AK30" s="395"/>
      <c r="AL30" s="395"/>
      <c r="AM30" s="395"/>
      <c r="AN30" s="395"/>
      <c r="AO30" s="395"/>
      <c r="AP30" s="395"/>
      <c r="AQ30" s="395"/>
      <c r="AR30" s="395"/>
      <c r="AS30" s="395"/>
      <c r="AT30" s="395"/>
      <c r="AU30" s="395"/>
      <c r="AV30" s="395"/>
      <c r="AW30" s="395"/>
      <c r="AX30" s="395"/>
      <c r="AY30" s="395"/>
      <c r="AZ30" s="395"/>
      <c r="BA30" s="395"/>
      <c r="BB30" s="395"/>
      <c r="BC30" s="395"/>
      <c r="BD30" s="395"/>
      <c r="BE30" s="395"/>
      <c r="BF30" s="395"/>
      <c r="BG30" s="395"/>
      <c r="BH30" s="395"/>
      <c r="BI30" s="395"/>
      <c r="BJ30" s="395"/>
      <c r="BK30" s="395"/>
      <c r="BL30" s="395"/>
      <c r="BM30" s="395"/>
      <c r="BN30" s="395"/>
      <c r="BO30" s="395"/>
      <c r="BP30" s="395"/>
      <c r="BQ30" s="395"/>
      <c r="BR30" s="395"/>
      <c r="BS30" s="395"/>
      <c r="BT30" s="395"/>
      <c r="BU30" s="395"/>
    </row>
    <row r="31" spans="1:73" s="646" customFormat="1" ht="75" customHeight="1" thickBot="1">
      <c r="A31" s="911" t="s">
        <v>845</v>
      </c>
      <c r="B31" s="912"/>
      <c r="C31" s="399">
        <v>1485000</v>
      </c>
      <c r="D31" s="543">
        <f>SUM(C31)+300000</f>
        <v>1785000</v>
      </c>
      <c r="E31" s="543">
        <v>1681716</v>
      </c>
      <c r="F31" s="315">
        <f t="shared" ref="F31:F36" si="3">E31/D31</f>
        <v>0.94213781512605044</v>
      </c>
      <c r="G31" s="645"/>
      <c r="H31" s="645"/>
      <c r="I31" s="645"/>
      <c r="J31" s="645"/>
      <c r="K31" s="645"/>
      <c r="L31" s="645"/>
      <c r="M31" s="645"/>
      <c r="N31" s="645"/>
      <c r="O31" s="645"/>
      <c r="P31" s="645"/>
      <c r="Q31" s="645"/>
      <c r="R31" s="645"/>
      <c r="S31" s="645"/>
      <c r="T31" s="645"/>
      <c r="U31" s="645"/>
      <c r="V31" s="645"/>
      <c r="W31" s="645"/>
      <c r="X31" s="645"/>
      <c r="Y31" s="645"/>
      <c r="Z31" s="645"/>
      <c r="AA31" s="645"/>
      <c r="AB31" s="645"/>
      <c r="AC31" s="645"/>
      <c r="AD31" s="645"/>
      <c r="AE31" s="645"/>
      <c r="AF31" s="645"/>
      <c r="AG31" s="645"/>
      <c r="AH31" s="645"/>
      <c r="AI31" s="645"/>
      <c r="AJ31" s="645"/>
      <c r="AK31" s="645"/>
      <c r="AL31" s="645"/>
      <c r="AM31" s="645"/>
      <c r="AN31" s="645"/>
      <c r="AO31" s="645"/>
      <c r="AP31" s="645"/>
      <c r="AQ31" s="645"/>
      <c r="AR31" s="645"/>
      <c r="AS31" s="645"/>
      <c r="AT31" s="645"/>
      <c r="AU31" s="645"/>
      <c r="AV31" s="645"/>
      <c r="AW31" s="645"/>
      <c r="AX31" s="645"/>
      <c r="AY31" s="645"/>
      <c r="AZ31" s="645"/>
      <c r="BA31" s="645"/>
      <c r="BB31" s="645"/>
      <c r="BC31" s="645"/>
      <c r="BD31" s="645"/>
      <c r="BE31" s="645"/>
      <c r="BF31" s="645"/>
      <c r="BG31" s="645"/>
      <c r="BH31" s="645"/>
      <c r="BI31" s="645"/>
      <c r="BJ31" s="645"/>
      <c r="BK31" s="645"/>
      <c r="BL31" s="645"/>
      <c r="BM31" s="645"/>
      <c r="BN31" s="645"/>
      <c r="BO31" s="645"/>
      <c r="BP31" s="645"/>
      <c r="BQ31" s="645"/>
      <c r="BR31" s="645"/>
      <c r="BS31" s="645"/>
      <c r="BT31" s="645"/>
      <c r="BU31" s="645"/>
    </row>
    <row r="32" spans="1:73" s="396" customFormat="1" ht="38.25" thickBot="1">
      <c r="A32" s="638" t="s">
        <v>466</v>
      </c>
      <c r="B32" s="393"/>
      <c r="C32" s="399">
        <v>568508702</v>
      </c>
      <c r="D32" s="399">
        <f>SUM(C32)+36741485+50781978+32884582-2258807</f>
        <v>686657940</v>
      </c>
      <c r="E32" s="399">
        <v>686657940</v>
      </c>
      <c r="F32" s="315">
        <f t="shared" si="3"/>
        <v>1</v>
      </c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  <c r="AK32" s="395"/>
      <c r="AL32" s="395"/>
      <c r="AM32" s="395"/>
      <c r="AN32" s="395"/>
      <c r="AO32" s="395"/>
      <c r="AP32" s="395"/>
      <c r="AQ32" s="395"/>
      <c r="AR32" s="395"/>
      <c r="AS32" s="395"/>
      <c r="AT32" s="395"/>
      <c r="AU32" s="395"/>
      <c r="AV32" s="395"/>
      <c r="AW32" s="395"/>
      <c r="AX32" s="395"/>
      <c r="AY32" s="395"/>
      <c r="AZ32" s="395"/>
      <c r="BA32" s="395"/>
      <c r="BB32" s="395"/>
      <c r="BC32" s="395"/>
      <c r="BD32" s="395"/>
      <c r="BE32" s="395"/>
      <c r="BF32" s="395"/>
      <c r="BG32" s="395"/>
      <c r="BH32" s="395"/>
      <c r="BI32" s="395"/>
      <c r="BJ32" s="395"/>
      <c r="BK32" s="395"/>
      <c r="BL32" s="395"/>
      <c r="BM32" s="395"/>
      <c r="BN32" s="395"/>
      <c r="BO32" s="395"/>
      <c r="BP32" s="395"/>
      <c r="BQ32" s="395"/>
      <c r="BR32" s="395"/>
      <c r="BS32" s="395"/>
      <c r="BT32" s="395"/>
      <c r="BU32" s="395"/>
    </row>
    <row r="33" spans="1:73" s="396" customFormat="1" ht="57" thickBot="1">
      <c r="A33" s="638" t="s">
        <v>467</v>
      </c>
      <c r="B33" s="393"/>
      <c r="C33" s="399">
        <f>100000000</f>
        <v>100000000</v>
      </c>
      <c r="D33" s="399">
        <f>SUM(C33)+47782313+21247350</f>
        <v>169029663</v>
      </c>
      <c r="E33" s="399">
        <v>169029663</v>
      </c>
      <c r="F33" s="315">
        <f t="shared" si="3"/>
        <v>1</v>
      </c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5"/>
      <c r="AM33" s="395"/>
      <c r="AN33" s="395"/>
      <c r="AO33" s="395"/>
      <c r="AP33" s="395"/>
      <c r="AQ33" s="395"/>
      <c r="AR33" s="395"/>
      <c r="AS33" s="395"/>
      <c r="AT33" s="395"/>
      <c r="AU33" s="395"/>
      <c r="AV33" s="395"/>
      <c r="AW33" s="395"/>
      <c r="AX33" s="395"/>
      <c r="AY33" s="395"/>
      <c r="AZ33" s="395"/>
      <c r="BA33" s="395"/>
      <c r="BB33" s="395"/>
      <c r="BC33" s="395"/>
      <c r="BD33" s="395"/>
      <c r="BE33" s="395"/>
      <c r="BF33" s="395"/>
      <c r="BG33" s="395"/>
      <c r="BH33" s="395"/>
      <c r="BI33" s="395"/>
      <c r="BJ33" s="395"/>
      <c r="BK33" s="395"/>
      <c r="BL33" s="395"/>
      <c r="BM33" s="395"/>
      <c r="BN33" s="395"/>
      <c r="BO33" s="395"/>
      <c r="BP33" s="395"/>
      <c r="BQ33" s="395"/>
      <c r="BR33" s="395"/>
      <c r="BS33" s="395"/>
      <c r="BT33" s="395"/>
      <c r="BU33" s="395"/>
    </row>
    <row r="34" spans="1:73" s="396" customFormat="1" ht="27.75" customHeight="1" thickBot="1">
      <c r="A34" s="638" t="s">
        <v>846</v>
      </c>
      <c r="B34" s="393"/>
      <c r="C34" s="399">
        <v>1020650</v>
      </c>
      <c r="D34" s="399">
        <f t="shared" ref="D34:D36" si="4">SUM(C34)</f>
        <v>1020650</v>
      </c>
      <c r="E34" s="399">
        <v>1020650</v>
      </c>
      <c r="F34" s="315">
        <f t="shared" si="3"/>
        <v>1</v>
      </c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  <c r="Y34" s="395"/>
      <c r="Z34" s="395"/>
      <c r="AA34" s="395"/>
      <c r="AB34" s="395"/>
      <c r="AC34" s="395"/>
      <c r="AD34" s="395"/>
      <c r="AE34" s="395"/>
      <c r="AF34" s="395"/>
      <c r="AG34" s="395"/>
      <c r="AH34" s="395"/>
      <c r="AI34" s="395"/>
      <c r="AJ34" s="395"/>
      <c r="AK34" s="395"/>
      <c r="AL34" s="395"/>
      <c r="AM34" s="395"/>
      <c r="AN34" s="395"/>
      <c r="AO34" s="395"/>
      <c r="AP34" s="395"/>
      <c r="AQ34" s="395"/>
      <c r="AR34" s="395"/>
      <c r="AS34" s="395"/>
      <c r="AT34" s="395"/>
      <c r="AU34" s="395"/>
      <c r="AV34" s="395"/>
      <c r="AW34" s="395"/>
      <c r="AX34" s="395"/>
      <c r="AY34" s="395"/>
      <c r="AZ34" s="395"/>
      <c r="BA34" s="395"/>
      <c r="BB34" s="395"/>
      <c r="BC34" s="395"/>
      <c r="BD34" s="395"/>
      <c r="BE34" s="395"/>
      <c r="BF34" s="395"/>
      <c r="BG34" s="395"/>
      <c r="BH34" s="395"/>
      <c r="BI34" s="395"/>
      <c r="BJ34" s="395"/>
      <c r="BK34" s="395"/>
      <c r="BL34" s="395"/>
      <c r="BM34" s="395"/>
      <c r="BN34" s="395"/>
      <c r="BO34" s="395"/>
      <c r="BP34" s="395"/>
      <c r="BQ34" s="395"/>
      <c r="BR34" s="395"/>
      <c r="BS34" s="395"/>
      <c r="BT34" s="395"/>
      <c r="BU34" s="395"/>
    </row>
    <row r="35" spans="1:73" s="396" customFormat="1" ht="39.75" customHeight="1" thickBot="1">
      <c r="A35" s="638" t="s">
        <v>847</v>
      </c>
      <c r="B35" s="393"/>
      <c r="C35" s="399"/>
      <c r="D35" s="543">
        <v>135476</v>
      </c>
      <c r="E35" s="543">
        <v>135476</v>
      </c>
      <c r="F35" s="315">
        <f t="shared" si="3"/>
        <v>1</v>
      </c>
      <c r="G35" s="395"/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5"/>
      <c r="Y35" s="395"/>
      <c r="Z35" s="395"/>
      <c r="AA35" s="395"/>
      <c r="AB35" s="395"/>
      <c r="AC35" s="395"/>
      <c r="AD35" s="395"/>
      <c r="AE35" s="395"/>
      <c r="AF35" s="395"/>
      <c r="AG35" s="395"/>
      <c r="AH35" s="395"/>
      <c r="AI35" s="395"/>
      <c r="AJ35" s="395"/>
      <c r="AK35" s="395"/>
      <c r="AL35" s="395"/>
      <c r="AM35" s="395"/>
      <c r="AN35" s="395"/>
      <c r="AO35" s="395"/>
      <c r="AP35" s="395"/>
      <c r="AQ35" s="395"/>
      <c r="AR35" s="395"/>
      <c r="AS35" s="395"/>
      <c r="AT35" s="395"/>
      <c r="AU35" s="395"/>
      <c r="AV35" s="395"/>
      <c r="AW35" s="395"/>
      <c r="AX35" s="395"/>
      <c r="AY35" s="395"/>
      <c r="AZ35" s="395"/>
      <c r="BA35" s="395"/>
      <c r="BB35" s="395"/>
      <c r="BC35" s="395"/>
      <c r="BD35" s="395"/>
      <c r="BE35" s="395"/>
      <c r="BF35" s="395"/>
      <c r="BG35" s="395"/>
      <c r="BH35" s="395"/>
      <c r="BI35" s="395"/>
      <c r="BJ35" s="395"/>
      <c r="BK35" s="395"/>
      <c r="BL35" s="395"/>
      <c r="BM35" s="395"/>
      <c r="BN35" s="395"/>
      <c r="BO35" s="395"/>
      <c r="BP35" s="395"/>
      <c r="BQ35" s="395"/>
      <c r="BR35" s="395"/>
      <c r="BS35" s="395"/>
      <c r="BT35" s="395"/>
      <c r="BU35" s="395"/>
    </row>
    <row r="36" spans="1:73" s="396" customFormat="1" ht="42" customHeight="1" thickBot="1">
      <c r="A36" s="911" t="s">
        <v>848</v>
      </c>
      <c r="B36" s="912"/>
      <c r="C36" s="399">
        <f>SUM(B37:B41)</f>
        <v>53740000</v>
      </c>
      <c r="D36" s="399">
        <f t="shared" si="4"/>
        <v>53740000</v>
      </c>
      <c r="E36" s="399">
        <f>24662000+3475000+14407088+129000+1650000</f>
        <v>44323088</v>
      </c>
      <c r="F36" s="315">
        <f t="shared" si="3"/>
        <v>0.82476903609973951</v>
      </c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  <c r="AE36" s="395"/>
      <c r="AF36" s="395"/>
      <c r="AG36" s="395"/>
      <c r="AH36" s="395"/>
      <c r="AI36" s="395"/>
      <c r="AJ36" s="395"/>
      <c r="AK36" s="395"/>
      <c r="AL36" s="395"/>
      <c r="AM36" s="395"/>
      <c r="AN36" s="395"/>
      <c r="AO36" s="395"/>
      <c r="AP36" s="395"/>
      <c r="AQ36" s="395"/>
      <c r="AR36" s="395"/>
      <c r="AS36" s="395"/>
      <c r="AT36" s="395"/>
      <c r="AU36" s="395"/>
      <c r="AV36" s="395"/>
      <c r="AW36" s="395"/>
      <c r="AX36" s="395"/>
      <c r="AY36" s="395"/>
      <c r="AZ36" s="395"/>
      <c r="BA36" s="395"/>
      <c r="BB36" s="395"/>
      <c r="BC36" s="395"/>
      <c r="BD36" s="395"/>
      <c r="BE36" s="395"/>
      <c r="BF36" s="395"/>
      <c r="BG36" s="395"/>
      <c r="BH36" s="395"/>
      <c r="BI36" s="395"/>
      <c r="BJ36" s="395"/>
      <c r="BK36" s="395"/>
      <c r="BL36" s="395"/>
      <c r="BM36" s="395"/>
      <c r="BN36" s="395"/>
      <c r="BO36" s="395"/>
      <c r="BP36" s="395"/>
      <c r="BQ36" s="395"/>
      <c r="BR36" s="395"/>
      <c r="BS36" s="395"/>
      <c r="BT36" s="395"/>
      <c r="BU36" s="395"/>
    </row>
    <row r="37" spans="1:73" s="396" customFormat="1" ht="21" customHeight="1" thickBot="1">
      <c r="A37" s="397" t="s">
        <v>849</v>
      </c>
      <c r="B37" s="393">
        <v>26400000</v>
      </c>
      <c r="C37" s="399"/>
      <c r="D37" s="399"/>
      <c r="E37" s="399"/>
      <c r="F37" s="31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5"/>
      <c r="AL37" s="395"/>
      <c r="AM37" s="395"/>
      <c r="AN37" s="395"/>
      <c r="AO37" s="395"/>
      <c r="AP37" s="395"/>
      <c r="AQ37" s="395"/>
      <c r="AR37" s="395"/>
      <c r="AS37" s="395"/>
      <c r="AT37" s="395"/>
      <c r="AU37" s="395"/>
      <c r="AV37" s="395"/>
      <c r="AW37" s="395"/>
      <c r="AX37" s="395"/>
      <c r="AY37" s="395"/>
      <c r="AZ37" s="395"/>
      <c r="BA37" s="395"/>
      <c r="BB37" s="395"/>
      <c r="BC37" s="395"/>
      <c r="BD37" s="395"/>
      <c r="BE37" s="395"/>
      <c r="BF37" s="395"/>
      <c r="BG37" s="395"/>
      <c r="BH37" s="395"/>
      <c r="BI37" s="395"/>
      <c r="BJ37" s="395"/>
      <c r="BK37" s="395"/>
      <c r="BL37" s="395"/>
      <c r="BM37" s="395"/>
      <c r="BN37" s="395"/>
      <c r="BO37" s="395"/>
      <c r="BP37" s="395"/>
      <c r="BQ37" s="395"/>
      <c r="BR37" s="395"/>
      <c r="BS37" s="395"/>
      <c r="BT37" s="395"/>
      <c r="BU37" s="395"/>
    </row>
    <row r="38" spans="1:73" s="396" customFormat="1" ht="21" customHeight="1" thickBot="1">
      <c r="A38" s="397" t="s">
        <v>850</v>
      </c>
      <c r="B38" s="393">
        <v>3240000</v>
      </c>
      <c r="C38" s="399"/>
      <c r="D38" s="399"/>
      <c r="E38" s="399"/>
      <c r="F38" s="31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95"/>
      <c r="AK38" s="395"/>
      <c r="AL38" s="395"/>
      <c r="AM38" s="395"/>
      <c r="AN38" s="395"/>
      <c r="AO38" s="395"/>
      <c r="AP38" s="395"/>
      <c r="AQ38" s="395"/>
      <c r="AR38" s="395"/>
      <c r="AS38" s="395"/>
      <c r="AT38" s="395"/>
      <c r="AU38" s="395"/>
      <c r="AV38" s="395"/>
      <c r="AW38" s="395"/>
      <c r="AX38" s="395"/>
      <c r="AY38" s="395"/>
      <c r="AZ38" s="395"/>
      <c r="BA38" s="395"/>
      <c r="BB38" s="395"/>
      <c r="BC38" s="395"/>
      <c r="BD38" s="395"/>
      <c r="BE38" s="395"/>
      <c r="BF38" s="395"/>
      <c r="BG38" s="395"/>
      <c r="BH38" s="395"/>
      <c r="BI38" s="395"/>
      <c r="BJ38" s="395"/>
      <c r="BK38" s="395"/>
      <c r="BL38" s="395"/>
      <c r="BM38" s="395"/>
      <c r="BN38" s="395"/>
      <c r="BO38" s="395"/>
      <c r="BP38" s="395"/>
      <c r="BQ38" s="395"/>
      <c r="BR38" s="395"/>
      <c r="BS38" s="395"/>
      <c r="BT38" s="395"/>
      <c r="BU38" s="395"/>
    </row>
    <row r="39" spans="1:73" s="396" customFormat="1" ht="40.5" customHeight="1" thickBot="1">
      <c r="A39" s="397" t="s">
        <v>851</v>
      </c>
      <c r="B39" s="393">
        <v>9800000</v>
      </c>
      <c r="C39" s="399"/>
      <c r="D39" s="399"/>
      <c r="E39" s="399"/>
      <c r="F39" s="31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  <c r="AE39" s="395"/>
      <c r="AF39" s="395"/>
      <c r="AG39" s="395"/>
      <c r="AH39" s="395"/>
      <c r="AI39" s="395"/>
      <c r="AJ39" s="395"/>
      <c r="AK39" s="395"/>
      <c r="AL39" s="395"/>
      <c r="AM39" s="395"/>
      <c r="AN39" s="395"/>
      <c r="AO39" s="395"/>
      <c r="AP39" s="395"/>
      <c r="AQ39" s="395"/>
      <c r="AR39" s="395"/>
      <c r="AS39" s="395"/>
      <c r="AT39" s="395"/>
      <c r="AU39" s="395"/>
      <c r="AV39" s="395"/>
      <c r="AW39" s="395"/>
      <c r="AX39" s="395"/>
      <c r="AY39" s="395"/>
      <c r="AZ39" s="395"/>
      <c r="BA39" s="395"/>
      <c r="BB39" s="395"/>
      <c r="BC39" s="395"/>
      <c r="BD39" s="395"/>
      <c r="BE39" s="395"/>
      <c r="BF39" s="395"/>
      <c r="BG39" s="395"/>
      <c r="BH39" s="395"/>
      <c r="BI39" s="395"/>
      <c r="BJ39" s="395"/>
      <c r="BK39" s="395"/>
      <c r="BL39" s="395"/>
      <c r="BM39" s="395"/>
      <c r="BN39" s="395"/>
      <c r="BO39" s="395"/>
      <c r="BP39" s="395"/>
      <c r="BQ39" s="395"/>
      <c r="BR39" s="395"/>
      <c r="BS39" s="395"/>
      <c r="BT39" s="395"/>
      <c r="BU39" s="395"/>
    </row>
    <row r="40" spans="1:73" s="396" customFormat="1" ht="40.5" customHeight="1" thickBot="1">
      <c r="A40" s="397" t="s">
        <v>852</v>
      </c>
      <c r="B40" s="393">
        <v>11300000</v>
      </c>
      <c r="C40" s="399"/>
      <c r="D40" s="399"/>
      <c r="E40" s="399"/>
      <c r="F40" s="315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5"/>
      <c r="X40" s="395"/>
      <c r="Y40" s="395"/>
      <c r="Z40" s="395"/>
      <c r="AA40" s="395"/>
      <c r="AB40" s="395"/>
      <c r="AC40" s="395"/>
      <c r="AD40" s="395"/>
      <c r="AE40" s="395"/>
      <c r="AF40" s="395"/>
      <c r="AG40" s="395"/>
      <c r="AH40" s="395"/>
      <c r="AI40" s="395"/>
      <c r="AJ40" s="395"/>
      <c r="AK40" s="395"/>
      <c r="AL40" s="395"/>
      <c r="AM40" s="395"/>
      <c r="AN40" s="395"/>
      <c r="AO40" s="395"/>
      <c r="AP40" s="395"/>
      <c r="AQ40" s="395"/>
      <c r="AR40" s="395"/>
      <c r="AS40" s="395"/>
      <c r="AT40" s="395"/>
      <c r="AU40" s="395"/>
      <c r="AV40" s="395"/>
      <c r="AW40" s="395"/>
      <c r="AX40" s="395"/>
      <c r="AY40" s="395"/>
      <c r="AZ40" s="395"/>
      <c r="BA40" s="395"/>
      <c r="BB40" s="395"/>
      <c r="BC40" s="395"/>
      <c r="BD40" s="395"/>
      <c r="BE40" s="395"/>
      <c r="BF40" s="395"/>
      <c r="BG40" s="395"/>
      <c r="BH40" s="395"/>
      <c r="BI40" s="395"/>
      <c r="BJ40" s="395"/>
      <c r="BK40" s="395"/>
      <c r="BL40" s="395"/>
      <c r="BM40" s="395"/>
      <c r="BN40" s="395"/>
      <c r="BO40" s="395"/>
      <c r="BP40" s="395"/>
      <c r="BQ40" s="395"/>
      <c r="BR40" s="395"/>
      <c r="BS40" s="395"/>
      <c r="BT40" s="395"/>
      <c r="BU40" s="395"/>
    </row>
    <row r="41" spans="1:73" s="396" customFormat="1" ht="21" customHeight="1" thickBot="1">
      <c r="A41" s="397" t="s">
        <v>468</v>
      </c>
      <c r="B41" s="393">
        <v>3000000</v>
      </c>
      <c r="C41" s="399"/>
      <c r="D41" s="399"/>
      <c r="E41" s="399"/>
      <c r="F41" s="315"/>
      <c r="G41" s="395"/>
      <c r="H41" s="395"/>
      <c r="I41" s="395"/>
      <c r="J41" s="395"/>
      <c r="K41" s="395"/>
      <c r="L41" s="395"/>
      <c r="M41" s="395"/>
      <c r="N41" s="395"/>
      <c r="O41" s="395"/>
      <c r="P41" s="395"/>
      <c r="Q41" s="395"/>
      <c r="R41" s="395"/>
      <c r="S41" s="395"/>
      <c r="T41" s="395"/>
      <c r="U41" s="395"/>
      <c r="V41" s="395"/>
      <c r="W41" s="395"/>
      <c r="X41" s="395"/>
      <c r="Y41" s="395"/>
      <c r="Z41" s="395"/>
      <c r="AA41" s="395"/>
      <c r="AB41" s="395"/>
      <c r="AC41" s="395"/>
      <c r="AD41" s="395"/>
      <c r="AE41" s="395"/>
      <c r="AF41" s="395"/>
      <c r="AG41" s="395"/>
      <c r="AH41" s="395"/>
      <c r="AI41" s="395"/>
      <c r="AJ41" s="395"/>
      <c r="AK41" s="395"/>
      <c r="AL41" s="395"/>
      <c r="AM41" s="395"/>
      <c r="AN41" s="395"/>
      <c r="AO41" s="395"/>
      <c r="AP41" s="395"/>
      <c r="AQ41" s="395"/>
      <c r="AR41" s="395"/>
      <c r="AS41" s="395"/>
      <c r="AT41" s="395"/>
      <c r="AU41" s="395"/>
      <c r="AV41" s="395"/>
      <c r="AW41" s="395"/>
      <c r="AX41" s="395"/>
      <c r="AY41" s="395"/>
      <c r="AZ41" s="395"/>
      <c r="BA41" s="395"/>
      <c r="BB41" s="395"/>
      <c r="BC41" s="395"/>
      <c r="BD41" s="395"/>
      <c r="BE41" s="395"/>
      <c r="BF41" s="395"/>
      <c r="BG41" s="395"/>
      <c r="BH41" s="395"/>
      <c r="BI41" s="395"/>
      <c r="BJ41" s="395"/>
      <c r="BK41" s="395"/>
      <c r="BL41" s="395"/>
      <c r="BM41" s="395"/>
      <c r="BN41" s="395"/>
      <c r="BO41" s="395"/>
      <c r="BP41" s="395"/>
      <c r="BQ41" s="395"/>
      <c r="BR41" s="395"/>
      <c r="BS41" s="395"/>
      <c r="BT41" s="395"/>
      <c r="BU41" s="395"/>
    </row>
    <row r="42" spans="1:73" s="401" customFormat="1" ht="21" customHeight="1" thickBot="1">
      <c r="A42" s="638" t="s">
        <v>793</v>
      </c>
      <c r="B42" s="398"/>
      <c r="C42" s="399"/>
      <c r="D42" s="399">
        <f>7847500+7806000</f>
        <v>15653500</v>
      </c>
      <c r="E42" s="399">
        <v>15029500</v>
      </c>
      <c r="F42" s="315">
        <f t="shared" ref="F42:F44" si="5">E42/D42</f>
        <v>0.960136710639793</v>
      </c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400"/>
      <c r="AJ42" s="400"/>
      <c r="AK42" s="400"/>
      <c r="AL42" s="400"/>
      <c r="AM42" s="400"/>
      <c r="AN42" s="400"/>
      <c r="AO42" s="400"/>
      <c r="AP42" s="400"/>
      <c r="AQ42" s="400"/>
      <c r="AR42" s="400"/>
      <c r="AS42" s="400"/>
      <c r="AT42" s="400"/>
      <c r="AU42" s="400"/>
      <c r="AV42" s="400"/>
      <c r="AW42" s="400"/>
      <c r="AX42" s="400"/>
      <c r="AY42" s="400"/>
      <c r="AZ42" s="400"/>
      <c r="BA42" s="400"/>
      <c r="BB42" s="400"/>
      <c r="BC42" s="400"/>
      <c r="BD42" s="400"/>
      <c r="BE42" s="400"/>
      <c r="BF42" s="400"/>
      <c r="BG42" s="400"/>
      <c r="BH42" s="400"/>
      <c r="BI42" s="400"/>
      <c r="BJ42" s="400"/>
      <c r="BK42" s="400"/>
      <c r="BL42" s="400"/>
      <c r="BM42" s="400"/>
      <c r="BN42" s="400"/>
      <c r="BO42" s="400"/>
      <c r="BP42" s="400"/>
      <c r="BQ42" s="400"/>
      <c r="BR42" s="400"/>
      <c r="BS42" s="400"/>
      <c r="BT42" s="400"/>
      <c r="BU42" s="400"/>
    </row>
    <row r="43" spans="1:73" s="401" customFormat="1" ht="21" customHeight="1" thickBot="1">
      <c r="A43" s="638" t="s">
        <v>853</v>
      </c>
      <c r="B43" s="398"/>
      <c r="C43" s="399"/>
      <c r="D43" s="399">
        <v>11964000</v>
      </c>
      <c r="E43" s="399">
        <v>0</v>
      </c>
      <c r="F43" s="315">
        <f t="shared" si="5"/>
        <v>0</v>
      </c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400"/>
      <c r="AA43" s="400"/>
      <c r="AB43" s="400"/>
      <c r="AC43" s="400"/>
      <c r="AD43" s="400"/>
      <c r="AE43" s="400"/>
      <c r="AF43" s="400"/>
      <c r="AG43" s="400"/>
      <c r="AH43" s="400"/>
      <c r="AI43" s="400"/>
      <c r="AJ43" s="400"/>
      <c r="AK43" s="400"/>
      <c r="AL43" s="400"/>
      <c r="AM43" s="400"/>
      <c r="AN43" s="400"/>
      <c r="AO43" s="400"/>
      <c r="AP43" s="400"/>
      <c r="AQ43" s="400"/>
      <c r="AR43" s="400"/>
      <c r="AS43" s="400"/>
      <c r="AT43" s="400"/>
      <c r="AU43" s="400"/>
      <c r="AV43" s="400"/>
      <c r="AW43" s="400"/>
      <c r="AX43" s="400"/>
      <c r="AY43" s="400"/>
      <c r="AZ43" s="400"/>
      <c r="BA43" s="400"/>
      <c r="BB43" s="400"/>
      <c r="BC43" s="400"/>
      <c r="BD43" s="400"/>
      <c r="BE43" s="400"/>
      <c r="BF43" s="400"/>
      <c r="BG43" s="400"/>
      <c r="BH43" s="400"/>
      <c r="BI43" s="400"/>
      <c r="BJ43" s="400"/>
      <c r="BK43" s="400"/>
      <c r="BL43" s="400"/>
      <c r="BM43" s="400"/>
      <c r="BN43" s="400"/>
      <c r="BO43" s="400"/>
      <c r="BP43" s="400"/>
      <c r="BQ43" s="400"/>
      <c r="BR43" s="400"/>
      <c r="BS43" s="400"/>
      <c r="BT43" s="400"/>
      <c r="BU43" s="400"/>
    </row>
    <row r="44" spans="1:73" s="396" customFormat="1" ht="31.5" customHeight="1" thickBot="1">
      <c r="A44" s="638" t="s">
        <v>918</v>
      </c>
      <c r="B44" s="393"/>
      <c r="C44" s="399">
        <f>SUM(B46:B47)</f>
        <v>39412360</v>
      </c>
      <c r="D44" s="399">
        <f>SUM(C44)</f>
        <v>39412360</v>
      </c>
      <c r="E44" s="399">
        <f>28516000+1206000+4772000</f>
        <v>34494000</v>
      </c>
      <c r="F44" s="315">
        <f t="shared" si="5"/>
        <v>0.8752076759676406</v>
      </c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  <c r="AB44" s="395"/>
      <c r="AC44" s="395"/>
      <c r="AD44" s="395"/>
      <c r="AE44" s="395"/>
      <c r="AF44" s="395"/>
      <c r="AG44" s="395"/>
      <c r="AH44" s="395"/>
      <c r="AI44" s="395"/>
      <c r="AJ44" s="395"/>
      <c r="AK44" s="395"/>
      <c r="AL44" s="395"/>
      <c r="AM44" s="395"/>
      <c r="AN44" s="395"/>
      <c r="AO44" s="395"/>
      <c r="AP44" s="395"/>
      <c r="AQ44" s="395"/>
      <c r="AR44" s="395"/>
      <c r="AS44" s="395"/>
      <c r="AT44" s="395"/>
      <c r="AU44" s="395"/>
      <c r="AV44" s="395"/>
      <c r="AW44" s="395"/>
      <c r="AX44" s="395"/>
      <c r="AY44" s="395"/>
      <c r="AZ44" s="395"/>
      <c r="BA44" s="395"/>
      <c r="BB44" s="395"/>
      <c r="BC44" s="395"/>
      <c r="BD44" s="395"/>
      <c r="BE44" s="395"/>
      <c r="BF44" s="395"/>
      <c r="BG44" s="395"/>
      <c r="BH44" s="395"/>
      <c r="BI44" s="395"/>
      <c r="BJ44" s="395"/>
      <c r="BK44" s="395"/>
      <c r="BL44" s="395"/>
      <c r="BM44" s="395"/>
      <c r="BN44" s="395"/>
      <c r="BO44" s="395"/>
      <c r="BP44" s="395"/>
      <c r="BQ44" s="395"/>
      <c r="BR44" s="395"/>
      <c r="BS44" s="395"/>
      <c r="BT44" s="395"/>
      <c r="BU44" s="395"/>
    </row>
    <row r="45" spans="1:73" s="396" customFormat="1" ht="24" customHeight="1" thickBot="1">
      <c r="A45" s="397" t="s">
        <v>470</v>
      </c>
      <c r="B45" s="393"/>
      <c r="C45" s="399"/>
      <c r="D45" s="399"/>
      <c r="E45" s="399"/>
      <c r="F45" s="31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  <c r="AK45" s="395"/>
      <c r="AL45" s="395"/>
      <c r="AM45" s="395"/>
      <c r="AN45" s="395"/>
      <c r="AO45" s="395"/>
      <c r="AP45" s="395"/>
      <c r="AQ45" s="395"/>
      <c r="AR45" s="395"/>
      <c r="AS45" s="395"/>
      <c r="AT45" s="395"/>
      <c r="AU45" s="395"/>
      <c r="AV45" s="395"/>
      <c r="AW45" s="395"/>
      <c r="AX45" s="395"/>
      <c r="AY45" s="395"/>
      <c r="AZ45" s="395"/>
      <c r="BA45" s="395"/>
      <c r="BB45" s="395"/>
      <c r="BC45" s="395"/>
      <c r="BD45" s="395"/>
      <c r="BE45" s="395"/>
      <c r="BF45" s="395"/>
      <c r="BG45" s="395"/>
      <c r="BH45" s="395"/>
      <c r="BI45" s="395"/>
      <c r="BJ45" s="395"/>
      <c r="BK45" s="395"/>
      <c r="BL45" s="395"/>
      <c r="BM45" s="395"/>
      <c r="BN45" s="395"/>
      <c r="BO45" s="395"/>
      <c r="BP45" s="395"/>
      <c r="BQ45" s="395"/>
      <c r="BR45" s="395"/>
      <c r="BS45" s="395"/>
      <c r="BT45" s="395"/>
      <c r="BU45" s="395"/>
    </row>
    <row r="46" spans="1:73" s="396" customFormat="1" ht="24" customHeight="1" thickBot="1">
      <c r="A46" s="397" t="s">
        <v>854</v>
      </c>
      <c r="B46" s="393">
        <v>8677000</v>
      </c>
      <c r="C46" s="399"/>
      <c r="D46" s="399"/>
      <c r="E46" s="399"/>
      <c r="F46" s="315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395"/>
      <c r="U46" s="395"/>
      <c r="V46" s="395"/>
      <c r="W46" s="395"/>
      <c r="X46" s="395"/>
      <c r="Y46" s="395"/>
      <c r="Z46" s="395"/>
      <c r="AA46" s="395"/>
      <c r="AB46" s="395"/>
      <c r="AC46" s="395"/>
      <c r="AD46" s="395"/>
      <c r="AE46" s="395"/>
      <c r="AF46" s="395"/>
      <c r="AG46" s="395"/>
      <c r="AH46" s="395"/>
      <c r="AI46" s="395"/>
      <c r="AJ46" s="395"/>
      <c r="AK46" s="395"/>
      <c r="AL46" s="395"/>
      <c r="AM46" s="395"/>
      <c r="AN46" s="395"/>
      <c r="AO46" s="395"/>
      <c r="AP46" s="395"/>
      <c r="AQ46" s="395"/>
      <c r="AR46" s="395"/>
      <c r="AS46" s="395"/>
      <c r="AT46" s="395"/>
      <c r="AU46" s="395"/>
      <c r="AV46" s="395"/>
      <c r="AW46" s="395"/>
      <c r="AX46" s="395"/>
      <c r="AY46" s="395"/>
      <c r="AZ46" s="395"/>
      <c r="BA46" s="395"/>
      <c r="BB46" s="395"/>
      <c r="BC46" s="395"/>
      <c r="BD46" s="395"/>
      <c r="BE46" s="395"/>
      <c r="BF46" s="395"/>
      <c r="BG46" s="395"/>
      <c r="BH46" s="395"/>
      <c r="BI46" s="395"/>
      <c r="BJ46" s="395"/>
      <c r="BK46" s="395"/>
      <c r="BL46" s="395"/>
      <c r="BM46" s="395"/>
      <c r="BN46" s="395"/>
      <c r="BO46" s="395"/>
      <c r="BP46" s="395"/>
      <c r="BQ46" s="395"/>
      <c r="BR46" s="395"/>
      <c r="BS46" s="395"/>
      <c r="BT46" s="395"/>
      <c r="BU46" s="395"/>
    </row>
    <row r="47" spans="1:73" s="396" customFormat="1" ht="24" customHeight="1" thickBot="1">
      <c r="A47" s="397" t="s">
        <v>855</v>
      </c>
      <c r="B47" s="393">
        <v>30735360</v>
      </c>
      <c r="C47" s="399"/>
      <c r="D47" s="399"/>
      <c r="E47" s="399"/>
      <c r="F47" s="31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  <c r="AJ47" s="395"/>
      <c r="AK47" s="395"/>
      <c r="AL47" s="395"/>
      <c r="AM47" s="395"/>
      <c r="AN47" s="395"/>
      <c r="AO47" s="395"/>
      <c r="AP47" s="395"/>
      <c r="AQ47" s="395"/>
      <c r="AR47" s="395"/>
      <c r="AS47" s="395"/>
      <c r="AT47" s="395"/>
      <c r="AU47" s="395"/>
      <c r="AV47" s="395"/>
      <c r="AW47" s="395"/>
      <c r="AX47" s="395"/>
      <c r="AY47" s="395"/>
      <c r="AZ47" s="395"/>
      <c r="BA47" s="395"/>
      <c r="BB47" s="395"/>
      <c r="BC47" s="395"/>
      <c r="BD47" s="395"/>
      <c r="BE47" s="395"/>
      <c r="BF47" s="395"/>
      <c r="BG47" s="395"/>
      <c r="BH47" s="395"/>
      <c r="BI47" s="395"/>
      <c r="BJ47" s="395"/>
      <c r="BK47" s="395"/>
      <c r="BL47" s="395"/>
      <c r="BM47" s="395"/>
      <c r="BN47" s="395"/>
      <c r="BO47" s="395"/>
      <c r="BP47" s="395"/>
      <c r="BQ47" s="395"/>
      <c r="BR47" s="395"/>
      <c r="BS47" s="395"/>
      <c r="BT47" s="395"/>
      <c r="BU47" s="395"/>
    </row>
    <row r="48" spans="1:73" s="396" customFormat="1" ht="37.5" customHeight="1" thickBot="1">
      <c r="A48" s="638" t="s">
        <v>471</v>
      </c>
      <c r="B48" s="393"/>
      <c r="C48" s="399">
        <v>10000000</v>
      </c>
      <c r="D48" s="399">
        <f>SUM(B49:B51)</f>
        <v>10139352</v>
      </c>
      <c r="E48" s="399">
        <v>5881000</v>
      </c>
      <c r="F48" s="315">
        <f>E48/D48</f>
        <v>0.58001734233114699</v>
      </c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395"/>
      <c r="AF48" s="395"/>
      <c r="AG48" s="395"/>
      <c r="AH48" s="395"/>
      <c r="AI48" s="395"/>
      <c r="AJ48" s="395"/>
      <c r="AK48" s="395"/>
      <c r="AL48" s="395"/>
      <c r="AM48" s="395"/>
      <c r="AN48" s="395"/>
      <c r="AO48" s="395"/>
      <c r="AP48" s="395"/>
      <c r="AQ48" s="395"/>
      <c r="AR48" s="395"/>
      <c r="AS48" s="395"/>
      <c r="AT48" s="395"/>
      <c r="AU48" s="395"/>
      <c r="AV48" s="395"/>
      <c r="AW48" s="395"/>
      <c r="AX48" s="395"/>
      <c r="AY48" s="395"/>
      <c r="AZ48" s="395"/>
      <c r="BA48" s="395"/>
      <c r="BB48" s="395"/>
      <c r="BC48" s="395"/>
      <c r="BD48" s="395"/>
      <c r="BE48" s="395"/>
      <c r="BF48" s="395"/>
      <c r="BG48" s="395"/>
      <c r="BH48" s="395"/>
      <c r="BI48" s="395"/>
      <c r="BJ48" s="395"/>
      <c r="BK48" s="395"/>
      <c r="BL48" s="395"/>
      <c r="BM48" s="395"/>
      <c r="BN48" s="395"/>
      <c r="BO48" s="395"/>
      <c r="BP48" s="395"/>
      <c r="BQ48" s="395"/>
      <c r="BR48" s="395"/>
      <c r="BS48" s="395"/>
      <c r="BT48" s="395"/>
      <c r="BU48" s="395"/>
    </row>
    <row r="49" spans="1:73" s="396" customFormat="1" ht="37.5" customHeight="1" thickBot="1">
      <c r="A49" s="397" t="s">
        <v>856</v>
      </c>
      <c r="B49" s="393">
        <v>4597000</v>
      </c>
      <c r="C49" s="399"/>
      <c r="D49" s="399"/>
      <c r="E49" s="399"/>
      <c r="F49" s="31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  <c r="AI49" s="395"/>
      <c r="AJ49" s="395"/>
      <c r="AK49" s="395"/>
      <c r="AL49" s="395"/>
      <c r="AM49" s="395"/>
      <c r="AN49" s="395"/>
      <c r="AO49" s="395"/>
      <c r="AP49" s="395"/>
      <c r="AQ49" s="395"/>
      <c r="AR49" s="395"/>
      <c r="AS49" s="395"/>
      <c r="AT49" s="395"/>
      <c r="AU49" s="395"/>
      <c r="AV49" s="395"/>
      <c r="AW49" s="395"/>
      <c r="AX49" s="395"/>
      <c r="AY49" s="395"/>
      <c r="AZ49" s="395"/>
      <c r="BA49" s="395"/>
      <c r="BB49" s="395"/>
      <c r="BC49" s="395"/>
      <c r="BD49" s="395"/>
      <c r="BE49" s="395"/>
      <c r="BF49" s="395"/>
      <c r="BG49" s="395"/>
      <c r="BH49" s="395"/>
      <c r="BI49" s="395"/>
      <c r="BJ49" s="395"/>
      <c r="BK49" s="395"/>
      <c r="BL49" s="395"/>
      <c r="BM49" s="395"/>
      <c r="BN49" s="395"/>
      <c r="BO49" s="395"/>
      <c r="BP49" s="395"/>
      <c r="BQ49" s="395"/>
      <c r="BR49" s="395"/>
      <c r="BS49" s="395"/>
      <c r="BT49" s="395"/>
      <c r="BU49" s="395"/>
    </row>
    <row r="50" spans="1:73" s="396" customFormat="1" ht="24.75" customHeight="1" thickBot="1">
      <c r="A50" s="397" t="s">
        <v>857</v>
      </c>
      <c r="B50" s="393">
        <f>5403000+5064352-5403000</f>
        <v>5064352</v>
      </c>
      <c r="C50" s="399"/>
      <c r="D50" s="399"/>
      <c r="E50" s="399"/>
      <c r="F50" s="315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  <c r="S50" s="395"/>
      <c r="T50" s="395"/>
      <c r="U50" s="395"/>
      <c r="V50" s="395"/>
      <c r="W50" s="395"/>
      <c r="X50" s="395"/>
      <c r="Y50" s="395"/>
      <c r="Z50" s="395"/>
      <c r="AA50" s="395"/>
      <c r="AB50" s="395"/>
      <c r="AC50" s="395"/>
      <c r="AD50" s="395"/>
      <c r="AE50" s="395"/>
      <c r="AF50" s="395"/>
      <c r="AG50" s="395"/>
      <c r="AH50" s="395"/>
      <c r="AI50" s="395"/>
      <c r="AJ50" s="395"/>
      <c r="AK50" s="395"/>
      <c r="AL50" s="395"/>
      <c r="AM50" s="395"/>
      <c r="AN50" s="395"/>
      <c r="AO50" s="395"/>
      <c r="AP50" s="395"/>
      <c r="AQ50" s="395"/>
      <c r="AR50" s="395"/>
      <c r="AS50" s="395"/>
      <c r="AT50" s="395"/>
      <c r="AU50" s="395"/>
      <c r="AV50" s="395"/>
      <c r="AW50" s="395"/>
      <c r="AX50" s="395"/>
      <c r="AY50" s="395"/>
      <c r="AZ50" s="395"/>
      <c r="BA50" s="395"/>
      <c r="BB50" s="395"/>
      <c r="BC50" s="395"/>
      <c r="BD50" s="395"/>
      <c r="BE50" s="395"/>
      <c r="BF50" s="395"/>
      <c r="BG50" s="395"/>
      <c r="BH50" s="395"/>
      <c r="BI50" s="395"/>
      <c r="BJ50" s="395"/>
      <c r="BK50" s="395"/>
      <c r="BL50" s="395"/>
      <c r="BM50" s="395"/>
      <c r="BN50" s="395"/>
      <c r="BO50" s="395"/>
      <c r="BP50" s="395"/>
      <c r="BQ50" s="395"/>
      <c r="BR50" s="395"/>
      <c r="BS50" s="395"/>
      <c r="BT50" s="395"/>
      <c r="BU50" s="395"/>
    </row>
    <row r="51" spans="1:73" s="396" customFormat="1" ht="24.75" customHeight="1" thickBot="1">
      <c r="A51" s="647" t="s">
        <v>858</v>
      </c>
      <c r="B51" s="648">
        <v>478000</v>
      </c>
      <c r="C51" s="403"/>
      <c r="D51" s="403"/>
      <c r="E51" s="403"/>
      <c r="F51" s="419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A51" s="395"/>
      <c r="AB51" s="395"/>
      <c r="AC51" s="395"/>
      <c r="AD51" s="395"/>
      <c r="AE51" s="395"/>
      <c r="AF51" s="395"/>
      <c r="AG51" s="395"/>
      <c r="AH51" s="395"/>
      <c r="AI51" s="395"/>
      <c r="AJ51" s="395"/>
      <c r="AK51" s="395"/>
      <c r="AL51" s="395"/>
      <c r="AM51" s="395"/>
      <c r="AN51" s="395"/>
      <c r="AO51" s="395"/>
      <c r="AP51" s="395"/>
      <c r="AQ51" s="395"/>
      <c r="AR51" s="395"/>
      <c r="AS51" s="395"/>
      <c r="AT51" s="395"/>
      <c r="AU51" s="395"/>
      <c r="AV51" s="395"/>
      <c r="AW51" s="395"/>
      <c r="AX51" s="395"/>
      <c r="AY51" s="395"/>
      <c r="AZ51" s="395"/>
      <c r="BA51" s="395"/>
      <c r="BB51" s="395"/>
      <c r="BC51" s="395"/>
      <c r="BD51" s="395"/>
      <c r="BE51" s="395"/>
      <c r="BF51" s="395"/>
      <c r="BG51" s="395"/>
      <c r="BH51" s="395"/>
      <c r="BI51" s="395"/>
      <c r="BJ51" s="395"/>
      <c r="BK51" s="395"/>
      <c r="BL51" s="395"/>
      <c r="BM51" s="395"/>
      <c r="BN51" s="395"/>
      <c r="BO51" s="395"/>
      <c r="BP51" s="395"/>
      <c r="BQ51" s="395"/>
      <c r="BR51" s="395"/>
      <c r="BS51" s="395"/>
      <c r="BT51" s="395"/>
      <c r="BU51" s="395"/>
    </row>
    <row r="52" spans="1:73" s="401" customFormat="1" ht="24" customHeight="1" thickBot="1">
      <c r="A52" s="638" t="s">
        <v>859</v>
      </c>
      <c r="B52" s="398"/>
      <c r="C52" s="399"/>
      <c r="D52" s="543">
        <f>4848068+943400+500000</f>
        <v>6291468</v>
      </c>
      <c r="E52" s="543">
        <v>6291468</v>
      </c>
      <c r="F52" s="315">
        <f t="shared" ref="F52:F53" si="6">E52/D52</f>
        <v>1</v>
      </c>
      <c r="G52" s="400"/>
      <c r="H52" s="400"/>
      <c r="I52" s="400"/>
      <c r="J52" s="400"/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0"/>
      <c r="V52" s="400"/>
      <c r="W52" s="400"/>
      <c r="X52" s="400"/>
      <c r="Y52" s="400"/>
      <c r="Z52" s="400"/>
      <c r="AA52" s="400"/>
      <c r="AB52" s="400"/>
      <c r="AC52" s="400"/>
      <c r="AD52" s="400"/>
      <c r="AE52" s="400"/>
      <c r="AF52" s="400"/>
      <c r="AG52" s="400"/>
      <c r="AH52" s="400"/>
      <c r="AI52" s="400"/>
      <c r="AJ52" s="400"/>
      <c r="AK52" s="400"/>
      <c r="AL52" s="400"/>
      <c r="AM52" s="400"/>
      <c r="AN52" s="400"/>
      <c r="AO52" s="400"/>
      <c r="AP52" s="400"/>
      <c r="AQ52" s="400"/>
      <c r="AR52" s="400"/>
      <c r="AS52" s="400"/>
      <c r="AT52" s="400"/>
      <c r="AU52" s="400"/>
      <c r="AV52" s="400"/>
      <c r="AW52" s="400"/>
      <c r="AX52" s="400"/>
      <c r="AY52" s="400"/>
      <c r="AZ52" s="400"/>
      <c r="BA52" s="400"/>
      <c r="BB52" s="400"/>
      <c r="BC52" s="400"/>
      <c r="BD52" s="400"/>
      <c r="BE52" s="400"/>
      <c r="BF52" s="400"/>
      <c r="BG52" s="400"/>
      <c r="BH52" s="400"/>
      <c r="BI52" s="400"/>
      <c r="BJ52" s="400"/>
      <c r="BK52" s="400"/>
      <c r="BL52" s="400"/>
      <c r="BM52" s="400"/>
      <c r="BN52" s="400"/>
      <c r="BO52" s="400"/>
      <c r="BP52" s="400"/>
      <c r="BQ52" s="400"/>
      <c r="BR52" s="400"/>
      <c r="BS52" s="400"/>
      <c r="BT52" s="400"/>
      <c r="BU52" s="400"/>
    </row>
    <row r="53" spans="1:73" s="401" customFormat="1" ht="32.25" customHeight="1" thickBot="1">
      <c r="A53" s="638" t="s">
        <v>472</v>
      </c>
      <c r="B53" s="398"/>
      <c r="C53" s="399">
        <v>2400000</v>
      </c>
      <c r="D53" s="399">
        <f>SUM(B54)</f>
        <v>4800000</v>
      </c>
      <c r="E53" s="399">
        <v>1738691</v>
      </c>
      <c r="F53" s="315">
        <f t="shared" si="6"/>
        <v>0.36222729166666667</v>
      </c>
      <c r="G53" s="400"/>
      <c r="H53" s="400"/>
      <c r="I53" s="400"/>
      <c r="J53" s="400"/>
      <c r="K53" s="400"/>
      <c r="L53" s="400"/>
      <c r="M53" s="400"/>
      <c r="N53" s="400"/>
      <c r="O53" s="400"/>
      <c r="P53" s="400"/>
      <c r="Q53" s="400"/>
      <c r="R53" s="400"/>
      <c r="S53" s="400"/>
      <c r="T53" s="400"/>
      <c r="U53" s="400"/>
      <c r="V53" s="400"/>
      <c r="W53" s="400"/>
      <c r="X53" s="400"/>
      <c r="Y53" s="400"/>
      <c r="Z53" s="400"/>
      <c r="AA53" s="400"/>
      <c r="AB53" s="400"/>
      <c r="AC53" s="400"/>
      <c r="AD53" s="400"/>
      <c r="AE53" s="400"/>
      <c r="AF53" s="400"/>
      <c r="AG53" s="400"/>
      <c r="AH53" s="400"/>
      <c r="AI53" s="400"/>
      <c r="AJ53" s="400"/>
      <c r="AK53" s="400"/>
      <c r="AL53" s="400"/>
      <c r="AM53" s="400"/>
      <c r="AN53" s="400"/>
      <c r="AO53" s="400"/>
      <c r="AP53" s="400"/>
      <c r="AQ53" s="400"/>
      <c r="AR53" s="400"/>
      <c r="AS53" s="400"/>
      <c r="AT53" s="400"/>
      <c r="AU53" s="400"/>
      <c r="AV53" s="400"/>
      <c r="AW53" s="400"/>
      <c r="AX53" s="400"/>
      <c r="AY53" s="400"/>
      <c r="AZ53" s="400"/>
      <c r="BA53" s="400"/>
      <c r="BB53" s="400"/>
      <c r="BC53" s="400"/>
      <c r="BD53" s="400"/>
      <c r="BE53" s="400"/>
      <c r="BF53" s="400"/>
      <c r="BG53" s="400"/>
      <c r="BH53" s="400"/>
      <c r="BI53" s="400"/>
      <c r="BJ53" s="400"/>
      <c r="BK53" s="400"/>
      <c r="BL53" s="400"/>
      <c r="BM53" s="400"/>
      <c r="BN53" s="400"/>
      <c r="BO53" s="400"/>
      <c r="BP53" s="400"/>
      <c r="BQ53" s="400"/>
      <c r="BR53" s="400"/>
      <c r="BS53" s="400"/>
      <c r="BT53" s="400"/>
      <c r="BU53" s="400"/>
    </row>
    <row r="54" spans="1:73" s="396" customFormat="1" ht="87.75" customHeight="1" thickBot="1">
      <c r="A54" s="397" t="s">
        <v>860</v>
      </c>
      <c r="B54" s="393">
        <f>2400000+2400000</f>
        <v>4800000</v>
      </c>
      <c r="C54" s="394"/>
      <c r="D54" s="394"/>
      <c r="E54" s="394"/>
      <c r="F54" s="321"/>
      <c r="G54" s="395"/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5"/>
      <c r="AH54" s="395"/>
      <c r="AI54" s="395"/>
      <c r="AJ54" s="395"/>
      <c r="AK54" s="395"/>
      <c r="AL54" s="395"/>
      <c r="AM54" s="395"/>
      <c r="AN54" s="395"/>
      <c r="AO54" s="395"/>
      <c r="AP54" s="395"/>
      <c r="AQ54" s="395"/>
      <c r="AR54" s="395"/>
      <c r="AS54" s="395"/>
      <c r="AT54" s="395"/>
      <c r="AU54" s="395"/>
      <c r="AV54" s="395"/>
      <c r="AW54" s="395"/>
      <c r="AX54" s="395"/>
      <c r="AY54" s="395"/>
      <c r="AZ54" s="395"/>
      <c r="BA54" s="395"/>
      <c r="BB54" s="395"/>
      <c r="BC54" s="395"/>
      <c r="BD54" s="395"/>
      <c r="BE54" s="395"/>
      <c r="BF54" s="395"/>
      <c r="BG54" s="395"/>
      <c r="BH54" s="395"/>
      <c r="BI54" s="395"/>
      <c r="BJ54" s="395"/>
      <c r="BK54" s="395"/>
      <c r="BL54" s="395"/>
      <c r="BM54" s="395"/>
      <c r="BN54" s="395"/>
      <c r="BO54" s="395"/>
      <c r="BP54" s="395"/>
      <c r="BQ54" s="395"/>
      <c r="BR54" s="395"/>
      <c r="BS54" s="395"/>
      <c r="BT54" s="395"/>
      <c r="BU54" s="395"/>
    </row>
    <row r="55" spans="1:73" s="401" customFormat="1" ht="30" customHeight="1" thickBot="1">
      <c r="A55" s="638" t="s">
        <v>648</v>
      </c>
      <c r="B55" s="398"/>
      <c r="C55" s="399">
        <v>3000000</v>
      </c>
      <c r="D55" s="399">
        <f>SUM(C55)-3000000</f>
        <v>0</v>
      </c>
      <c r="E55" s="399">
        <v>0</v>
      </c>
      <c r="F55" s="315">
        <v>0</v>
      </c>
      <c r="G55" s="400"/>
      <c r="H55" s="400"/>
      <c r="I55" s="400"/>
      <c r="J55" s="400"/>
      <c r="K55" s="400"/>
      <c r="L55" s="400"/>
      <c r="M55" s="400"/>
      <c r="N55" s="400"/>
      <c r="O55" s="400"/>
      <c r="P55" s="400"/>
      <c r="Q55" s="400"/>
      <c r="R55" s="400"/>
      <c r="S55" s="400"/>
      <c r="T55" s="400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400"/>
      <c r="AI55" s="400"/>
      <c r="AJ55" s="400"/>
      <c r="AK55" s="400"/>
      <c r="AL55" s="400"/>
      <c r="AM55" s="400"/>
      <c r="AN55" s="400"/>
      <c r="AO55" s="400"/>
      <c r="AP55" s="400"/>
      <c r="AQ55" s="400"/>
      <c r="AR55" s="400"/>
      <c r="AS55" s="400"/>
      <c r="AT55" s="400"/>
      <c r="AU55" s="400"/>
      <c r="AV55" s="400"/>
      <c r="AW55" s="400"/>
      <c r="AX55" s="400"/>
      <c r="AY55" s="400"/>
      <c r="AZ55" s="400"/>
      <c r="BA55" s="400"/>
      <c r="BB55" s="400"/>
      <c r="BC55" s="400"/>
      <c r="BD55" s="400"/>
      <c r="BE55" s="400"/>
      <c r="BF55" s="400"/>
      <c r="BG55" s="400"/>
      <c r="BH55" s="400"/>
      <c r="BI55" s="400"/>
      <c r="BJ55" s="400"/>
      <c r="BK55" s="400"/>
      <c r="BL55" s="400"/>
      <c r="BM55" s="400"/>
      <c r="BN55" s="400"/>
      <c r="BO55" s="400"/>
      <c r="BP55" s="400"/>
      <c r="BQ55" s="400"/>
      <c r="BR55" s="400"/>
      <c r="BS55" s="400"/>
      <c r="BT55" s="400"/>
      <c r="BU55" s="400"/>
    </row>
    <row r="56" spans="1:73" s="285" customFormat="1" ht="66.75" customHeight="1" thickBot="1">
      <c r="A56" s="537" t="s">
        <v>456</v>
      </c>
      <c r="B56" s="550"/>
      <c r="C56" s="539" t="s">
        <v>343</v>
      </c>
      <c r="D56" s="539" t="s">
        <v>344</v>
      </c>
      <c r="E56" s="539" t="s">
        <v>285</v>
      </c>
      <c r="F56" s="568" t="s">
        <v>286</v>
      </c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</row>
    <row r="57" spans="1:73" s="401" customFormat="1" ht="56.25" customHeight="1" thickBot="1">
      <c r="A57" s="638" t="s">
        <v>649</v>
      </c>
      <c r="B57" s="398"/>
      <c r="C57" s="399">
        <v>6840001</v>
      </c>
      <c r="D57" s="399">
        <f t="shared" ref="D57:D58" si="7">SUM(C57)</f>
        <v>6840001</v>
      </c>
      <c r="E57" s="399">
        <v>494983</v>
      </c>
      <c r="F57" s="315">
        <f t="shared" ref="F57:F62" si="8">E57/D57</f>
        <v>7.2365925092701011E-2</v>
      </c>
      <c r="G57" s="400"/>
      <c r="H57" s="400"/>
      <c r="I57" s="400"/>
      <c r="J57" s="400"/>
      <c r="K57" s="400"/>
      <c r="L57" s="400"/>
      <c r="M57" s="400"/>
      <c r="N57" s="400"/>
      <c r="O57" s="400"/>
      <c r="P57" s="400"/>
      <c r="Q57" s="400"/>
      <c r="R57" s="400"/>
      <c r="S57" s="400"/>
      <c r="T57" s="400"/>
      <c r="U57" s="400"/>
      <c r="V57" s="400"/>
      <c r="W57" s="400"/>
      <c r="X57" s="400"/>
      <c r="Y57" s="400"/>
      <c r="Z57" s="400"/>
      <c r="AA57" s="400"/>
      <c r="AB57" s="400"/>
      <c r="AC57" s="400"/>
      <c r="AD57" s="400"/>
      <c r="AE57" s="400"/>
      <c r="AF57" s="400"/>
      <c r="AG57" s="400"/>
      <c r="AH57" s="400"/>
      <c r="AI57" s="400"/>
      <c r="AJ57" s="400"/>
      <c r="AK57" s="400"/>
      <c r="AL57" s="400"/>
      <c r="AM57" s="400"/>
      <c r="AN57" s="400"/>
      <c r="AO57" s="400"/>
      <c r="AP57" s="400"/>
      <c r="AQ57" s="400"/>
      <c r="AR57" s="400"/>
      <c r="AS57" s="400"/>
      <c r="AT57" s="400"/>
      <c r="AU57" s="400"/>
      <c r="AV57" s="400"/>
      <c r="AW57" s="400"/>
      <c r="AX57" s="400"/>
      <c r="AY57" s="400"/>
      <c r="AZ57" s="400"/>
      <c r="BA57" s="400"/>
      <c r="BB57" s="400"/>
      <c r="BC57" s="400"/>
      <c r="BD57" s="400"/>
      <c r="BE57" s="400"/>
      <c r="BF57" s="400"/>
      <c r="BG57" s="400"/>
      <c r="BH57" s="400"/>
      <c r="BI57" s="400"/>
      <c r="BJ57" s="400"/>
      <c r="BK57" s="400"/>
      <c r="BL57" s="400"/>
      <c r="BM57" s="400"/>
      <c r="BN57" s="400"/>
      <c r="BO57" s="400"/>
      <c r="BP57" s="400"/>
      <c r="BQ57" s="400"/>
      <c r="BR57" s="400"/>
      <c r="BS57" s="400"/>
      <c r="BT57" s="400"/>
      <c r="BU57" s="400"/>
    </row>
    <row r="58" spans="1:73" s="396" customFormat="1" ht="25.5" customHeight="1" thickBot="1">
      <c r="A58" s="638" t="s">
        <v>473</v>
      </c>
      <c r="B58" s="393"/>
      <c r="C58" s="399">
        <f>SUM(B59)</f>
        <v>21910000</v>
      </c>
      <c r="D58" s="399">
        <f t="shared" si="7"/>
        <v>21910000</v>
      </c>
      <c r="E58" s="399">
        <v>25082146</v>
      </c>
      <c r="F58" s="315">
        <f t="shared" si="8"/>
        <v>1.1447807393884071</v>
      </c>
      <c r="G58" s="395"/>
      <c r="H58" s="395"/>
      <c r="I58" s="395"/>
      <c r="J58" s="395"/>
      <c r="K58" s="395"/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5"/>
      <c r="Y58" s="395"/>
      <c r="Z58" s="395"/>
      <c r="AA58" s="395"/>
      <c r="AB58" s="395"/>
      <c r="AC58" s="395"/>
      <c r="AD58" s="395"/>
      <c r="AE58" s="395"/>
      <c r="AF58" s="395"/>
      <c r="AG58" s="395"/>
      <c r="AH58" s="395"/>
      <c r="AI58" s="395"/>
      <c r="AJ58" s="395"/>
      <c r="AK58" s="395"/>
      <c r="AL58" s="395"/>
      <c r="AM58" s="395"/>
      <c r="AN58" s="395"/>
      <c r="AO58" s="395"/>
      <c r="AP58" s="395"/>
      <c r="AQ58" s="395"/>
      <c r="AR58" s="395"/>
      <c r="AS58" s="395"/>
      <c r="AT58" s="395"/>
      <c r="AU58" s="395"/>
      <c r="AV58" s="395"/>
      <c r="AW58" s="395"/>
      <c r="AX58" s="395"/>
      <c r="AY58" s="395"/>
      <c r="AZ58" s="395"/>
      <c r="BA58" s="395"/>
      <c r="BB58" s="395"/>
      <c r="BC58" s="395"/>
      <c r="BD58" s="395"/>
      <c r="BE58" s="395"/>
      <c r="BF58" s="395"/>
      <c r="BG58" s="395"/>
      <c r="BH58" s="395"/>
      <c r="BI58" s="395"/>
      <c r="BJ58" s="395"/>
      <c r="BK58" s="395"/>
      <c r="BL58" s="395"/>
      <c r="BM58" s="395"/>
      <c r="BN58" s="395"/>
      <c r="BO58" s="395"/>
      <c r="BP58" s="395"/>
      <c r="BQ58" s="395"/>
      <c r="BR58" s="395"/>
      <c r="BS58" s="395"/>
      <c r="BT58" s="395"/>
      <c r="BU58" s="395"/>
    </row>
    <row r="59" spans="1:73" s="396" customFormat="1" ht="25.5" customHeight="1" thickBot="1">
      <c r="A59" s="397" t="s">
        <v>474</v>
      </c>
      <c r="B59" s="393">
        <v>21910000</v>
      </c>
      <c r="C59" s="399"/>
      <c r="D59" s="399"/>
      <c r="E59" s="399"/>
      <c r="F59" s="315"/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395"/>
      <c r="Y59" s="395"/>
      <c r="Z59" s="395"/>
      <c r="AA59" s="395"/>
      <c r="AB59" s="395"/>
      <c r="AC59" s="395"/>
      <c r="AD59" s="395"/>
      <c r="AE59" s="395"/>
      <c r="AF59" s="395"/>
      <c r="AG59" s="395"/>
      <c r="AH59" s="395"/>
      <c r="AI59" s="395"/>
      <c r="AJ59" s="395"/>
      <c r="AK59" s="395"/>
      <c r="AL59" s="395"/>
      <c r="AM59" s="395"/>
      <c r="AN59" s="395"/>
      <c r="AO59" s="395"/>
      <c r="AP59" s="395"/>
      <c r="AQ59" s="395"/>
      <c r="AR59" s="395"/>
      <c r="AS59" s="395"/>
      <c r="AT59" s="395"/>
      <c r="AU59" s="395"/>
      <c r="AV59" s="395"/>
      <c r="AW59" s="395"/>
      <c r="AX59" s="395"/>
      <c r="AY59" s="395"/>
      <c r="AZ59" s="395"/>
      <c r="BA59" s="395"/>
      <c r="BB59" s="395"/>
      <c r="BC59" s="395"/>
      <c r="BD59" s="395"/>
      <c r="BE59" s="395"/>
      <c r="BF59" s="395"/>
      <c r="BG59" s="395"/>
      <c r="BH59" s="395"/>
      <c r="BI59" s="395"/>
      <c r="BJ59" s="395"/>
      <c r="BK59" s="395"/>
      <c r="BL59" s="395"/>
      <c r="BM59" s="395"/>
      <c r="BN59" s="395"/>
      <c r="BO59" s="395"/>
      <c r="BP59" s="395"/>
      <c r="BQ59" s="395"/>
      <c r="BR59" s="395"/>
      <c r="BS59" s="395"/>
      <c r="BT59" s="395"/>
      <c r="BU59" s="395"/>
    </row>
    <row r="60" spans="1:73" s="401" customFormat="1" ht="38.25" customHeight="1" thickBot="1">
      <c r="A60" s="404" t="s">
        <v>861</v>
      </c>
      <c r="B60" s="649"/>
      <c r="C60" s="403"/>
      <c r="D60" s="650">
        <v>3185809</v>
      </c>
      <c r="E60" s="650">
        <v>3185809</v>
      </c>
      <c r="F60" s="315">
        <f t="shared" si="8"/>
        <v>1</v>
      </c>
      <c r="G60" s="400"/>
      <c r="H60" s="400"/>
      <c r="I60" s="400"/>
      <c r="J60" s="400"/>
      <c r="K60" s="400"/>
      <c r="L60" s="400"/>
      <c r="M60" s="400"/>
      <c r="N60" s="400"/>
      <c r="O60" s="400"/>
      <c r="P60" s="400"/>
      <c r="Q60" s="400"/>
      <c r="R60" s="400"/>
      <c r="S60" s="400"/>
      <c r="T60" s="400"/>
      <c r="U60" s="400"/>
      <c r="V60" s="400"/>
      <c r="W60" s="400"/>
      <c r="X60" s="400"/>
      <c r="Y60" s="400"/>
      <c r="Z60" s="400"/>
      <c r="AA60" s="400"/>
      <c r="AB60" s="400"/>
      <c r="AC60" s="400"/>
      <c r="AD60" s="400"/>
      <c r="AE60" s="400"/>
      <c r="AF60" s="400"/>
      <c r="AG60" s="400"/>
      <c r="AH60" s="400"/>
      <c r="AI60" s="400"/>
      <c r="AJ60" s="400"/>
      <c r="AK60" s="400"/>
      <c r="AL60" s="400"/>
      <c r="AM60" s="400"/>
      <c r="AN60" s="400"/>
      <c r="AO60" s="400"/>
      <c r="AP60" s="400"/>
      <c r="AQ60" s="400"/>
      <c r="AR60" s="400"/>
      <c r="AS60" s="400"/>
      <c r="AT60" s="400"/>
      <c r="AU60" s="400"/>
      <c r="AV60" s="400"/>
      <c r="AW60" s="400"/>
      <c r="AX60" s="400"/>
      <c r="AY60" s="400"/>
      <c r="AZ60" s="400"/>
      <c r="BA60" s="400"/>
      <c r="BB60" s="400"/>
      <c r="BC60" s="400"/>
      <c r="BD60" s="400"/>
      <c r="BE60" s="400"/>
      <c r="BF60" s="400"/>
      <c r="BG60" s="400"/>
      <c r="BH60" s="400"/>
      <c r="BI60" s="400"/>
      <c r="BJ60" s="400"/>
      <c r="BK60" s="400"/>
      <c r="BL60" s="400"/>
      <c r="BM60" s="400"/>
      <c r="BN60" s="400"/>
      <c r="BO60" s="400"/>
      <c r="BP60" s="400"/>
      <c r="BQ60" s="400"/>
      <c r="BR60" s="400"/>
      <c r="BS60" s="400"/>
      <c r="BT60" s="400"/>
      <c r="BU60" s="400"/>
    </row>
    <row r="61" spans="1:73" s="401" customFormat="1" ht="33.75" customHeight="1" thickBot="1">
      <c r="A61" s="638" t="s">
        <v>862</v>
      </c>
      <c r="B61" s="398"/>
      <c r="C61" s="399"/>
      <c r="D61" s="543">
        <v>17539448</v>
      </c>
      <c r="E61" s="543"/>
      <c r="F61" s="315">
        <f t="shared" si="8"/>
        <v>0</v>
      </c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400"/>
      <c r="U61" s="400"/>
      <c r="V61" s="400"/>
      <c r="W61" s="400"/>
      <c r="X61" s="400"/>
      <c r="Y61" s="400"/>
      <c r="Z61" s="400"/>
      <c r="AA61" s="400"/>
      <c r="AB61" s="400"/>
      <c r="AC61" s="400"/>
      <c r="AD61" s="400"/>
      <c r="AE61" s="400"/>
      <c r="AF61" s="400"/>
      <c r="AG61" s="400"/>
      <c r="AH61" s="400"/>
      <c r="AI61" s="400"/>
      <c r="AJ61" s="400"/>
      <c r="AK61" s="400"/>
      <c r="AL61" s="400"/>
      <c r="AM61" s="400"/>
      <c r="AN61" s="400"/>
      <c r="AO61" s="400"/>
      <c r="AP61" s="400"/>
      <c r="AQ61" s="400"/>
      <c r="AR61" s="400"/>
      <c r="AS61" s="400"/>
      <c r="AT61" s="400"/>
      <c r="AU61" s="400"/>
      <c r="AV61" s="400"/>
      <c r="AW61" s="400"/>
      <c r="AX61" s="400"/>
      <c r="AY61" s="400"/>
      <c r="AZ61" s="400"/>
      <c r="BA61" s="400"/>
      <c r="BB61" s="400"/>
      <c r="BC61" s="400"/>
      <c r="BD61" s="400"/>
      <c r="BE61" s="400"/>
      <c r="BF61" s="400"/>
      <c r="BG61" s="400"/>
      <c r="BH61" s="400"/>
      <c r="BI61" s="400"/>
      <c r="BJ61" s="400"/>
      <c r="BK61" s="400"/>
      <c r="BL61" s="400"/>
      <c r="BM61" s="400"/>
      <c r="BN61" s="400"/>
      <c r="BO61" s="400"/>
      <c r="BP61" s="400"/>
      <c r="BQ61" s="400"/>
      <c r="BR61" s="400"/>
      <c r="BS61" s="400"/>
      <c r="BT61" s="400"/>
      <c r="BU61" s="400"/>
    </row>
    <row r="62" spans="1:73" s="396" customFormat="1" ht="39.75" customHeight="1" thickBot="1">
      <c r="A62" s="638" t="s">
        <v>475</v>
      </c>
      <c r="B62" s="393"/>
      <c r="C62" s="399">
        <f>SUM(B64:B68)</f>
        <v>20472118</v>
      </c>
      <c r="D62" s="399">
        <f>SUM(C62)</f>
        <v>20472118</v>
      </c>
      <c r="E62" s="399">
        <f>1873646+2547+11536+196385+952500+2133175+15876+3015+3015+3000+2980+3623018+7113378+2643870+6137958+99129</f>
        <v>24815028</v>
      </c>
      <c r="F62" s="315">
        <f t="shared" si="8"/>
        <v>1.2121377963921467</v>
      </c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S62" s="395"/>
      <c r="T62" s="395"/>
      <c r="U62" s="395"/>
      <c r="V62" s="395"/>
      <c r="W62" s="395"/>
      <c r="X62" s="395"/>
      <c r="Y62" s="395"/>
      <c r="Z62" s="395"/>
      <c r="AA62" s="395"/>
      <c r="AB62" s="395"/>
      <c r="AC62" s="395"/>
      <c r="AD62" s="395"/>
      <c r="AE62" s="395"/>
      <c r="AF62" s="395"/>
      <c r="AG62" s="395"/>
      <c r="AH62" s="395"/>
      <c r="AI62" s="395"/>
      <c r="AJ62" s="395"/>
      <c r="AK62" s="395"/>
      <c r="AL62" s="395"/>
      <c r="AM62" s="395"/>
      <c r="AN62" s="395"/>
      <c r="AO62" s="395"/>
      <c r="AP62" s="395"/>
      <c r="AQ62" s="395"/>
      <c r="AR62" s="395"/>
      <c r="AS62" s="395"/>
      <c r="AT62" s="395"/>
      <c r="AU62" s="395"/>
      <c r="AV62" s="395"/>
      <c r="AW62" s="395"/>
      <c r="AX62" s="395"/>
      <c r="AY62" s="395"/>
      <c r="AZ62" s="395"/>
      <c r="BA62" s="395"/>
      <c r="BB62" s="395"/>
      <c r="BC62" s="395"/>
      <c r="BD62" s="395"/>
      <c r="BE62" s="395"/>
      <c r="BF62" s="395"/>
      <c r="BG62" s="395"/>
      <c r="BH62" s="395"/>
      <c r="BI62" s="395"/>
      <c r="BJ62" s="395"/>
      <c r="BK62" s="395"/>
      <c r="BL62" s="395"/>
      <c r="BM62" s="395"/>
      <c r="BN62" s="395"/>
      <c r="BO62" s="395"/>
      <c r="BP62" s="395"/>
      <c r="BQ62" s="395"/>
      <c r="BR62" s="395"/>
      <c r="BS62" s="395"/>
      <c r="BT62" s="395"/>
      <c r="BU62" s="395"/>
    </row>
    <row r="63" spans="1:73" s="396" customFormat="1" ht="21.75" customHeight="1" thickBot="1">
      <c r="A63" s="397" t="s">
        <v>427</v>
      </c>
      <c r="B63" s="393"/>
      <c r="C63" s="399"/>
      <c r="D63" s="399"/>
      <c r="E63" s="399"/>
      <c r="F63" s="31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  <c r="AC63" s="395"/>
      <c r="AD63" s="395"/>
      <c r="AE63" s="395"/>
      <c r="AF63" s="395"/>
      <c r="AG63" s="395"/>
      <c r="AH63" s="395"/>
      <c r="AI63" s="395"/>
      <c r="AJ63" s="395"/>
      <c r="AK63" s="395"/>
      <c r="AL63" s="395"/>
      <c r="AM63" s="395"/>
      <c r="AN63" s="395"/>
      <c r="AO63" s="395"/>
      <c r="AP63" s="395"/>
      <c r="AQ63" s="395"/>
      <c r="AR63" s="395"/>
      <c r="AS63" s="395"/>
      <c r="AT63" s="395"/>
      <c r="AU63" s="395"/>
      <c r="AV63" s="395"/>
      <c r="AW63" s="395"/>
      <c r="AX63" s="395"/>
      <c r="AY63" s="395"/>
      <c r="AZ63" s="395"/>
      <c r="BA63" s="395"/>
      <c r="BB63" s="395"/>
      <c r="BC63" s="395"/>
      <c r="BD63" s="395"/>
      <c r="BE63" s="395"/>
      <c r="BF63" s="395"/>
      <c r="BG63" s="395"/>
      <c r="BH63" s="395"/>
      <c r="BI63" s="395"/>
      <c r="BJ63" s="395"/>
      <c r="BK63" s="395"/>
      <c r="BL63" s="395"/>
      <c r="BM63" s="395"/>
      <c r="BN63" s="395"/>
      <c r="BO63" s="395"/>
      <c r="BP63" s="395"/>
      <c r="BQ63" s="395"/>
      <c r="BR63" s="395"/>
      <c r="BS63" s="395"/>
      <c r="BT63" s="395"/>
      <c r="BU63" s="395"/>
    </row>
    <row r="64" spans="1:73" s="396" customFormat="1" ht="21.75" customHeight="1" thickBot="1">
      <c r="A64" s="397" t="s">
        <v>476</v>
      </c>
      <c r="B64" s="393">
        <v>13000000</v>
      </c>
      <c r="C64" s="399"/>
      <c r="D64" s="399"/>
      <c r="E64" s="399"/>
      <c r="F64" s="31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  <c r="X64" s="395"/>
      <c r="Y64" s="395"/>
      <c r="Z64" s="395"/>
      <c r="AA64" s="395"/>
      <c r="AB64" s="395"/>
      <c r="AC64" s="395"/>
      <c r="AD64" s="395"/>
      <c r="AE64" s="395"/>
      <c r="AF64" s="395"/>
      <c r="AG64" s="395"/>
      <c r="AH64" s="395"/>
      <c r="AI64" s="395"/>
      <c r="AJ64" s="395"/>
      <c r="AK64" s="395"/>
      <c r="AL64" s="395"/>
      <c r="AM64" s="395"/>
      <c r="AN64" s="395"/>
      <c r="AO64" s="395"/>
      <c r="AP64" s="395"/>
      <c r="AQ64" s="395"/>
      <c r="AR64" s="395"/>
      <c r="AS64" s="395"/>
      <c r="AT64" s="395"/>
      <c r="AU64" s="395"/>
      <c r="AV64" s="395"/>
      <c r="AW64" s="395"/>
      <c r="AX64" s="395"/>
      <c r="AY64" s="395"/>
      <c r="AZ64" s="395"/>
      <c r="BA64" s="395"/>
      <c r="BB64" s="395"/>
      <c r="BC64" s="395"/>
      <c r="BD64" s="395"/>
      <c r="BE64" s="395"/>
      <c r="BF64" s="395"/>
      <c r="BG64" s="395"/>
      <c r="BH64" s="395"/>
      <c r="BI64" s="395"/>
      <c r="BJ64" s="395"/>
      <c r="BK64" s="395"/>
      <c r="BL64" s="395"/>
      <c r="BM64" s="395"/>
      <c r="BN64" s="395"/>
      <c r="BO64" s="395"/>
      <c r="BP64" s="395"/>
      <c r="BQ64" s="395"/>
      <c r="BR64" s="395"/>
      <c r="BS64" s="395"/>
      <c r="BT64" s="395"/>
      <c r="BU64" s="395"/>
    </row>
    <row r="65" spans="1:73" s="396" customFormat="1" ht="21.75" customHeight="1" thickBot="1">
      <c r="A65" s="397" t="s">
        <v>477</v>
      </c>
      <c r="B65" s="393">
        <v>3472118</v>
      </c>
      <c r="C65" s="399"/>
      <c r="D65" s="399"/>
      <c r="E65" s="399"/>
      <c r="F65" s="31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  <c r="X65" s="395"/>
      <c r="Y65" s="395"/>
      <c r="Z65" s="395"/>
      <c r="AA65" s="395"/>
      <c r="AB65" s="395"/>
      <c r="AC65" s="395"/>
      <c r="AD65" s="395"/>
      <c r="AE65" s="395"/>
      <c r="AF65" s="395"/>
      <c r="AG65" s="395"/>
      <c r="AH65" s="395"/>
      <c r="AI65" s="395"/>
      <c r="AJ65" s="395"/>
      <c r="AK65" s="395"/>
      <c r="AL65" s="395"/>
      <c r="AM65" s="395"/>
      <c r="AN65" s="395"/>
      <c r="AO65" s="395"/>
      <c r="AP65" s="395"/>
      <c r="AQ65" s="395"/>
      <c r="AR65" s="395"/>
      <c r="AS65" s="395"/>
      <c r="AT65" s="395"/>
      <c r="AU65" s="395"/>
      <c r="AV65" s="395"/>
      <c r="AW65" s="395"/>
      <c r="AX65" s="395"/>
      <c r="AY65" s="395"/>
      <c r="AZ65" s="395"/>
      <c r="BA65" s="395"/>
      <c r="BB65" s="395"/>
      <c r="BC65" s="395"/>
      <c r="BD65" s="395"/>
      <c r="BE65" s="395"/>
      <c r="BF65" s="395"/>
      <c r="BG65" s="395"/>
      <c r="BH65" s="395"/>
      <c r="BI65" s="395"/>
      <c r="BJ65" s="395"/>
      <c r="BK65" s="395"/>
      <c r="BL65" s="395"/>
      <c r="BM65" s="395"/>
      <c r="BN65" s="395"/>
      <c r="BO65" s="395"/>
      <c r="BP65" s="395"/>
      <c r="BQ65" s="395"/>
      <c r="BR65" s="395"/>
      <c r="BS65" s="395"/>
      <c r="BT65" s="395"/>
      <c r="BU65" s="395"/>
    </row>
    <row r="66" spans="1:73" s="396" customFormat="1" ht="21.75" customHeight="1" thickBot="1">
      <c r="A66" s="397" t="s">
        <v>478</v>
      </c>
      <c r="B66" s="393">
        <v>2000000</v>
      </c>
      <c r="C66" s="399"/>
      <c r="D66" s="399"/>
      <c r="E66" s="399"/>
      <c r="F66" s="31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  <c r="X66" s="395"/>
      <c r="Y66" s="395"/>
      <c r="Z66" s="395"/>
      <c r="AA66" s="395"/>
      <c r="AB66" s="395"/>
      <c r="AC66" s="395"/>
      <c r="AD66" s="395"/>
      <c r="AE66" s="395"/>
      <c r="AF66" s="395"/>
      <c r="AG66" s="395"/>
      <c r="AH66" s="395"/>
      <c r="AI66" s="395"/>
      <c r="AJ66" s="395"/>
      <c r="AK66" s="395"/>
      <c r="AL66" s="395"/>
      <c r="AM66" s="395"/>
      <c r="AN66" s="395"/>
      <c r="AO66" s="395"/>
      <c r="AP66" s="395"/>
      <c r="AQ66" s="395"/>
      <c r="AR66" s="395"/>
      <c r="AS66" s="395"/>
      <c r="AT66" s="395"/>
      <c r="AU66" s="395"/>
      <c r="AV66" s="395"/>
      <c r="AW66" s="395"/>
      <c r="AX66" s="395"/>
      <c r="AY66" s="395"/>
      <c r="AZ66" s="395"/>
      <c r="BA66" s="395"/>
      <c r="BB66" s="395"/>
      <c r="BC66" s="395"/>
      <c r="BD66" s="395"/>
      <c r="BE66" s="395"/>
      <c r="BF66" s="395"/>
      <c r="BG66" s="395"/>
      <c r="BH66" s="395"/>
      <c r="BI66" s="395"/>
      <c r="BJ66" s="395"/>
      <c r="BK66" s="395"/>
      <c r="BL66" s="395"/>
      <c r="BM66" s="395"/>
      <c r="BN66" s="395"/>
      <c r="BO66" s="395"/>
      <c r="BP66" s="395"/>
      <c r="BQ66" s="395"/>
      <c r="BR66" s="395"/>
      <c r="BS66" s="395"/>
      <c r="BT66" s="395"/>
      <c r="BU66" s="395"/>
    </row>
    <row r="67" spans="1:73" s="396" customFormat="1" ht="21.75" customHeight="1" thickBot="1">
      <c r="A67" s="397" t="s">
        <v>479</v>
      </c>
      <c r="B67" s="393">
        <v>1000000</v>
      </c>
      <c r="C67" s="399"/>
      <c r="D67" s="399"/>
      <c r="E67" s="399"/>
      <c r="F67" s="31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  <c r="X67" s="395"/>
      <c r="Y67" s="395"/>
      <c r="Z67" s="395"/>
      <c r="AA67" s="395"/>
      <c r="AB67" s="395"/>
      <c r="AC67" s="395"/>
      <c r="AD67" s="395"/>
      <c r="AE67" s="395"/>
      <c r="AF67" s="395"/>
      <c r="AG67" s="395"/>
      <c r="AH67" s="395"/>
      <c r="AI67" s="395"/>
      <c r="AJ67" s="395"/>
      <c r="AK67" s="395"/>
      <c r="AL67" s="395"/>
      <c r="AM67" s="395"/>
      <c r="AN67" s="395"/>
      <c r="AO67" s="395"/>
      <c r="AP67" s="395"/>
      <c r="AQ67" s="395"/>
      <c r="AR67" s="395"/>
      <c r="AS67" s="395"/>
      <c r="AT67" s="395"/>
      <c r="AU67" s="395"/>
      <c r="AV67" s="395"/>
      <c r="AW67" s="395"/>
      <c r="AX67" s="395"/>
      <c r="AY67" s="395"/>
      <c r="AZ67" s="395"/>
      <c r="BA67" s="395"/>
      <c r="BB67" s="395"/>
      <c r="BC67" s="395"/>
      <c r="BD67" s="395"/>
      <c r="BE67" s="395"/>
      <c r="BF67" s="395"/>
      <c r="BG67" s="395"/>
      <c r="BH67" s="395"/>
      <c r="BI67" s="395"/>
      <c r="BJ67" s="395"/>
      <c r="BK67" s="395"/>
      <c r="BL67" s="395"/>
      <c r="BM67" s="395"/>
      <c r="BN67" s="395"/>
      <c r="BO67" s="395"/>
      <c r="BP67" s="395"/>
      <c r="BQ67" s="395"/>
      <c r="BR67" s="395"/>
      <c r="BS67" s="395"/>
      <c r="BT67" s="395"/>
      <c r="BU67" s="395"/>
    </row>
    <row r="68" spans="1:73" s="396" customFormat="1" ht="21.75" customHeight="1" thickBot="1">
      <c r="A68" s="397" t="s">
        <v>650</v>
      </c>
      <c r="B68" s="393">
        <v>1000000</v>
      </c>
      <c r="C68" s="422"/>
      <c r="D68" s="422"/>
      <c r="E68" s="422"/>
      <c r="F68" s="424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  <c r="X68" s="395"/>
      <c r="Y68" s="395"/>
      <c r="Z68" s="395"/>
      <c r="AA68" s="395"/>
      <c r="AB68" s="395"/>
      <c r="AC68" s="395"/>
      <c r="AD68" s="395"/>
      <c r="AE68" s="395"/>
      <c r="AF68" s="395"/>
      <c r="AG68" s="395"/>
      <c r="AH68" s="395"/>
      <c r="AI68" s="395"/>
      <c r="AJ68" s="395"/>
      <c r="AK68" s="395"/>
      <c r="AL68" s="395"/>
      <c r="AM68" s="395"/>
      <c r="AN68" s="395"/>
      <c r="AO68" s="395"/>
      <c r="AP68" s="395"/>
      <c r="AQ68" s="395"/>
      <c r="AR68" s="395"/>
      <c r="AS68" s="395"/>
      <c r="AT68" s="395"/>
      <c r="AU68" s="395"/>
      <c r="AV68" s="395"/>
      <c r="AW68" s="395"/>
      <c r="AX68" s="395"/>
      <c r="AY68" s="395"/>
      <c r="AZ68" s="395"/>
      <c r="BA68" s="395"/>
      <c r="BB68" s="395"/>
      <c r="BC68" s="395"/>
      <c r="BD68" s="395"/>
      <c r="BE68" s="395"/>
      <c r="BF68" s="395"/>
      <c r="BG68" s="395"/>
      <c r="BH68" s="395"/>
      <c r="BI68" s="395"/>
      <c r="BJ68" s="395"/>
      <c r="BK68" s="395"/>
      <c r="BL68" s="395"/>
      <c r="BM68" s="395"/>
      <c r="BN68" s="395"/>
      <c r="BO68" s="395"/>
      <c r="BP68" s="395"/>
      <c r="BQ68" s="395"/>
      <c r="BR68" s="395"/>
      <c r="BS68" s="395"/>
      <c r="BT68" s="395"/>
      <c r="BU68" s="395"/>
    </row>
    <row r="69" spans="1:73" s="430" customFormat="1" ht="41.25" customHeight="1" thickBot="1">
      <c r="A69" s="405" t="s">
        <v>481</v>
      </c>
      <c r="B69" s="426"/>
      <c r="C69" s="427">
        <f>SUM(C8:C68)</f>
        <v>936075269</v>
      </c>
      <c r="D69" s="427">
        <f>SUM(D8:D68)</f>
        <v>1166425223.3199999</v>
      </c>
      <c r="E69" s="427">
        <f>SUM(E8:E68)</f>
        <v>1093953650</v>
      </c>
      <c r="F69" s="428">
        <f>SUM(F8:F68)</f>
        <v>25.367720897727022</v>
      </c>
      <c r="G69" s="429"/>
      <c r="H69" s="429"/>
      <c r="I69" s="429"/>
      <c r="J69" s="429"/>
      <c r="K69" s="429"/>
      <c r="L69" s="429"/>
      <c r="M69" s="429"/>
      <c r="N69" s="429"/>
      <c r="O69" s="429"/>
      <c r="P69" s="429"/>
      <c r="Q69" s="429"/>
      <c r="R69" s="429"/>
      <c r="S69" s="429"/>
      <c r="T69" s="429"/>
      <c r="U69" s="429"/>
      <c r="V69" s="429"/>
      <c r="W69" s="429"/>
      <c r="X69" s="429"/>
      <c r="Y69" s="429"/>
      <c r="Z69" s="429"/>
      <c r="AA69" s="429"/>
      <c r="AB69" s="429"/>
      <c r="AC69" s="429"/>
      <c r="AD69" s="429"/>
      <c r="AE69" s="429"/>
      <c r="AF69" s="429"/>
      <c r="AG69" s="429"/>
      <c r="AH69" s="429"/>
      <c r="AI69" s="429"/>
      <c r="AJ69" s="429"/>
      <c r="AK69" s="429"/>
      <c r="AL69" s="429"/>
      <c r="AM69" s="429"/>
      <c r="AN69" s="429"/>
      <c r="AO69" s="429"/>
      <c r="AP69" s="429"/>
      <c r="AQ69" s="429"/>
      <c r="AR69" s="429"/>
      <c r="AS69" s="429"/>
      <c r="AT69" s="429"/>
      <c r="AU69" s="429"/>
      <c r="AV69" s="429"/>
      <c r="AW69" s="429"/>
      <c r="AX69" s="429"/>
      <c r="AY69" s="429"/>
      <c r="AZ69" s="429"/>
      <c r="BA69" s="429"/>
      <c r="BB69" s="429"/>
      <c r="BC69" s="429"/>
      <c r="BD69" s="429"/>
      <c r="BE69" s="429"/>
      <c r="BF69" s="429"/>
      <c r="BG69" s="429"/>
      <c r="BH69" s="429"/>
      <c r="BI69" s="429"/>
      <c r="BJ69" s="429"/>
      <c r="BK69" s="429"/>
      <c r="BL69" s="429"/>
      <c r="BM69" s="429"/>
      <c r="BN69" s="429"/>
      <c r="BO69" s="429"/>
      <c r="BP69" s="429"/>
      <c r="BQ69" s="429"/>
      <c r="BR69" s="429"/>
      <c r="BS69" s="429"/>
      <c r="BT69" s="429"/>
      <c r="BU69" s="429"/>
    </row>
    <row r="70" spans="1:73" s="430" customFormat="1" ht="26.25" customHeight="1" thickBot="1">
      <c r="A70" s="404"/>
      <c r="B70" s="431"/>
      <c r="C70" s="432"/>
      <c r="D70" s="432"/>
      <c r="E70" s="432"/>
      <c r="F70" s="433"/>
      <c r="G70" s="429"/>
      <c r="H70" s="429"/>
      <c r="I70" s="429"/>
      <c r="J70" s="429"/>
      <c r="K70" s="429"/>
      <c r="L70" s="429"/>
      <c r="M70" s="429"/>
      <c r="N70" s="429"/>
      <c r="O70" s="429"/>
      <c r="P70" s="429"/>
      <c r="Q70" s="429"/>
      <c r="R70" s="429"/>
      <c r="S70" s="429"/>
      <c r="T70" s="429"/>
      <c r="U70" s="429"/>
      <c r="V70" s="429"/>
      <c r="W70" s="429"/>
      <c r="X70" s="429"/>
      <c r="Y70" s="429"/>
      <c r="Z70" s="429"/>
      <c r="AA70" s="429"/>
      <c r="AB70" s="429"/>
      <c r="AC70" s="429"/>
      <c r="AD70" s="429"/>
      <c r="AE70" s="429"/>
      <c r="AF70" s="429"/>
      <c r="AG70" s="429"/>
      <c r="AH70" s="429"/>
      <c r="AI70" s="429"/>
      <c r="AJ70" s="429"/>
      <c r="AK70" s="429"/>
      <c r="AL70" s="429"/>
      <c r="AM70" s="429"/>
      <c r="AN70" s="429"/>
      <c r="AO70" s="429"/>
      <c r="AP70" s="429"/>
      <c r="AQ70" s="429"/>
      <c r="AR70" s="429"/>
      <c r="AS70" s="429"/>
      <c r="AT70" s="429"/>
      <c r="AU70" s="429"/>
      <c r="AV70" s="429"/>
      <c r="AW70" s="429"/>
      <c r="AX70" s="429"/>
      <c r="AY70" s="429"/>
      <c r="AZ70" s="429"/>
      <c r="BA70" s="429"/>
      <c r="BB70" s="429"/>
      <c r="BC70" s="429"/>
      <c r="BD70" s="429"/>
      <c r="BE70" s="429"/>
      <c r="BF70" s="429"/>
      <c r="BG70" s="429"/>
      <c r="BH70" s="429"/>
      <c r="BI70" s="429"/>
      <c r="BJ70" s="429"/>
      <c r="BK70" s="429"/>
      <c r="BL70" s="429"/>
      <c r="BM70" s="429"/>
      <c r="BN70" s="429"/>
      <c r="BO70" s="429"/>
      <c r="BP70" s="429"/>
      <c r="BQ70" s="429"/>
      <c r="BR70" s="429"/>
      <c r="BS70" s="429"/>
      <c r="BT70" s="429"/>
      <c r="BU70" s="429"/>
    </row>
    <row r="71" spans="1:73" s="435" customFormat="1" ht="28.5" customHeight="1" thickBot="1">
      <c r="A71" s="547" t="s">
        <v>482</v>
      </c>
      <c r="B71" s="548"/>
      <c r="C71" s="549"/>
      <c r="D71" s="549"/>
      <c r="E71" s="549"/>
      <c r="F71" s="570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8"/>
      <c r="AL71" s="278"/>
      <c r="AM71" s="278"/>
      <c r="AN71" s="278"/>
      <c r="AO71" s="278"/>
      <c r="AP71" s="278"/>
      <c r="AQ71" s="278"/>
      <c r="AR71" s="278"/>
      <c r="AS71" s="278"/>
      <c r="AT71" s="278"/>
      <c r="AU71" s="278"/>
      <c r="AV71" s="278"/>
      <c r="AW71" s="278"/>
      <c r="AX71" s="278"/>
      <c r="AY71" s="278"/>
      <c r="AZ71" s="278"/>
      <c r="BA71" s="278"/>
      <c r="BB71" s="278"/>
      <c r="BC71" s="278"/>
      <c r="BD71" s="278"/>
      <c r="BE71" s="278"/>
      <c r="BF71" s="278"/>
      <c r="BG71" s="278"/>
      <c r="BH71" s="278"/>
      <c r="BI71" s="278"/>
      <c r="BJ71" s="278"/>
      <c r="BK71" s="278"/>
      <c r="BL71" s="278"/>
      <c r="BM71" s="278"/>
      <c r="BN71" s="278"/>
      <c r="BO71" s="278"/>
      <c r="BP71" s="278"/>
      <c r="BQ71" s="278"/>
      <c r="BR71" s="278"/>
      <c r="BS71" s="278"/>
      <c r="BT71" s="278"/>
      <c r="BU71" s="278"/>
    </row>
    <row r="72" spans="1:73" s="401" customFormat="1" ht="69.75" customHeight="1" thickBot="1">
      <c r="A72" s="914" t="s">
        <v>651</v>
      </c>
      <c r="B72" s="915"/>
      <c r="C72" s="399">
        <v>54926230</v>
      </c>
      <c r="D72" s="399">
        <f>SUM(C72)+26734000+3733800+570363</f>
        <v>85964393</v>
      </c>
      <c r="E72" s="399">
        <f>47153974+759460</f>
        <v>47913434</v>
      </c>
      <c r="F72" s="315">
        <f t="shared" ref="F72:F78" si="9">E72/D72</f>
        <v>0.55736372151199853</v>
      </c>
      <c r="G72" s="400"/>
      <c r="H72" s="400"/>
      <c r="I72" s="400"/>
      <c r="J72" s="400"/>
      <c r="K72" s="400"/>
      <c r="L72" s="400"/>
      <c r="M72" s="400"/>
      <c r="N72" s="400"/>
      <c r="O72" s="400"/>
      <c r="P72" s="400"/>
      <c r="Q72" s="400"/>
      <c r="R72" s="400"/>
      <c r="S72" s="400"/>
      <c r="T72" s="400"/>
      <c r="U72" s="400"/>
      <c r="V72" s="400"/>
      <c r="W72" s="400"/>
      <c r="X72" s="400"/>
      <c r="Y72" s="400"/>
      <c r="Z72" s="400"/>
      <c r="AA72" s="400"/>
      <c r="AB72" s="400"/>
      <c r="AC72" s="400"/>
      <c r="AD72" s="400"/>
      <c r="AE72" s="400"/>
      <c r="AF72" s="400"/>
      <c r="AG72" s="400"/>
      <c r="AH72" s="400"/>
      <c r="AI72" s="400"/>
      <c r="AJ72" s="400"/>
      <c r="AK72" s="400"/>
      <c r="AL72" s="400"/>
      <c r="AM72" s="400"/>
      <c r="AN72" s="400"/>
      <c r="AO72" s="400"/>
      <c r="AP72" s="400"/>
      <c r="AQ72" s="400"/>
      <c r="AR72" s="400"/>
      <c r="AS72" s="400"/>
      <c r="AT72" s="400"/>
      <c r="AU72" s="400"/>
      <c r="AV72" s="400"/>
      <c r="AW72" s="400"/>
      <c r="AX72" s="400"/>
      <c r="AY72" s="400"/>
      <c r="AZ72" s="400"/>
      <c r="BA72" s="400"/>
      <c r="BB72" s="400"/>
      <c r="BC72" s="400"/>
      <c r="BD72" s="400"/>
      <c r="BE72" s="400"/>
      <c r="BF72" s="400"/>
      <c r="BG72" s="400"/>
      <c r="BH72" s="400"/>
      <c r="BI72" s="400"/>
      <c r="BJ72" s="400"/>
      <c r="BK72" s="400"/>
      <c r="BL72" s="400"/>
      <c r="BM72" s="400"/>
      <c r="BN72" s="400"/>
      <c r="BO72" s="400"/>
      <c r="BP72" s="400"/>
      <c r="BQ72" s="400"/>
      <c r="BR72" s="400"/>
      <c r="BS72" s="400"/>
      <c r="BT72" s="400"/>
      <c r="BU72" s="400"/>
    </row>
    <row r="73" spans="1:73" s="401" customFormat="1" ht="69.75" customHeight="1" thickBot="1">
      <c r="A73" s="911" t="s">
        <v>863</v>
      </c>
      <c r="B73" s="912"/>
      <c r="C73" s="399">
        <v>838906063</v>
      </c>
      <c r="D73" s="399">
        <f t="shared" ref="D73:D100" si="10">SUM(C73)</f>
        <v>838906063</v>
      </c>
      <c r="E73" s="399">
        <v>11350000</v>
      </c>
      <c r="F73" s="315">
        <f t="shared" si="9"/>
        <v>1.3529524341988217E-2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0"/>
      <c r="Q73" s="400"/>
      <c r="R73" s="400"/>
      <c r="S73" s="400"/>
      <c r="T73" s="400"/>
      <c r="U73" s="400"/>
      <c r="V73" s="400"/>
      <c r="W73" s="400"/>
      <c r="X73" s="400"/>
      <c r="Y73" s="400"/>
      <c r="Z73" s="400"/>
      <c r="AA73" s="400"/>
      <c r="AB73" s="400"/>
      <c r="AC73" s="400"/>
      <c r="AD73" s="400"/>
      <c r="AE73" s="400"/>
      <c r="AF73" s="400"/>
      <c r="AG73" s="400"/>
      <c r="AH73" s="400"/>
      <c r="AI73" s="400"/>
      <c r="AJ73" s="400"/>
      <c r="AK73" s="400"/>
      <c r="AL73" s="400"/>
      <c r="AM73" s="400"/>
      <c r="AN73" s="400"/>
      <c r="AO73" s="400"/>
      <c r="AP73" s="400"/>
      <c r="AQ73" s="400"/>
      <c r="AR73" s="400"/>
      <c r="AS73" s="400"/>
      <c r="AT73" s="400"/>
      <c r="AU73" s="400"/>
      <c r="AV73" s="400"/>
      <c r="AW73" s="400"/>
      <c r="AX73" s="400"/>
      <c r="AY73" s="400"/>
      <c r="AZ73" s="400"/>
      <c r="BA73" s="400"/>
      <c r="BB73" s="400"/>
      <c r="BC73" s="400"/>
      <c r="BD73" s="400"/>
      <c r="BE73" s="400"/>
      <c r="BF73" s="400"/>
      <c r="BG73" s="400"/>
      <c r="BH73" s="400"/>
      <c r="BI73" s="400"/>
      <c r="BJ73" s="400"/>
      <c r="BK73" s="400"/>
      <c r="BL73" s="400"/>
      <c r="BM73" s="400"/>
      <c r="BN73" s="400"/>
      <c r="BO73" s="400"/>
      <c r="BP73" s="400"/>
      <c r="BQ73" s="400"/>
      <c r="BR73" s="400"/>
      <c r="BS73" s="400"/>
      <c r="BT73" s="400"/>
      <c r="BU73" s="400"/>
    </row>
    <row r="74" spans="1:73" s="652" customFormat="1" ht="38.25" customHeight="1" thickBot="1">
      <c r="A74" s="911" t="s">
        <v>864</v>
      </c>
      <c r="B74" s="912"/>
      <c r="C74" s="399">
        <v>393952979</v>
      </c>
      <c r="D74" s="399">
        <f>SUM(C74)+5430500+385100</f>
        <v>399768579</v>
      </c>
      <c r="E74" s="399">
        <v>30166365</v>
      </c>
      <c r="F74" s="315">
        <f t="shared" si="9"/>
        <v>7.5459569822769884E-2</v>
      </c>
      <c r="G74" s="651"/>
      <c r="H74" s="651"/>
      <c r="I74" s="651"/>
      <c r="J74" s="651"/>
      <c r="K74" s="651"/>
      <c r="L74" s="651"/>
      <c r="M74" s="651"/>
      <c r="N74" s="651"/>
      <c r="O74" s="651"/>
      <c r="P74" s="651"/>
      <c r="Q74" s="651"/>
      <c r="R74" s="651"/>
      <c r="S74" s="651"/>
      <c r="T74" s="651"/>
      <c r="U74" s="651"/>
      <c r="V74" s="651"/>
      <c r="W74" s="651"/>
      <c r="X74" s="651"/>
      <c r="Y74" s="651"/>
      <c r="Z74" s="651"/>
      <c r="AA74" s="651"/>
      <c r="AB74" s="651"/>
      <c r="AC74" s="651"/>
      <c r="AD74" s="651"/>
      <c r="AE74" s="651"/>
      <c r="AF74" s="651"/>
      <c r="AG74" s="651"/>
      <c r="AH74" s="651"/>
      <c r="AI74" s="651"/>
      <c r="AJ74" s="651"/>
      <c r="AK74" s="651"/>
      <c r="AL74" s="651"/>
      <c r="AM74" s="651"/>
      <c r="AN74" s="651"/>
      <c r="AO74" s="651"/>
      <c r="AP74" s="651"/>
      <c r="AQ74" s="651"/>
      <c r="AR74" s="651"/>
      <c r="AS74" s="651"/>
      <c r="AT74" s="651"/>
      <c r="AU74" s="651"/>
      <c r="AV74" s="651"/>
      <c r="AW74" s="651"/>
      <c r="AX74" s="651"/>
      <c r="AY74" s="651"/>
      <c r="AZ74" s="651"/>
      <c r="BA74" s="651"/>
      <c r="BB74" s="651"/>
      <c r="BC74" s="651"/>
      <c r="BD74" s="651"/>
      <c r="BE74" s="651"/>
      <c r="BF74" s="651"/>
      <c r="BG74" s="651"/>
      <c r="BH74" s="651"/>
      <c r="BI74" s="651"/>
      <c r="BJ74" s="651"/>
      <c r="BK74" s="651"/>
      <c r="BL74" s="651"/>
      <c r="BM74" s="651"/>
      <c r="BN74" s="651"/>
      <c r="BO74" s="651"/>
      <c r="BP74" s="651"/>
      <c r="BQ74" s="651"/>
      <c r="BR74" s="651"/>
      <c r="BS74" s="651"/>
      <c r="BT74" s="651"/>
      <c r="BU74" s="651"/>
    </row>
    <row r="75" spans="1:73" s="401" customFormat="1" ht="52.5" customHeight="1" thickBot="1">
      <c r="A75" s="316" t="s">
        <v>865</v>
      </c>
      <c r="B75" s="551"/>
      <c r="C75" s="399">
        <v>25312174</v>
      </c>
      <c r="D75" s="399">
        <f>SUM(C75)+419291+3016366+4437637+1972826</f>
        <v>35158294</v>
      </c>
      <c r="E75" s="399">
        <v>17224262</v>
      </c>
      <c r="F75" s="315">
        <f t="shared" si="9"/>
        <v>0.48990608019831677</v>
      </c>
      <c r="G75" s="400"/>
      <c r="H75" s="400"/>
      <c r="I75" s="400"/>
      <c r="J75" s="400"/>
      <c r="K75" s="400"/>
      <c r="L75" s="400"/>
      <c r="M75" s="400"/>
      <c r="N75" s="400"/>
      <c r="O75" s="400"/>
      <c r="P75" s="400"/>
      <c r="Q75" s="400"/>
      <c r="R75" s="400"/>
      <c r="S75" s="400"/>
      <c r="T75" s="400"/>
      <c r="U75" s="400"/>
      <c r="V75" s="400"/>
      <c r="W75" s="400"/>
      <c r="X75" s="400"/>
      <c r="Y75" s="400"/>
      <c r="Z75" s="400"/>
      <c r="AA75" s="400"/>
      <c r="AB75" s="400"/>
      <c r="AC75" s="400"/>
      <c r="AD75" s="400"/>
      <c r="AE75" s="400"/>
      <c r="AF75" s="400"/>
      <c r="AG75" s="400"/>
      <c r="AH75" s="400"/>
      <c r="AI75" s="400"/>
      <c r="AJ75" s="400"/>
      <c r="AK75" s="400"/>
      <c r="AL75" s="400"/>
      <c r="AM75" s="400"/>
      <c r="AN75" s="400"/>
      <c r="AO75" s="400"/>
      <c r="AP75" s="400"/>
      <c r="AQ75" s="400"/>
      <c r="AR75" s="400"/>
      <c r="AS75" s="400"/>
      <c r="AT75" s="400"/>
      <c r="AU75" s="400"/>
      <c r="AV75" s="400"/>
      <c r="AW75" s="400"/>
      <c r="AX75" s="400"/>
      <c r="AY75" s="400"/>
      <c r="AZ75" s="400"/>
      <c r="BA75" s="400"/>
      <c r="BB75" s="400"/>
      <c r="BC75" s="400"/>
      <c r="BD75" s="400"/>
      <c r="BE75" s="400"/>
      <c r="BF75" s="400"/>
      <c r="BG75" s="400"/>
      <c r="BH75" s="400"/>
      <c r="BI75" s="400"/>
      <c r="BJ75" s="400"/>
      <c r="BK75" s="400"/>
      <c r="BL75" s="400"/>
      <c r="BM75" s="400"/>
      <c r="BN75" s="400"/>
      <c r="BO75" s="400"/>
      <c r="BP75" s="400"/>
      <c r="BQ75" s="400"/>
      <c r="BR75" s="400"/>
      <c r="BS75" s="400"/>
      <c r="BT75" s="400"/>
      <c r="BU75" s="400"/>
    </row>
    <row r="76" spans="1:73" s="401" customFormat="1" ht="52.5" customHeight="1" thickBot="1">
      <c r="A76" s="316" t="s">
        <v>866</v>
      </c>
      <c r="B76" s="551"/>
      <c r="C76" s="399">
        <v>208891270</v>
      </c>
      <c r="D76" s="399">
        <f>SUM(C76)+967478</f>
        <v>209858748</v>
      </c>
      <c r="E76" s="399">
        <v>172147086</v>
      </c>
      <c r="F76" s="315">
        <f t="shared" si="9"/>
        <v>0.82029978564438977</v>
      </c>
      <c r="G76" s="400"/>
      <c r="H76" s="400"/>
      <c r="I76" s="400"/>
      <c r="J76" s="400"/>
      <c r="K76" s="400"/>
      <c r="L76" s="400"/>
      <c r="M76" s="400"/>
      <c r="N76" s="400"/>
      <c r="O76" s="400"/>
      <c r="P76" s="400"/>
      <c r="Q76" s="400"/>
      <c r="R76" s="400"/>
      <c r="S76" s="400"/>
      <c r="T76" s="400"/>
      <c r="U76" s="400"/>
      <c r="V76" s="400"/>
      <c r="W76" s="400"/>
      <c r="X76" s="400"/>
      <c r="Y76" s="400"/>
      <c r="Z76" s="400"/>
      <c r="AA76" s="400"/>
      <c r="AB76" s="400"/>
      <c r="AC76" s="400"/>
      <c r="AD76" s="400"/>
      <c r="AE76" s="400"/>
      <c r="AF76" s="400"/>
      <c r="AG76" s="400"/>
      <c r="AH76" s="400"/>
      <c r="AI76" s="400"/>
      <c r="AJ76" s="400"/>
      <c r="AK76" s="400"/>
      <c r="AL76" s="400"/>
      <c r="AM76" s="400"/>
      <c r="AN76" s="400"/>
      <c r="AO76" s="400"/>
      <c r="AP76" s="400"/>
      <c r="AQ76" s="400"/>
      <c r="AR76" s="400"/>
      <c r="AS76" s="400"/>
      <c r="AT76" s="400"/>
      <c r="AU76" s="400"/>
      <c r="AV76" s="400"/>
      <c r="AW76" s="400"/>
      <c r="AX76" s="400"/>
      <c r="AY76" s="400"/>
      <c r="AZ76" s="400"/>
      <c r="BA76" s="400"/>
      <c r="BB76" s="400"/>
      <c r="BC76" s="400"/>
      <c r="BD76" s="400"/>
      <c r="BE76" s="400"/>
      <c r="BF76" s="400"/>
      <c r="BG76" s="400"/>
      <c r="BH76" s="400"/>
      <c r="BI76" s="400"/>
      <c r="BJ76" s="400"/>
      <c r="BK76" s="400"/>
      <c r="BL76" s="400"/>
      <c r="BM76" s="400"/>
      <c r="BN76" s="400"/>
      <c r="BO76" s="400"/>
      <c r="BP76" s="400"/>
      <c r="BQ76" s="400"/>
      <c r="BR76" s="400"/>
      <c r="BS76" s="400"/>
      <c r="BT76" s="400"/>
      <c r="BU76" s="400"/>
    </row>
    <row r="77" spans="1:73" s="401" customFormat="1" ht="52.5" customHeight="1" thickBot="1">
      <c r="A77" s="316" t="s">
        <v>867</v>
      </c>
      <c r="B77" s="551"/>
      <c r="C77" s="399">
        <v>90353295</v>
      </c>
      <c r="D77" s="399">
        <f>SUM(C77)+717165+5768450</f>
        <v>96838910</v>
      </c>
      <c r="E77" s="399">
        <v>8791811</v>
      </c>
      <c r="F77" s="315">
        <f t="shared" si="9"/>
        <v>9.0788000401904559E-2</v>
      </c>
      <c r="G77" s="400"/>
      <c r="H77" s="400"/>
      <c r="I77" s="400"/>
      <c r="J77" s="400"/>
      <c r="K77" s="400"/>
      <c r="L77" s="400"/>
      <c r="M77" s="400"/>
      <c r="N77" s="400"/>
      <c r="O77" s="400"/>
      <c r="P77" s="400"/>
      <c r="Q77" s="400"/>
      <c r="R77" s="400"/>
      <c r="S77" s="400"/>
      <c r="T77" s="400"/>
      <c r="U77" s="400"/>
      <c r="V77" s="400"/>
      <c r="W77" s="400"/>
      <c r="X77" s="400"/>
      <c r="Y77" s="400"/>
      <c r="Z77" s="400"/>
      <c r="AA77" s="400"/>
      <c r="AB77" s="400"/>
      <c r="AC77" s="400"/>
      <c r="AD77" s="400"/>
      <c r="AE77" s="400"/>
      <c r="AF77" s="400"/>
      <c r="AG77" s="400"/>
      <c r="AH77" s="400"/>
      <c r="AI77" s="400"/>
      <c r="AJ77" s="400"/>
      <c r="AK77" s="400"/>
      <c r="AL77" s="400"/>
      <c r="AM77" s="400"/>
      <c r="AN77" s="400"/>
      <c r="AO77" s="400"/>
      <c r="AP77" s="400"/>
      <c r="AQ77" s="400"/>
      <c r="AR77" s="400"/>
      <c r="AS77" s="400"/>
      <c r="AT77" s="400"/>
      <c r="AU77" s="400"/>
      <c r="AV77" s="400"/>
      <c r="AW77" s="400"/>
      <c r="AX77" s="400"/>
      <c r="AY77" s="400"/>
      <c r="AZ77" s="400"/>
      <c r="BA77" s="400"/>
      <c r="BB77" s="400"/>
      <c r="BC77" s="400"/>
      <c r="BD77" s="400"/>
      <c r="BE77" s="400"/>
      <c r="BF77" s="400"/>
      <c r="BG77" s="400"/>
      <c r="BH77" s="400"/>
      <c r="BI77" s="400"/>
      <c r="BJ77" s="400"/>
      <c r="BK77" s="400"/>
      <c r="BL77" s="400"/>
      <c r="BM77" s="400"/>
      <c r="BN77" s="400"/>
      <c r="BO77" s="400"/>
      <c r="BP77" s="400"/>
      <c r="BQ77" s="400"/>
      <c r="BR77" s="400"/>
      <c r="BS77" s="400"/>
      <c r="BT77" s="400"/>
      <c r="BU77" s="400"/>
    </row>
    <row r="78" spans="1:73" s="401" customFormat="1" ht="52.5" customHeight="1" thickBot="1">
      <c r="A78" s="316" t="s">
        <v>868</v>
      </c>
      <c r="B78" s="551"/>
      <c r="C78" s="399">
        <v>120147577</v>
      </c>
      <c r="D78" s="543">
        <f>SUM(B79:B80)</f>
        <v>121313144</v>
      </c>
      <c r="E78" s="543">
        <v>95813922</v>
      </c>
      <c r="F78" s="315">
        <f t="shared" si="9"/>
        <v>0.78980660166552108</v>
      </c>
      <c r="G78" s="400"/>
      <c r="H78" s="400"/>
      <c r="I78" s="400"/>
      <c r="J78" s="400"/>
      <c r="K78" s="400"/>
      <c r="L78" s="400"/>
      <c r="M78" s="400"/>
      <c r="N78" s="400"/>
      <c r="O78" s="400"/>
      <c r="P78" s="400"/>
      <c r="Q78" s="400"/>
      <c r="R78" s="400"/>
      <c r="S78" s="400"/>
      <c r="T78" s="400"/>
      <c r="U78" s="400"/>
      <c r="V78" s="400"/>
      <c r="W78" s="400"/>
      <c r="X78" s="400"/>
      <c r="Y78" s="400"/>
      <c r="Z78" s="400"/>
      <c r="AA78" s="400"/>
      <c r="AB78" s="400"/>
      <c r="AC78" s="400"/>
      <c r="AD78" s="400"/>
      <c r="AE78" s="400"/>
      <c r="AF78" s="400"/>
      <c r="AG78" s="400"/>
      <c r="AH78" s="400"/>
      <c r="AI78" s="400"/>
      <c r="AJ78" s="400"/>
      <c r="AK78" s="400"/>
      <c r="AL78" s="400"/>
      <c r="AM78" s="400"/>
      <c r="AN78" s="400"/>
      <c r="AO78" s="400"/>
      <c r="AP78" s="400"/>
      <c r="AQ78" s="400"/>
      <c r="AR78" s="400"/>
      <c r="AS78" s="400"/>
      <c r="AT78" s="400"/>
      <c r="AU78" s="400"/>
      <c r="AV78" s="400"/>
      <c r="AW78" s="400"/>
      <c r="AX78" s="400"/>
      <c r="AY78" s="400"/>
      <c r="AZ78" s="400"/>
      <c r="BA78" s="400"/>
      <c r="BB78" s="400"/>
      <c r="BC78" s="400"/>
      <c r="BD78" s="400"/>
      <c r="BE78" s="400"/>
      <c r="BF78" s="400"/>
      <c r="BG78" s="400"/>
      <c r="BH78" s="400"/>
      <c r="BI78" s="400"/>
      <c r="BJ78" s="400"/>
      <c r="BK78" s="400"/>
      <c r="BL78" s="400"/>
      <c r="BM78" s="400"/>
      <c r="BN78" s="400"/>
      <c r="BO78" s="400"/>
      <c r="BP78" s="400"/>
      <c r="BQ78" s="400"/>
      <c r="BR78" s="400"/>
      <c r="BS78" s="400"/>
      <c r="BT78" s="400"/>
      <c r="BU78" s="400"/>
    </row>
    <row r="79" spans="1:73" s="435" customFormat="1" ht="30" customHeight="1" thickBot="1">
      <c r="A79" s="653" t="s">
        <v>483</v>
      </c>
      <c r="B79" s="402">
        <f>120147577+549567</f>
        <v>120697144</v>
      </c>
      <c r="C79" s="394"/>
      <c r="D79" s="394"/>
      <c r="E79" s="394"/>
      <c r="F79" s="321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78"/>
      <c r="AE79" s="278"/>
      <c r="AF79" s="278"/>
      <c r="AG79" s="278"/>
      <c r="AH79" s="278"/>
      <c r="AI79" s="278"/>
      <c r="AJ79" s="278"/>
      <c r="AK79" s="278"/>
      <c r="AL79" s="278"/>
      <c r="AM79" s="278"/>
      <c r="AN79" s="278"/>
      <c r="AO79" s="278"/>
      <c r="AP79" s="278"/>
      <c r="AQ79" s="278"/>
      <c r="AR79" s="278"/>
      <c r="AS79" s="278"/>
      <c r="AT79" s="278"/>
      <c r="AU79" s="278"/>
      <c r="AV79" s="278"/>
      <c r="AW79" s="278"/>
      <c r="AX79" s="278"/>
      <c r="AY79" s="278"/>
      <c r="AZ79" s="278"/>
      <c r="BA79" s="278"/>
      <c r="BB79" s="278"/>
      <c r="BC79" s="278"/>
      <c r="BD79" s="278"/>
      <c r="BE79" s="278"/>
      <c r="BF79" s="278"/>
      <c r="BG79" s="278"/>
      <c r="BH79" s="278"/>
      <c r="BI79" s="278"/>
      <c r="BJ79" s="278"/>
      <c r="BK79" s="278"/>
      <c r="BL79" s="278"/>
      <c r="BM79" s="278"/>
      <c r="BN79" s="278"/>
      <c r="BO79" s="278"/>
      <c r="BP79" s="278"/>
      <c r="BQ79" s="278"/>
      <c r="BR79" s="278"/>
      <c r="BS79" s="278"/>
      <c r="BT79" s="278"/>
      <c r="BU79" s="278"/>
    </row>
    <row r="80" spans="1:73" s="435" customFormat="1" ht="30" customHeight="1" thickBot="1">
      <c r="A80" s="654" t="s">
        <v>869</v>
      </c>
      <c r="B80" s="402">
        <v>616000</v>
      </c>
      <c r="C80" s="394"/>
      <c r="D80" s="394"/>
      <c r="E80" s="394"/>
      <c r="F80" s="321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  <c r="AA80" s="278"/>
      <c r="AB80" s="278"/>
      <c r="AC80" s="278"/>
      <c r="AD80" s="278"/>
      <c r="AE80" s="278"/>
      <c r="AF80" s="278"/>
      <c r="AG80" s="278"/>
      <c r="AH80" s="278"/>
      <c r="AI80" s="278"/>
      <c r="AJ80" s="278"/>
      <c r="AK80" s="278"/>
      <c r="AL80" s="278"/>
      <c r="AM80" s="278"/>
      <c r="AN80" s="278"/>
      <c r="AO80" s="278"/>
      <c r="AP80" s="278"/>
      <c r="AQ80" s="278"/>
      <c r="AR80" s="278"/>
      <c r="AS80" s="278"/>
      <c r="AT80" s="278"/>
      <c r="AU80" s="278"/>
      <c r="AV80" s="278"/>
      <c r="AW80" s="278"/>
      <c r="AX80" s="278"/>
      <c r="AY80" s="278"/>
      <c r="AZ80" s="278"/>
      <c r="BA80" s="278"/>
      <c r="BB80" s="278"/>
      <c r="BC80" s="278"/>
      <c r="BD80" s="278"/>
      <c r="BE80" s="278"/>
      <c r="BF80" s="278"/>
      <c r="BG80" s="278"/>
      <c r="BH80" s="278"/>
      <c r="BI80" s="278"/>
      <c r="BJ80" s="278"/>
      <c r="BK80" s="278"/>
      <c r="BL80" s="278"/>
      <c r="BM80" s="278"/>
      <c r="BN80" s="278"/>
      <c r="BO80" s="278"/>
      <c r="BP80" s="278"/>
      <c r="BQ80" s="278"/>
      <c r="BR80" s="278"/>
      <c r="BS80" s="278"/>
      <c r="BT80" s="278"/>
      <c r="BU80" s="278"/>
    </row>
    <row r="81" spans="1:73" s="401" customFormat="1" ht="52.5" customHeight="1" thickBot="1">
      <c r="A81" s="316" t="s">
        <v>870</v>
      </c>
      <c r="B81" s="551"/>
      <c r="C81" s="399">
        <v>191471499</v>
      </c>
      <c r="D81" s="399">
        <f>SUM(C81)+779528+50000</f>
        <v>192301027</v>
      </c>
      <c r="E81" s="399">
        <v>93214678</v>
      </c>
      <c r="F81" s="315">
        <f t="shared" ref="F81:F85" si="11">E81/D81</f>
        <v>0.4847331262562628</v>
      </c>
      <c r="G81" s="400"/>
      <c r="H81" s="400"/>
      <c r="I81" s="400"/>
      <c r="J81" s="400"/>
      <c r="K81" s="400"/>
      <c r="L81" s="400"/>
      <c r="M81" s="400"/>
      <c r="N81" s="400"/>
      <c r="O81" s="400"/>
      <c r="P81" s="400"/>
      <c r="Q81" s="400"/>
      <c r="R81" s="400"/>
      <c r="S81" s="400"/>
      <c r="T81" s="400"/>
      <c r="U81" s="400"/>
      <c r="V81" s="400"/>
      <c r="W81" s="400"/>
      <c r="X81" s="400"/>
      <c r="Y81" s="400"/>
      <c r="Z81" s="400"/>
      <c r="AA81" s="400"/>
      <c r="AB81" s="400"/>
      <c r="AC81" s="400"/>
      <c r="AD81" s="400"/>
      <c r="AE81" s="400"/>
      <c r="AF81" s="400"/>
      <c r="AG81" s="400"/>
      <c r="AH81" s="400"/>
      <c r="AI81" s="400"/>
      <c r="AJ81" s="400"/>
      <c r="AK81" s="400"/>
      <c r="AL81" s="400"/>
      <c r="AM81" s="400"/>
      <c r="AN81" s="400"/>
      <c r="AO81" s="400"/>
      <c r="AP81" s="400"/>
      <c r="AQ81" s="400"/>
      <c r="AR81" s="400"/>
      <c r="AS81" s="400"/>
      <c r="AT81" s="400"/>
      <c r="AU81" s="400"/>
      <c r="AV81" s="400"/>
      <c r="AW81" s="400"/>
      <c r="AX81" s="400"/>
      <c r="AY81" s="400"/>
      <c r="AZ81" s="400"/>
      <c r="BA81" s="400"/>
      <c r="BB81" s="400"/>
      <c r="BC81" s="400"/>
      <c r="BD81" s="400"/>
      <c r="BE81" s="400"/>
      <c r="BF81" s="400"/>
      <c r="BG81" s="400"/>
      <c r="BH81" s="400"/>
      <c r="BI81" s="400"/>
      <c r="BJ81" s="400"/>
      <c r="BK81" s="400"/>
      <c r="BL81" s="400"/>
      <c r="BM81" s="400"/>
      <c r="BN81" s="400"/>
      <c r="BO81" s="400"/>
      <c r="BP81" s="400"/>
      <c r="BQ81" s="400"/>
      <c r="BR81" s="400"/>
      <c r="BS81" s="400"/>
      <c r="BT81" s="400"/>
      <c r="BU81" s="400"/>
    </row>
    <row r="82" spans="1:73" s="401" customFormat="1" ht="38.25" customHeight="1" thickBot="1">
      <c r="A82" s="316" t="s">
        <v>802</v>
      </c>
      <c r="B82" s="551"/>
      <c r="C82" s="399">
        <v>103850000</v>
      </c>
      <c r="D82" s="399">
        <f t="shared" si="10"/>
        <v>103850000</v>
      </c>
      <c r="E82" s="399">
        <v>3850000</v>
      </c>
      <c r="F82" s="315">
        <f t="shared" si="11"/>
        <v>3.7072701011073662E-2</v>
      </c>
      <c r="G82" s="400"/>
      <c r="H82" s="400"/>
      <c r="I82" s="400"/>
      <c r="J82" s="400"/>
      <c r="K82" s="400"/>
      <c r="L82" s="400"/>
      <c r="M82" s="400"/>
      <c r="N82" s="400"/>
      <c r="O82" s="400"/>
      <c r="P82" s="400"/>
      <c r="Q82" s="400"/>
      <c r="R82" s="400"/>
      <c r="S82" s="400"/>
      <c r="T82" s="400"/>
      <c r="U82" s="400"/>
      <c r="V82" s="400"/>
      <c r="W82" s="400"/>
      <c r="X82" s="400"/>
      <c r="Y82" s="400"/>
      <c r="Z82" s="400"/>
      <c r="AA82" s="400"/>
      <c r="AB82" s="400"/>
      <c r="AC82" s="400"/>
      <c r="AD82" s="400"/>
      <c r="AE82" s="400"/>
      <c r="AF82" s="400"/>
      <c r="AG82" s="400"/>
      <c r="AH82" s="400"/>
      <c r="AI82" s="400"/>
      <c r="AJ82" s="400"/>
      <c r="AK82" s="400"/>
      <c r="AL82" s="400"/>
      <c r="AM82" s="400"/>
      <c r="AN82" s="400"/>
      <c r="AO82" s="400"/>
      <c r="AP82" s="400"/>
      <c r="AQ82" s="400"/>
      <c r="AR82" s="400"/>
      <c r="AS82" s="400"/>
      <c r="AT82" s="400"/>
      <c r="AU82" s="400"/>
      <c r="AV82" s="400"/>
      <c r="AW82" s="400"/>
      <c r="AX82" s="400"/>
      <c r="AY82" s="400"/>
      <c r="AZ82" s="400"/>
      <c r="BA82" s="400"/>
      <c r="BB82" s="400"/>
      <c r="BC82" s="400"/>
      <c r="BD82" s="400"/>
      <c r="BE82" s="400"/>
      <c r="BF82" s="400"/>
      <c r="BG82" s="400"/>
      <c r="BH82" s="400"/>
      <c r="BI82" s="400"/>
      <c r="BJ82" s="400"/>
      <c r="BK82" s="400"/>
      <c r="BL82" s="400"/>
      <c r="BM82" s="400"/>
      <c r="BN82" s="400"/>
      <c r="BO82" s="400"/>
      <c r="BP82" s="400"/>
      <c r="BQ82" s="400"/>
      <c r="BR82" s="400"/>
      <c r="BS82" s="400"/>
      <c r="BT82" s="400"/>
      <c r="BU82" s="400"/>
    </row>
    <row r="83" spans="1:73" s="658" customFormat="1" ht="38.25" customHeight="1" thickBot="1">
      <c r="A83" s="655" t="s">
        <v>808</v>
      </c>
      <c r="B83" s="656"/>
      <c r="C83" s="399"/>
      <c r="D83" s="399">
        <f>51714618+4820000</f>
        <v>56534618</v>
      </c>
      <c r="E83" s="399">
        <v>4820000</v>
      </c>
      <c r="F83" s="315">
        <f t="shared" si="11"/>
        <v>8.5257496566086291E-2</v>
      </c>
      <c r="G83" s="657"/>
      <c r="H83" s="657"/>
      <c r="I83" s="657"/>
      <c r="J83" s="657"/>
      <c r="K83" s="657"/>
      <c r="L83" s="657"/>
      <c r="M83" s="657"/>
      <c r="N83" s="657"/>
      <c r="O83" s="657"/>
      <c r="P83" s="657"/>
      <c r="Q83" s="657"/>
      <c r="R83" s="657"/>
      <c r="S83" s="657"/>
      <c r="T83" s="657"/>
      <c r="U83" s="657"/>
      <c r="V83" s="657"/>
      <c r="W83" s="657"/>
      <c r="X83" s="657"/>
      <c r="Y83" s="657"/>
      <c r="Z83" s="657"/>
      <c r="AA83" s="657"/>
      <c r="AB83" s="657"/>
      <c r="AC83" s="657"/>
      <c r="AD83" s="657"/>
      <c r="AE83" s="657"/>
      <c r="AF83" s="657"/>
      <c r="AG83" s="657"/>
      <c r="AH83" s="657"/>
      <c r="AI83" s="657"/>
      <c r="AJ83" s="657"/>
      <c r="AK83" s="657"/>
      <c r="AL83" s="657"/>
      <c r="AM83" s="657"/>
      <c r="AN83" s="657"/>
      <c r="AO83" s="657"/>
      <c r="AP83" s="657"/>
      <c r="AQ83" s="657"/>
      <c r="AR83" s="657"/>
      <c r="AS83" s="657"/>
      <c r="AT83" s="657"/>
      <c r="AU83" s="657"/>
      <c r="AV83" s="657"/>
      <c r="AW83" s="657"/>
      <c r="AX83" s="657"/>
      <c r="AY83" s="657"/>
      <c r="AZ83" s="657"/>
      <c r="BA83" s="657"/>
      <c r="BB83" s="657"/>
      <c r="BC83" s="657"/>
      <c r="BD83" s="657"/>
      <c r="BE83" s="657"/>
      <c r="BF83" s="657"/>
      <c r="BG83" s="657"/>
      <c r="BH83" s="657"/>
      <c r="BI83" s="657"/>
      <c r="BJ83" s="657"/>
      <c r="BK83" s="657"/>
      <c r="BL83" s="657"/>
      <c r="BM83" s="657"/>
      <c r="BN83" s="657"/>
      <c r="BO83" s="657"/>
      <c r="BP83" s="657"/>
      <c r="BQ83" s="657"/>
      <c r="BR83" s="657"/>
      <c r="BS83" s="657"/>
      <c r="BT83" s="657"/>
      <c r="BU83" s="657"/>
    </row>
    <row r="84" spans="1:73" s="288" customFormat="1" ht="57" thickBot="1">
      <c r="A84" s="659" t="s">
        <v>809</v>
      </c>
      <c r="B84" s="660"/>
      <c r="C84" s="399"/>
      <c r="D84" s="399">
        <v>11000000</v>
      </c>
      <c r="E84" s="399">
        <v>11000000</v>
      </c>
      <c r="F84" s="315">
        <f t="shared" si="11"/>
        <v>1</v>
      </c>
      <c r="G84" s="408"/>
      <c r="H84" s="408"/>
      <c r="I84" s="408"/>
      <c r="J84" s="408"/>
      <c r="K84" s="408"/>
      <c r="L84" s="408"/>
      <c r="M84" s="408"/>
      <c r="N84" s="408"/>
      <c r="O84" s="408"/>
      <c r="P84" s="408"/>
      <c r="Q84" s="408"/>
      <c r="R84" s="408"/>
      <c r="S84" s="408"/>
      <c r="T84" s="408"/>
      <c r="U84" s="408"/>
      <c r="V84" s="408"/>
      <c r="W84" s="408"/>
      <c r="X84" s="408"/>
      <c r="Y84" s="408"/>
      <c r="Z84" s="408"/>
      <c r="AA84" s="408"/>
      <c r="AB84" s="408"/>
      <c r="AC84" s="408"/>
      <c r="AD84" s="408"/>
      <c r="AE84" s="408"/>
      <c r="AF84" s="408"/>
      <c r="AG84" s="408"/>
      <c r="AH84" s="408"/>
      <c r="AI84" s="408"/>
      <c r="AJ84" s="408"/>
      <c r="AK84" s="408"/>
      <c r="AL84" s="408"/>
      <c r="AM84" s="408"/>
      <c r="AN84" s="408"/>
      <c r="AO84" s="408"/>
      <c r="AP84" s="408"/>
      <c r="AQ84" s="408"/>
      <c r="AR84" s="408"/>
      <c r="AS84" s="408"/>
      <c r="AT84" s="408"/>
      <c r="AU84" s="408"/>
      <c r="AV84" s="408"/>
      <c r="AW84" s="408"/>
      <c r="AX84" s="408"/>
      <c r="AY84" s="408"/>
      <c r="AZ84" s="408"/>
      <c r="BA84" s="408"/>
      <c r="BB84" s="408"/>
      <c r="BC84" s="408"/>
      <c r="BD84" s="408"/>
      <c r="BE84" s="408"/>
      <c r="BF84" s="408"/>
      <c r="BG84" s="408"/>
      <c r="BH84" s="408"/>
      <c r="BI84" s="408"/>
      <c r="BJ84" s="408"/>
      <c r="BK84" s="408"/>
      <c r="BL84" s="408"/>
      <c r="BM84" s="408"/>
      <c r="BN84" s="408"/>
      <c r="BO84" s="408"/>
      <c r="BP84" s="408"/>
      <c r="BQ84" s="408"/>
      <c r="BR84" s="408"/>
      <c r="BS84" s="408"/>
      <c r="BT84" s="408"/>
      <c r="BU84" s="408"/>
    </row>
    <row r="85" spans="1:73" s="288" customFormat="1" ht="93" customHeight="1" thickBot="1">
      <c r="A85" s="659" t="s">
        <v>810</v>
      </c>
      <c r="B85" s="660"/>
      <c r="C85" s="399"/>
      <c r="D85" s="399">
        <v>26666667</v>
      </c>
      <c r="E85" s="399">
        <v>12025</v>
      </c>
      <c r="F85" s="315">
        <f t="shared" si="11"/>
        <v>4.5093749436328132E-4</v>
      </c>
      <c r="G85" s="408"/>
      <c r="H85" s="408"/>
      <c r="I85" s="408"/>
      <c r="J85" s="408"/>
      <c r="K85" s="408"/>
      <c r="L85" s="408"/>
      <c r="M85" s="408"/>
      <c r="N85" s="408"/>
      <c r="O85" s="408"/>
      <c r="P85" s="408"/>
      <c r="Q85" s="408"/>
      <c r="R85" s="408"/>
      <c r="S85" s="408"/>
      <c r="T85" s="408"/>
      <c r="U85" s="408"/>
      <c r="V85" s="408"/>
      <c r="W85" s="408"/>
      <c r="X85" s="408"/>
      <c r="Y85" s="408"/>
      <c r="Z85" s="408"/>
      <c r="AA85" s="408"/>
      <c r="AB85" s="408"/>
      <c r="AC85" s="408"/>
      <c r="AD85" s="408"/>
      <c r="AE85" s="408"/>
      <c r="AF85" s="408"/>
      <c r="AG85" s="408"/>
      <c r="AH85" s="408"/>
      <c r="AI85" s="408"/>
      <c r="AJ85" s="408"/>
      <c r="AK85" s="408"/>
      <c r="AL85" s="408"/>
      <c r="AM85" s="408"/>
      <c r="AN85" s="408"/>
      <c r="AO85" s="408"/>
      <c r="AP85" s="408"/>
      <c r="AQ85" s="408"/>
      <c r="AR85" s="408"/>
      <c r="AS85" s="408"/>
      <c r="AT85" s="408"/>
      <c r="AU85" s="408"/>
      <c r="AV85" s="408"/>
      <c r="AW85" s="408"/>
      <c r="AX85" s="408"/>
      <c r="AY85" s="408"/>
      <c r="AZ85" s="408"/>
      <c r="BA85" s="408"/>
      <c r="BB85" s="408"/>
      <c r="BC85" s="408"/>
      <c r="BD85" s="408"/>
      <c r="BE85" s="408"/>
      <c r="BF85" s="408"/>
      <c r="BG85" s="408"/>
      <c r="BH85" s="408"/>
      <c r="BI85" s="408"/>
      <c r="BJ85" s="408"/>
      <c r="BK85" s="408"/>
      <c r="BL85" s="408"/>
      <c r="BM85" s="408"/>
      <c r="BN85" s="408"/>
      <c r="BO85" s="408"/>
      <c r="BP85" s="408"/>
      <c r="BQ85" s="408"/>
      <c r="BR85" s="408"/>
      <c r="BS85" s="408"/>
      <c r="BT85" s="408"/>
      <c r="BU85" s="408"/>
    </row>
    <row r="86" spans="1:73" s="288" customFormat="1" ht="78" customHeight="1" thickBot="1">
      <c r="A86" s="659" t="s">
        <v>811</v>
      </c>
      <c r="B86" s="660"/>
      <c r="C86" s="399"/>
      <c r="D86" s="399">
        <v>244000000</v>
      </c>
      <c r="E86" s="399">
        <v>12255851</v>
      </c>
      <c r="F86" s="315">
        <f t="shared" ref="F86:F91" si="12">E86/D86</f>
        <v>5.0228897540983607E-2</v>
      </c>
      <c r="G86" s="408"/>
      <c r="H86" s="408"/>
      <c r="I86" s="408"/>
      <c r="J86" s="408"/>
      <c r="K86" s="408"/>
      <c r="L86" s="408"/>
      <c r="M86" s="408"/>
      <c r="N86" s="408"/>
      <c r="O86" s="408"/>
      <c r="P86" s="408"/>
      <c r="Q86" s="408"/>
      <c r="R86" s="408"/>
      <c r="S86" s="408"/>
      <c r="T86" s="408"/>
      <c r="U86" s="408"/>
      <c r="V86" s="408"/>
      <c r="W86" s="408"/>
      <c r="X86" s="408"/>
      <c r="Y86" s="408"/>
      <c r="Z86" s="408"/>
      <c r="AA86" s="408"/>
      <c r="AB86" s="408"/>
      <c r="AC86" s="408"/>
      <c r="AD86" s="408"/>
      <c r="AE86" s="408"/>
      <c r="AF86" s="408"/>
      <c r="AG86" s="408"/>
      <c r="AH86" s="408"/>
      <c r="AI86" s="408"/>
      <c r="AJ86" s="408"/>
      <c r="AK86" s="408"/>
      <c r="AL86" s="408"/>
      <c r="AM86" s="408"/>
      <c r="AN86" s="408"/>
      <c r="AO86" s="408"/>
      <c r="AP86" s="408"/>
      <c r="AQ86" s="408"/>
      <c r="AR86" s="408"/>
      <c r="AS86" s="408"/>
      <c r="AT86" s="408"/>
      <c r="AU86" s="408"/>
      <c r="AV86" s="408"/>
      <c r="AW86" s="408"/>
      <c r="AX86" s="408"/>
      <c r="AY86" s="408"/>
      <c r="AZ86" s="408"/>
      <c r="BA86" s="408"/>
      <c r="BB86" s="408"/>
      <c r="BC86" s="408"/>
      <c r="BD86" s="408"/>
      <c r="BE86" s="408"/>
      <c r="BF86" s="408"/>
      <c r="BG86" s="408"/>
      <c r="BH86" s="408"/>
      <c r="BI86" s="408"/>
      <c r="BJ86" s="408"/>
      <c r="BK86" s="408"/>
      <c r="BL86" s="408"/>
      <c r="BM86" s="408"/>
      <c r="BN86" s="408"/>
      <c r="BO86" s="408"/>
      <c r="BP86" s="408"/>
      <c r="BQ86" s="408"/>
      <c r="BR86" s="408"/>
      <c r="BS86" s="408"/>
      <c r="BT86" s="408"/>
      <c r="BU86" s="408"/>
    </row>
    <row r="87" spans="1:73" s="288" customFormat="1" ht="33.75" customHeight="1" thickBot="1">
      <c r="A87" s="661" t="s">
        <v>919</v>
      </c>
      <c r="B87" s="662"/>
      <c r="C87" s="399"/>
      <c r="D87" s="399"/>
      <c r="E87" s="399">
        <f>1778000+317500</f>
        <v>2095500</v>
      </c>
      <c r="F87" s="569">
        <v>0</v>
      </c>
      <c r="G87" s="408"/>
      <c r="H87" s="408"/>
      <c r="I87" s="408"/>
      <c r="J87" s="408"/>
      <c r="K87" s="408"/>
      <c r="L87" s="408"/>
      <c r="M87" s="408"/>
      <c r="N87" s="408"/>
      <c r="O87" s="408"/>
      <c r="P87" s="408"/>
      <c r="Q87" s="408"/>
      <c r="R87" s="408"/>
      <c r="S87" s="408"/>
      <c r="T87" s="408"/>
      <c r="U87" s="408"/>
      <c r="V87" s="408"/>
      <c r="W87" s="408"/>
      <c r="X87" s="408"/>
      <c r="Y87" s="408"/>
      <c r="Z87" s="408"/>
      <c r="AA87" s="408"/>
      <c r="AB87" s="408"/>
      <c r="AC87" s="408"/>
      <c r="AD87" s="408"/>
      <c r="AE87" s="408"/>
      <c r="AF87" s="408"/>
      <c r="AG87" s="408"/>
      <c r="AH87" s="408"/>
      <c r="AI87" s="408"/>
      <c r="AJ87" s="408"/>
      <c r="AK87" s="408"/>
      <c r="AL87" s="408"/>
      <c r="AM87" s="408"/>
      <c r="AN87" s="408"/>
      <c r="AO87" s="408"/>
      <c r="AP87" s="408"/>
      <c r="AQ87" s="408"/>
      <c r="AR87" s="408"/>
      <c r="AS87" s="408"/>
      <c r="AT87" s="408"/>
      <c r="AU87" s="408"/>
      <c r="AV87" s="408"/>
      <c r="AW87" s="408"/>
      <c r="AX87" s="408"/>
      <c r="AY87" s="408"/>
      <c r="AZ87" s="408"/>
      <c r="BA87" s="408"/>
      <c r="BB87" s="408"/>
      <c r="BC87" s="408"/>
      <c r="BD87" s="408"/>
      <c r="BE87" s="408"/>
      <c r="BF87" s="408"/>
      <c r="BG87" s="408"/>
      <c r="BH87" s="408"/>
      <c r="BI87" s="408"/>
      <c r="BJ87" s="408"/>
      <c r="BK87" s="408"/>
      <c r="BL87" s="408"/>
      <c r="BM87" s="408"/>
      <c r="BN87" s="408"/>
      <c r="BO87" s="408"/>
      <c r="BP87" s="408"/>
      <c r="BQ87" s="408"/>
      <c r="BR87" s="408"/>
      <c r="BS87" s="408"/>
      <c r="BT87" s="408"/>
      <c r="BU87" s="408"/>
    </row>
    <row r="88" spans="1:73" s="288" customFormat="1" ht="52.5" customHeight="1" thickBot="1">
      <c r="A88" s="661" t="s">
        <v>925</v>
      </c>
      <c r="B88" s="662"/>
      <c r="C88" s="399"/>
      <c r="D88" s="399">
        <v>10000000</v>
      </c>
      <c r="E88" s="399">
        <v>0</v>
      </c>
      <c r="F88" s="315">
        <f t="shared" si="12"/>
        <v>0</v>
      </c>
      <c r="G88" s="408"/>
      <c r="H88" s="408"/>
      <c r="I88" s="408"/>
      <c r="J88" s="408"/>
      <c r="K88" s="408"/>
      <c r="L88" s="408"/>
      <c r="M88" s="408"/>
      <c r="N88" s="408"/>
      <c r="O88" s="408"/>
      <c r="P88" s="408"/>
      <c r="Q88" s="408"/>
      <c r="R88" s="408"/>
      <c r="S88" s="408"/>
      <c r="T88" s="408"/>
      <c r="U88" s="408"/>
      <c r="V88" s="408"/>
      <c r="W88" s="408"/>
      <c r="X88" s="408"/>
      <c r="Y88" s="408"/>
      <c r="Z88" s="408"/>
      <c r="AA88" s="408"/>
      <c r="AB88" s="408"/>
      <c r="AC88" s="408"/>
      <c r="AD88" s="408"/>
      <c r="AE88" s="408"/>
      <c r="AF88" s="408"/>
      <c r="AG88" s="408"/>
      <c r="AH88" s="408"/>
      <c r="AI88" s="408"/>
      <c r="AJ88" s="408"/>
      <c r="AK88" s="408"/>
      <c r="AL88" s="408"/>
      <c r="AM88" s="408"/>
      <c r="AN88" s="408"/>
      <c r="AO88" s="408"/>
      <c r="AP88" s="408"/>
      <c r="AQ88" s="408"/>
      <c r="AR88" s="408"/>
      <c r="AS88" s="408"/>
      <c r="AT88" s="408"/>
      <c r="AU88" s="408"/>
      <c r="AV88" s="408"/>
      <c r="AW88" s="408"/>
      <c r="AX88" s="408"/>
      <c r="AY88" s="408"/>
      <c r="AZ88" s="408"/>
      <c r="BA88" s="408"/>
      <c r="BB88" s="408"/>
      <c r="BC88" s="408"/>
      <c r="BD88" s="408"/>
      <c r="BE88" s="408"/>
      <c r="BF88" s="408"/>
      <c r="BG88" s="408"/>
      <c r="BH88" s="408"/>
      <c r="BI88" s="408"/>
      <c r="BJ88" s="408"/>
      <c r="BK88" s="408"/>
      <c r="BL88" s="408"/>
      <c r="BM88" s="408"/>
      <c r="BN88" s="408"/>
      <c r="BO88" s="408"/>
      <c r="BP88" s="408"/>
      <c r="BQ88" s="408"/>
      <c r="BR88" s="408"/>
      <c r="BS88" s="408"/>
      <c r="BT88" s="408"/>
      <c r="BU88" s="408"/>
    </row>
    <row r="89" spans="1:73" s="288" customFormat="1" ht="52.5" customHeight="1" thickBot="1">
      <c r="A89" s="661" t="s">
        <v>813</v>
      </c>
      <c r="B89" s="660"/>
      <c r="C89" s="399"/>
      <c r="D89" s="399">
        <v>4400000</v>
      </c>
      <c r="E89" s="399">
        <v>4400000</v>
      </c>
      <c r="F89" s="315">
        <f t="shared" si="12"/>
        <v>1</v>
      </c>
      <c r="G89" s="408"/>
      <c r="H89" s="408"/>
      <c r="I89" s="408"/>
      <c r="J89" s="408"/>
      <c r="K89" s="408"/>
      <c r="L89" s="408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  <c r="AA89" s="408"/>
      <c r="AB89" s="408"/>
      <c r="AC89" s="408"/>
      <c r="AD89" s="408"/>
      <c r="AE89" s="408"/>
      <c r="AF89" s="408"/>
      <c r="AG89" s="408"/>
      <c r="AH89" s="408"/>
      <c r="AI89" s="408"/>
      <c r="AJ89" s="408"/>
      <c r="AK89" s="408"/>
      <c r="AL89" s="408"/>
      <c r="AM89" s="408"/>
      <c r="AN89" s="408"/>
      <c r="AO89" s="408"/>
      <c r="AP89" s="408"/>
      <c r="AQ89" s="408"/>
      <c r="AR89" s="408"/>
      <c r="AS89" s="408"/>
      <c r="AT89" s="408"/>
      <c r="AU89" s="408"/>
      <c r="AV89" s="408"/>
      <c r="AW89" s="408"/>
      <c r="AX89" s="408"/>
      <c r="AY89" s="408"/>
      <c r="AZ89" s="408"/>
      <c r="BA89" s="408"/>
      <c r="BB89" s="408"/>
      <c r="BC89" s="408"/>
      <c r="BD89" s="408"/>
      <c r="BE89" s="408"/>
      <c r="BF89" s="408"/>
      <c r="BG89" s="408"/>
      <c r="BH89" s="408"/>
      <c r="BI89" s="408"/>
      <c r="BJ89" s="408"/>
      <c r="BK89" s="408"/>
      <c r="BL89" s="408"/>
      <c r="BM89" s="408"/>
      <c r="BN89" s="408"/>
      <c r="BO89" s="408"/>
      <c r="BP89" s="408"/>
      <c r="BQ89" s="408"/>
      <c r="BR89" s="408"/>
      <c r="BS89" s="408"/>
      <c r="BT89" s="408"/>
      <c r="BU89" s="408"/>
    </row>
    <row r="90" spans="1:73" s="288" customFormat="1" ht="33.75" customHeight="1" thickBot="1">
      <c r="A90" s="661" t="s">
        <v>920</v>
      </c>
      <c r="B90" s="662"/>
      <c r="C90" s="399"/>
      <c r="D90" s="399"/>
      <c r="E90" s="399">
        <v>2540000</v>
      </c>
      <c r="F90" s="569">
        <v>0</v>
      </c>
      <c r="G90" s="408"/>
      <c r="H90" s="408"/>
      <c r="I90" s="408"/>
      <c r="J90" s="408"/>
      <c r="K90" s="408"/>
      <c r="L90" s="408"/>
      <c r="M90" s="408"/>
      <c r="N90" s="408"/>
      <c r="O90" s="408"/>
      <c r="P90" s="408"/>
      <c r="Q90" s="408"/>
      <c r="R90" s="408"/>
      <c r="S90" s="408"/>
      <c r="T90" s="408"/>
      <c r="U90" s="408"/>
      <c r="V90" s="408"/>
      <c r="W90" s="408"/>
      <c r="X90" s="408"/>
      <c r="Y90" s="408"/>
      <c r="Z90" s="408"/>
      <c r="AA90" s="408"/>
      <c r="AB90" s="408"/>
      <c r="AC90" s="408"/>
      <c r="AD90" s="408"/>
      <c r="AE90" s="408"/>
      <c r="AF90" s="408"/>
      <c r="AG90" s="408"/>
      <c r="AH90" s="408"/>
      <c r="AI90" s="408"/>
      <c r="AJ90" s="408"/>
      <c r="AK90" s="408"/>
      <c r="AL90" s="408"/>
      <c r="AM90" s="408"/>
      <c r="AN90" s="408"/>
      <c r="AO90" s="408"/>
      <c r="AP90" s="408"/>
      <c r="AQ90" s="408"/>
      <c r="AR90" s="408"/>
      <c r="AS90" s="408"/>
      <c r="AT90" s="408"/>
      <c r="AU90" s="408"/>
      <c r="AV90" s="408"/>
      <c r="AW90" s="408"/>
      <c r="AX90" s="408"/>
      <c r="AY90" s="408"/>
      <c r="AZ90" s="408"/>
      <c r="BA90" s="408"/>
      <c r="BB90" s="408"/>
      <c r="BC90" s="408"/>
      <c r="BD90" s="408"/>
      <c r="BE90" s="408"/>
      <c r="BF90" s="408"/>
      <c r="BG90" s="408"/>
      <c r="BH90" s="408"/>
      <c r="BI90" s="408"/>
      <c r="BJ90" s="408"/>
      <c r="BK90" s="408"/>
      <c r="BL90" s="408"/>
      <c r="BM90" s="408"/>
      <c r="BN90" s="408"/>
      <c r="BO90" s="408"/>
      <c r="BP90" s="408"/>
      <c r="BQ90" s="408"/>
      <c r="BR90" s="408"/>
      <c r="BS90" s="408"/>
      <c r="BT90" s="408"/>
      <c r="BU90" s="408"/>
    </row>
    <row r="91" spans="1:73" s="288" customFormat="1" ht="52.5" customHeight="1" thickBot="1">
      <c r="A91" s="661" t="s">
        <v>871</v>
      </c>
      <c r="B91" s="660"/>
      <c r="C91" s="399"/>
      <c r="D91" s="399">
        <f>SUM(B92:B93)</f>
        <v>39999539</v>
      </c>
      <c r="E91" s="399">
        <v>0</v>
      </c>
      <c r="F91" s="315">
        <f t="shared" si="12"/>
        <v>0</v>
      </c>
      <c r="G91" s="408"/>
      <c r="H91" s="408"/>
      <c r="I91" s="408"/>
      <c r="J91" s="408"/>
      <c r="K91" s="408"/>
      <c r="L91" s="408"/>
      <c r="M91" s="408"/>
      <c r="N91" s="408"/>
      <c r="O91" s="408"/>
      <c r="P91" s="408"/>
      <c r="Q91" s="408"/>
      <c r="R91" s="408"/>
      <c r="S91" s="408"/>
      <c r="T91" s="408"/>
      <c r="U91" s="408"/>
      <c r="V91" s="408"/>
      <c r="W91" s="408"/>
      <c r="X91" s="408"/>
      <c r="Y91" s="408"/>
      <c r="Z91" s="408"/>
      <c r="AA91" s="408"/>
      <c r="AB91" s="408"/>
      <c r="AC91" s="408"/>
      <c r="AD91" s="408"/>
      <c r="AE91" s="408"/>
      <c r="AF91" s="408"/>
      <c r="AG91" s="408"/>
      <c r="AH91" s="408"/>
      <c r="AI91" s="408"/>
      <c r="AJ91" s="408"/>
      <c r="AK91" s="408"/>
      <c r="AL91" s="408"/>
      <c r="AM91" s="408"/>
      <c r="AN91" s="408"/>
      <c r="AO91" s="408"/>
      <c r="AP91" s="408"/>
      <c r="AQ91" s="408"/>
      <c r="AR91" s="408"/>
      <c r="AS91" s="408"/>
      <c r="AT91" s="408"/>
      <c r="AU91" s="408"/>
      <c r="AV91" s="408"/>
      <c r="AW91" s="408"/>
      <c r="AX91" s="408"/>
      <c r="AY91" s="408"/>
      <c r="AZ91" s="408"/>
      <c r="BA91" s="408"/>
      <c r="BB91" s="408"/>
      <c r="BC91" s="408"/>
      <c r="BD91" s="408"/>
      <c r="BE91" s="408"/>
      <c r="BF91" s="408"/>
      <c r="BG91" s="408"/>
      <c r="BH91" s="408"/>
      <c r="BI91" s="408"/>
      <c r="BJ91" s="408"/>
      <c r="BK91" s="408"/>
      <c r="BL91" s="408"/>
      <c r="BM91" s="408"/>
      <c r="BN91" s="408"/>
      <c r="BO91" s="408"/>
      <c r="BP91" s="408"/>
      <c r="BQ91" s="408"/>
      <c r="BR91" s="408"/>
      <c r="BS91" s="408"/>
      <c r="BT91" s="408"/>
      <c r="BU91" s="408"/>
    </row>
    <row r="92" spans="1:73" s="435" customFormat="1" ht="30" customHeight="1" thickBot="1">
      <c r="A92" s="653" t="s">
        <v>483</v>
      </c>
      <c r="B92" s="402">
        <v>29999539</v>
      </c>
      <c r="C92" s="394"/>
      <c r="D92" s="394"/>
      <c r="E92" s="394"/>
      <c r="F92" s="321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  <c r="AA92" s="278"/>
      <c r="AB92" s="278"/>
      <c r="AC92" s="278"/>
      <c r="AD92" s="278"/>
      <c r="AE92" s="278"/>
      <c r="AF92" s="278"/>
      <c r="AG92" s="278"/>
      <c r="AH92" s="278"/>
      <c r="AI92" s="278"/>
      <c r="AJ92" s="278"/>
      <c r="AK92" s="278"/>
      <c r="AL92" s="278"/>
      <c r="AM92" s="278"/>
      <c r="AN92" s="278"/>
      <c r="AO92" s="278"/>
      <c r="AP92" s="278"/>
      <c r="AQ92" s="278"/>
      <c r="AR92" s="278"/>
      <c r="AS92" s="278"/>
      <c r="AT92" s="278"/>
      <c r="AU92" s="278"/>
      <c r="AV92" s="278"/>
      <c r="AW92" s="278"/>
      <c r="AX92" s="278"/>
      <c r="AY92" s="278"/>
      <c r="AZ92" s="278"/>
      <c r="BA92" s="278"/>
      <c r="BB92" s="278"/>
      <c r="BC92" s="278"/>
      <c r="BD92" s="278"/>
      <c r="BE92" s="278"/>
      <c r="BF92" s="278"/>
      <c r="BG92" s="278"/>
      <c r="BH92" s="278"/>
      <c r="BI92" s="278"/>
      <c r="BJ92" s="278"/>
      <c r="BK92" s="278"/>
      <c r="BL92" s="278"/>
      <c r="BM92" s="278"/>
      <c r="BN92" s="278"/>
      <c r="BO92" s="278"/>
      <c r="BP92" s="278"/>
      <c r="BQ92" s="278"/>
      <c r="BR92" s="278"/>
      <c r="BS92" s="278"/>
      <c r="BT92" s="278"/>
      <c r="BU92" s="278"/>
    </row>
    <row r="93" spans="1:73" s="435" customFormat="1" ht="30" customHeight="1" thickBot="1">
      <c r="A93" s="653" t="s">
        <v>872</v>
      </c>
      <c r="B93" s="402">
        <v>10000000</v>
      </c>
      <c r="C93" s="394"/>
      <c r="D93" s="394"/>
      <c r="E93" s="394"/>
      <c r="F93" s="321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278"/>
      <c r="Z93" s="278"/>
      <c r="AA93" s="278"/>
      <c r="AB93" s="278"/>
      <c r="AC93" s="278"/>
      <c r="AD93" s="278"/>
      <c r="AE93" s="278"/>
      <c r="AF93" s="278"/>
      <c r="AG93" s="278"/>
      <c r="AH93" s="278"/>
      <c r="AI93" s="278"/>
      <c r="AJ93" s="278"/>
      <c r="AK93" s="278"/>
      <c r="AL93" s="278"/>
      <c r="AM93" s="278"/>
      <c r="AN93" s="278"/>
      <c r="AO93" s="278"/>
      <c r="AP93" s="278"/>
      <c r="AQ93" s="278"/>
      <c r="AR93" s="278"/>
      <c r="AS93" s="278"/>
      <c r="AT93" s="278"/>
      <c r="AU93" s="278"/>
      <c r="AV93" s="278"/>
      <c r="AW93" s="278"/>
      <c r="AX93" s="278"/>
      <c r="AY93" s="278"/>
      <c r="AZ93" s="278"/>
      <c r="BA93" s="278"/>
      <c r="BB93" s="278"/>
      <c r="BC93" s="278"/>
      <c r="BD93" s="278"/>
      <c r="BE93" s="278"/>
      <c r="BF93" s="278"/>
      <c r="BG93" s="278"/>
      <c r="BH93" s="278"/>
      <c r="BI93" s="278"/>
      <c r="BJ93" s="278"/>
      <c r="BK93" s="278"/>
      <c r="BL93" s="278"/>
      <c r="BM93" s="278"/>
      <c r="BN93" s="278"/>
      <c r="BO93" s="278"/>
      <c r="BP93" s="278"/>
      <c r="BQ93" s="278"/>
      <c r="BR93" s="278"/>
      <c r="BS93" s="278"/>
      <c r="BT93" s="278"/>
      <c r="BU93" s="278"/>
    </row>
    <row r="94" spans="1:73" s="288" customFormat="1" ht="38.25" customHeight="1" thickBot="1">
      <c r="A94" s="638" t="s">
        <v>873</v>
      </c>
      <c r="B94" s="423"/>
      <c r="C94" s="399"/>
      <c r="D94" s="399">
        <v>22356945</v>
      </c>
      <c r="E94" s="399">
        <v>22356495</v>
      </c>
      <c r="F94" s="315">
        <f t="shared" ref="F94:F108" si="13">E94/D94</f>
        <v>0.99997987202634353</v>
      </c>
      <c r="G94" s="408"/>
      <c r="H94" s="408"/>
      <c r="I94" s="408"/>
      <c r="J94" s="408"/>
      <c r="K94" s="408"/>
      <c r="L94" s="408"/>
      <c r="M94" s="408"/>
      <c r="N94" s="408"/>
      <c r="O94" s="408"/>
      <c r="P94" s="408"/>
      <c r="Q94" s="408"/>
      <c r="R94" s="408"/>
      <c r="S94" s="408"/>
      <c r="T94" s="408"/>
      <c r="U94" s="408"/>
      <c r="V94" s="408"/>
      <c r="W94" s="408"/>
      <c r="X94" s="408"/>
      <c r="Y94" s="408"/>
      <c r="Z94" s="408"/>
      <c r="AA94" s="408"/>
      <c r="AB94" s="408"/>
      <c r="AC94" s="408"/>
      <c r="AD94" s="408"/>
      <c r="AE94" s="408"/>
      <c r="AF94" s="408"/>
      <c r="AG94" s="408"/>
      <c r="AH94" s="408"/>
      <c r="AI94" s="408"/>
      <c r="AJ94" s="408"/>
      <c r="AK94" s="408"/>
      <c r="AL94" s="408"/>
      <c r="AM94" s="408"/>
      <c r="AN94" s="408"/>
      <c r="AO94" s="408"/>
      <c r="AP94" s="408"/>
      <c r="AQ94" s="408"/>
      <c r="AR94" s="408"/>
      <c r="AS94" s="408"/>
      <c r="AT94" s="408"/>
      <c r="AU94" s="408"/>
      <c r="AV94" s="408"/>
      <c r="AW94" s="408"/>
      <c r="AX94" s="408"/>
      <c r="AY94" s="408"/>
      <c r="AZ94" s="408"/>
      <c r="BA94" s="408"/>
      <c r="BB94" s="408"/>
      <c r="BC94" s="408"/>
      <c r="BD94" s="408"/>
      <c r="BE94" s="408"/>
      <c r="BF94" s="408"/>
      <c r="BG94" s="408"/>
      <c r="BH94" s="408"/>
      <c r="BI94" s="408"/>
      <c r="BJ94" s="408"/>
      <c r="BK94" s="408"/>
      <c r="BL94" s="408"/>
      <c r="BM94" s="408"/>
      <c r="BN94" s="408"/>
      <c r="BO94" s="408"/>
      <c r="BP94" s="408"/>
      <c r="BQ94" s="408"/>
      <c r="BR94" s="408"/>
      <c r="BS94" s="408"/>
      <c r="BT94" s="408"/>
      <c r="BU94" s="408"/>
    </row>
    <row r="95" spans="1:73" s="285" customFormat="1" ht="66.75" customHeight="1" thickBot="1">
      <c r="A95" s="537" t="s">
        <v>456</v>
      </c>
      <c r="B95" s="550"/>
      <c r="C95" s="539" t="s">
        <v>343</v>
      </c>
      <c r="D95" s="539" t="s">
        <v>344</v>
      </c>
      <c r="E95" s="539" t="s">
        <v>285</v>
      </c>
      <c r="F95" s="568" t="s">
        <v>286</v>
      </c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</row>
    <row r="96" spans="1:73" s="288" customFormat="1" ht="52.5" customHeight="1" thickBot="1">
      <c r="A96" s="659" t="s">
        <v>874</v>
      </c>
      <c r="B96" s="663"/>
      <c r="C96" s="399"/>
      <c r="D96" s="543">
        <f>18534579+3001622-3001975</f>
        <v>18534226</v>
      </c>
      <c r="E96" s="543">
        <v>0</v>
      </c>
      <c r="F96" s="315">
        <f t="shared" si="13"/>
        <v>0</v>
      </c>
      <c r="G96" s="408"/>
      <c r="H96" s="408"/>
      <c r="I96" s="408"/>
      <c r="J96" s="408"/>
      <c r="K96" s="408"/>
      <c r="L96" s="408"/>
      <c r="M96" s="408"/>
      <c r="N96" s="408"/>
      <c r="O96" s="408"/>
      <c r="P96" s="408"/>
      <c r="Q96" s="408"/>
      <c r="R96" s="408"/>
      <c r="S96" s="408"/>
      <c r="T96" s="408"/>
      <c r="U96" s="408"/>
      <c r="V96" s="408"/>
      <c r="W96" s="408"/>
      <c r="X96" s="408"/>
      <c r="Y96" s="408"/>
      <c r="Z96" s="408"/>
      <c r="AA96" s="408"/>
      <c r="AB96" s="408"/>
      <c r="AC96" s="408"/>
      <c r="AD96" s="408"/>
      <c r="AE96" s="408"/>
      <c r="AF96" s="408"/>
      <c r="AG96" s="408"/>
      <c r="AH96" s="408"/>
      <c r="AI96" s="408"/>
      <c r="AJ96" s="408"/>
      <c r="AK96" s="408"/>
      <c r="AL96" s="408"/>
      <c r="AM96" s="408"/>
      <c r="AN96" s="408"/>
      <c r="AO96" s="408"/>
      <c r="AP96" s="408"/>
      <c r="AQ96" s="408"/>
      <c r="AR96" s="408"/>
      <c r="AS96" s="408"/>
      <c r="AT96" s="408"/>
      <c r="AU96" s="408"/>
      <c r="AV96" s="408"/>
      <c r="AW96" s="408"/>
      <c r="AX96" s="408"/>
      <c r="AY96" s="408"/>
      <c r="AZ96" s="408"/>
      <c r="BA96" s="408"/>
      <c r="BB96" s="408"/>
      <c r="BC96" s="408"/>
      <c r="BD96" s="408"/>
      <c r="BE96" s="408"/>
      <c r="BF96" s="408"/>
      <c r="BG96" s="408"/>
      <c r="BH96" s="408"/>
      <c r="BI96" s="408"/>
      <c r="BJ96" s="408"/>
      <c r="BK96" s="408"/>
      <c r="BL96" s="408"/>
      <c r="BM96" s="408"/>
      <c r="BN96" s="408"/>
      <c r="BO96" s="408"/>
      <c r="BP96" s="408"/>
      <c r="BQ96" s="408"/>
      <c r="BR96" s="408"/>
      <c r="BS96" s="408"/>
      <c r="BT96" s="408"/>
      <c r="BU96" s="408"/>
    </row>
    <row r="97" spans="1:73" s="652" customFormat="1" ht="59.25" customHeight="1" thickBot="1">
      <c r="A97" s="638" t="s">
        <v>875</v>
      </c>
      <c r="B97" s="639"/>
      <c r="C97" s="399"/>
      <c r="D97" s="543">
        <f>278000</f>
        <v>278000</v>
      </c>
      <c r="E97" s="543">
        <v>0</v>
      </c>
      <c r="F97" s="315">
        <f t="shared" si="13"/>
        <v>0</v>
      </c>
      <c r="G97" s="651"/>
      <c r="H97" s="651"/>
      <c r="I97" s="651"/>
      <c r="J97" s="651"/>
      <c r="K97" s="651"/>
      <c r="L97" s="651"/>
      <c r="M97" s="651"/>
      <c r="N97" s="651"/>
      <c r="O97" s="651"/>
      <c r="P97" s="651"/>
      <c r="Q97" s="651"/>
      <c r="R97" s="651"/>
      <c r="S97" s="651"/>
      <c r="T97" s="651"/>
      <c r="U97" s="651"/>
      <c r="V97" s="651"/>
      <c r="W97" s="651"/>
      <c r="X97" s="651"/>
      <c r="Y97" s="651"/>
      <c r="Z97" s="651"/>
      <c r="AA97" s="651"/>
      <c r="AB97" s="651"/>
      <c r="AC97" s="651"/>
      <c r="AD97" s="651"/>
      <c r="AE97" s="651"/>
      <c r="AF97" s="651"/>
      <c r="AG97" s="651"/>
      <c r="AH97" s="651"/>
      <c r="AI97" s="651"/>
      <c r="AJ97" s="651"/>
      <c r="AK97" s="651"/>
      <c r="AL97" s="651"/>
      <c r="AM97" s="651"/>
      <c r="AN97" s="651"/>
      <c r="AO97" s="651"/>
      <c r="AP97" s="651"/>
      <c r="AQ97" s="651"/>
      <c r="AR97" s="651"/>
      <c r="AS97" s="651"/>
      <c r="AT97" s="651"/>
      <c r="AU97" s="651"/>
      <c r="AV97" s="651"/>
      <c r="AW97" s="651"/>
      <c r="AX97" s="651"/>
      <c r="AY97" s="651"/>
      <c r="AZ97" s="651"/>
      <c r="BA97" s="651"/>
      <c r="BB97" s="651"/>
      <c r="BC97" s="651"/>
      <c r="BD97" s="651"/>
      <c r="BE97" s="651"/>
      <c r="BF97" s="651"/>
      <c r="BG97" s="651"/>
      <c r="BH97" s="651"/>
      <c r="BI97" s="651"/>
      <c r="BJ97" s="651"/>
      <c r="BK97" s="651"/>
      <c r="BL97" s="651"/>
      <c r="BM97" s="651"/>
      <c r="BN97" s="651"/>
      <c r="BO97" s="651"/>
      <c r="BP97" s="651"/>
      <c r="BQ97" s="651"/>
      <c r="BR97" s="651"/>
      <c r="BS97" s="651"/>
      <c r="BT97" s="651"/>
      <c r="BU97" s="651"/>
    </row>
    <row r="98" spans="1:73" s="658" customFormat="1" ht="38.25" customHeight="1" thickBot="1">
      <c r="A98" s="655" t="s">
        <v>876</v>
      </c>
      <c r="B98" s="656"/>
      <c r="C98" s="399"/>
      <c r="D98" s="543">
        <f>7181000</f>
        <v>7181000</v>
      </c>
      <c r="E98" s="543">
        <v>0</v>
      </c>
      <c r="F98" s="315">
        <f t="shared" si="13"/>
        <v>0</v>
      </c>
      <c r="G98" s="657"/>
      <c r="H98" s="657"/>
      <c r="I98" s="657"/>
      <c r="J98" s="657"/>
      <c r="K98" s="657"/>
      <c r="L98" s="657"/>
      <c r="M98" s="657"/>
      <c r="N98" s="657"/>
      <c r="O98" s="657"/>
      <c r="P98" s="657"/>
      <c r="Q98" s="657"/>
      <c r="R98" s="657"/>
      <c r="S98" s="657"/>
      <c r="T98" s="657"/>
      <c r="U98" s="657"/>
      <c r="V98" s="657"/>
      <c r="W98" s="657"/>
      <c r="X98" s="657"/>
      <c r="Y98" s="657"/>
      <c r="Z98" s="657"/>
      <c r="AA98" s="657"/>
      <c r="AB98" s="657"/>
      <c r="AC98" s="657"/>
      <c r="AD98" s="657"/>
      <c r="AE98" s="657"/>
      <c r="AF98" s="657"/>
      <c r="AG98" s="657"/>
      <c r="AH98" s="657"/>
      <c r="AI98" s="657"/>
      <c r="AJ98" s="657"/>
      <c r="AK98" s="657"/>
      <c r="AL98" s="657"/>
      <c r="AM98" s="657"/>
      <c r="AN98" s="657"/>
      <c r="AO98" s="657"/>
      <c r="AP98" s="657"/>
      <c r="AQ98" s="657"/>
      <c r="AR98" s="657"/>
      <c r="AS98" s="657"/>
      <c r="AT98" s="657"/>
      <c r="AU98" s="657"/>
      <c r="AV98" s="657"/>
      <c r="AW98" s="657"/>
      <c r="AX98" s="657"/>
      <c r="AY98" s="657"/>
      <c r="AZ98" s="657"/>
      <c r="BA98" s="657"/>
      <c r="BB98" s="657"/>
      <c r="BC98" s="657"/>
      <c r="BD98" s="657"/>
      <c r="BE98" s="657"/>
      <c r="BF98" s="657"/>
      <c r="BG98" s="657"/>
      <c r="BH98" s="657"/>
      <c r="BI98" s="657"/>
      <c r="BJ98" s="657"/>
      <c r="BK98" s="657"/>
      <c r="BL98" s="657"/>
      <c r="BM98" s="657"/>
      <c r="BN98" s="657"/>
      <c r="BO98" s="657"/>
      <c r="BP98" s="657"/>
      <c r="BQ98" s="657"/>
      <c r="BR98" s="657"/>
      <c r="BS98" s="657"/>
      <c r="BT98" s="657"/>
      <c r="BU98" s="657"/>
    </row>
    <row r="99" spans="1:73" s="652" customFormat="1" ht="38.25" customHeight="1" thickBot="1">
      <c r="A99" s="638" t="s">
        <v>877</v>
      </c>
      <c r="B99" s="639"/>
      <c r="C99" s="399"/>
      <c r="D99" s="543">
        <v>40000</v>
      </c>
      <c r="E99" s="543">
        <v>40000</v>
      </c>
      <c r="F99" s="315">
        <f t="shared" si="13"/>
        <v>1</v>
      </c>
      <c r="G99" s="651"/>
      <c r="H99" s="651"/>
      <c r="I99" s="651"/>
      <c r="J99" s="651"/>
      <c r="K99" s="651"/>
      <c r="L99" s="651"/>
      <c r="M99" s="651"/>
      <c r="N99" s="651"/>
      <c r="O99" s="651"/>
      <c r="P99" s="651"/>
      <c r="Q99" s="651"/>
      <c r="R99" s="651"/>
      <c r="S99" s="651"/>
      <c r="T99" s="651"/>
      <c r="U99" s="651"/>
      <c r="V99" s="651"/>
      <c r="W99" s="651"/>
      <c r="X99" s="651"/>
      <c r="Y99" s="651"/>
      <c r="Z99" s="651"/>
      <c r="AA99" s="651"/>
      <c r="AB99" s="651"/>
      <c r="AC99" s="651"/>
      <c r="AD99" s="651"/>
      <c r="AE99" s="651"/>
      <c r="AF99" s="651"/>
      <c r="AG99" s="651"/>
      <c r="AH99" s="651"/>
      <c r="AI99" s="651"/>
      <c r="AJ99" s="651"/>
      <c r="AK99" s="651"/>
      <c r="AL99" s="651"/>
      <c r="AM99" s="651"/>
      <c r="AN99" s="651"/>
      <c r="AO99" s="651"/>
      <c r="AP99" s="651"/>
      <c r="AQ99" s="651"/>
      <c r="AR99" s="651"/>
      <c r="AS99" s="651"/>
      <c r="AT99" s="651"/>
      <c r="AU99" s="651"/>
      <c r="AV99" s="651"/>
      <c r="AW99" s="651"/>
      <c r="AX99" s="651"/>
      <c r="AY99" s="651"/>
      <c r="AZ99" s="651"/>
      <c r="BA99" s="651"/>
      <c r="BB99" s="651"/>
      <c r="BC99" s="651"/>
      <c r="BD99" s="651"/>
      <c r="BE99" s="651"/>
      <c r="BF99" s="651"/>
      <c r="BG99" s="651"/>
      <c r="BH99" s="651"/>
      <c r="BI99" s="651"/>
      <c r="BJ99" s="651"/>
      <c r="BK99" s="651"/>
      <c r="BL99" s="651"/>
      <c r="BM99" s="651"/>
      <c r="BN99" s="651"/>
      <c r="BO99" s="651"/>
      <c r="BP99" s="651"/>
      <c r="BQ99" s="651"/>
      <c r="BR99" s="651"/>
      <c r="BS99" s="651"/>
      <c r="BT99" s="651"/>
      <c r="BU99" s="651"/>
    </row>
    <row r="100" spans="1:73" s="401" customFormat="1" ht="56.25" customHeight="1" thickBot="1">
      <c r="A100" s="638" t="s">
        <v>664</v>
      </c>
      <c r="B100" s="398"/>
      <c r="C100" s="399">
        <v>19050000</v>
      </c>
      <c r="D100" s="399">
        <f t="shared" si="10"/>
        <v>19050000</v>
      </c>
      <c r="E100" s="399">
        <v>29050000</v>
      </c>
      <c r="F100" s="315">
        <f t="shared" si="13"/>
        <v>1.5249343832020998</v>
      </c>
      <c r="G100" s="400"/>
      <c r="H100" s="400"/>
      <c r="I100" s="400"/>
      <c r="J100" s="400"/>
      <c r="K100" s="400"/>
      <c r="L100" s="400"/>
      <c r="M100" s="400"/>
      <c r="N100" s="400"/>
      <c r="O100" s="400"/>
      <c r="P100" s="400"/>
      <c r="Q100" s="400"/>
      <c r="R100" s="400"/>
      <c r="S100" s="400"/>
      <c r="T100" s="400"/>
      <c r="U100" s="400"/>
      <c r="V100" s="400"/>
      <c r="W100" s="400"/>
      <c r="X100" s="400"/>
      <c r="Y100" s="400"/>
      <c r="Z100" s="400"/>
      <c r="AA100" s="400"/>
      <c r="AB100" s="400"/>
      <c r="AC100" s="400"/>
      <c r="AD100" s="400"/>
      <c r="AE100" s="400"/>
      <c r="AF100" s="400"/>
      <c r="AG100" s="400"/>
      <c r="AH100" s="400"/>
      <c r="AI100" s="400"/>
      <c r="AJ100" s="400"/>
      <c r="AK100" s="400"/>
      <c r="AL100" s="400"/>
      <c r="AM100" s="400"/>
      <c r="AN100" s="400"/>
      <c r="AO100" s="400"/>
      <c r="AP100" s="400"/>
      <c r="AQ100" s="400"/>
      <c r="AR100" s="400"/>
      <c r="AS100" s="400"/>
      <c r="AT100" s="400"/>
      <c r="AU100" s="400"/>
      <c r="AV100" s="400"/>
      <c r="AW100" s="400"/>
      <c r="AX100" s="400"/>
      <c r="AY100" s="400"/>
      <c r="AZ100" s="400"/>
      <c r="BA100" s="400"/>
      <c r="BB100" s="400"/>
      <c r="BC100" s="400"/>
      <c r="BD100" s="400"/>
      <c r="BE100" s="400"/>
      <c r="BF100" s="400"/>
      <c r="BG100" s="400"/>
      <c r="BH100" s="400"/>
      <c r="BI100" s="400"/>
      <c r="BJ100" s="400"/>
      <c r="BK100" s="400"/>
      <c r="BL100" s="400"/>
      <c r="BM100" s="400"/>
      <c r="BN100" s="400"/>
      <c r="BO100" s="400"/>
      <c r="BP100" s="400"/>
      <c r="BQ100" s="400"/>
      <c r="BR100" s="400"/>
      <c r="BS100" s="400"/>
      <c r="BT100" s="400"/>
      <c r="BU100" s="400"/>
    </row>
    <row r="101" spans="1:73" s="396" customFormat="1" ht="27.75" customHeight="1" thickBot="1">
      <c r="A101" s="638" t="s">
        <v>878</v>
      </c>
      <c r="B101" s="398"/>
      <c r="C101" s="399"/>
      <c r="D101" s="543">
        <v>206049</v>
      </c>
      <c r="E101" s="543">
        <v>206049</v>
      </c>
      <c r="F101" s="315">
        <f t="shared" si="13"/>
        <v>1</v>
      </c>
      <c r="G101" s="395"/>
      <c r="H101" s="395"/>
      <c r="I101" s="395"/>
      <c r="J101" s="395"/>
      <c r="K101" s="395"/>
      <c r="L101" s="395"/>
      <c r="M101" s="395"/>
      <c r="N101" s="395"/>
      <c r="O101" s="395"/>
      <c r="P101" s="395"/>
      <c r="Q101" s="395"/>
      <c r="R101" s="395"/>
      <c r="S101" s="395"/>
      <c r="T101" s="395"/>
      <c r="U101" s="395"/>
      <c r="V101" s="395"/>
      <c r="W101" s="395"/>
      <c r="X101" s="395"/>
      <c r="Y101" s="395"/>
      <c r="Z101" s="395"/>
      <c r="AA101" s="395"/>
      <c r="AB101" s="395"/>
      <c r="AC101" s="395"/>
      <c r="AD101" s="395"/>
      <c r="AE101" s="395"/>
      <c r="AF101" s="395"/>
      <c r="AG101" s="395"/>
      <c r="AH101" s="395"/>
      <c r="AI101" s="395"/>
      <c r="AJ101" s="395"/>
      <c r="AK101" s="395"/>
      <c r="AL101" s="395"/>
      <c r="AM101" s="395"/>
      <c r="AN101" s="395"/>
      <c r="AO101" s="395"/>
      <c r="AP101" s="395"/>
      <c r="AQ101" s="395"/>
      <c r="AR101" s="395"/>
      <c r="AS101" s="395"/>
      <c r="AT101" s="395"/>
      <c r="AU101" s="395"/>
      <c r="AV101" s="395"/>
      <c r="AW101" s="395"/>
      <c r="AX101" s="395"/>
      <c r="AY101" s="395"/>
      <c r="AZ101" s="395"/>
      <c r="BA101" s="395"/>
      <c r="BB101" s="395"/>
      <c r="BC101" s="395"/>
      <c r="BD101" s="395"/>
      <c r="BE101" s="395"/>
      <c r="BF101" s="395"/>
      <c r="BG101" s="395"/>
      <c r="BH101" s="395"/>
      <c r="BI101" s="395"/>
      <c r="BJ101" s="395"/>
      <c r="BK101" s="395"/>
      <c r="BL101" s="395"/>
      <c r="BM101" s="395"/>
      <c r="BN101" s="395"/>
      <c r="BO101" s="395"/>
      <c r="BP101" s="395"/>
      <c r="BQ101" s="395"/>
      <c r="BR101" s="395"/>
      <c r="BS101" s="395"/>
      <c r="BT101" s="395"/>
      <c r="BU101" s="395"/>
    </row>
    <row r="102" spans="1:73" s="396" customFormat="1" ht="39.75" customHeight="1" thickBot="1">
      <c r="A102" s="638" t="s">
        <v>484</v>
      </c>
      <c r="B102" s="398"/>
      <c r="C102" s="399">
        <v>100000000</v>
      </c>
      <c r="D102" s="399">
        <f>SUM(B103)</f>
        <v>125009957</v>
      </c>
      <c r="E102" s="399">
        <v>125009957</v>
      </c>
      <c r="F102" s="315">
        <f t="shared" si="13"/>
        <v>1</v>
      </c>
      <c r="G102" s="395"/>
      <c r="H102" s="395"/>
      <c r="I102" s="395"/>
      <c r="J102" s="395"/>
      <c r="K102" s="395"/>
      <c r="L102" s="395"/>
      <c r="M102" s="395"/>
      <c r="N102" s="395"/>
      <c r="O102" s="395"/>
      <c r="P102" s="395"/>
      <c r="Q102" s="395"/>
      <c r="R102" s="395"/>
      <c r="S102" s="395"/>
      <c r="T102" s="395"/>
      <c r="U102" s="395"/>
      <c r="V102" s="395"/>
      <c r="W102" s="395"/>
      <c r="X102" s="395"/>
      <c r="Y102" s="395"/>
      <c r="Z102" s="395"/>
      <c r="AA102" s="395"/>
      <c r="AB102" s="395"/>
      <c r="AC102" s="395"/>
      <c r="AD102" s="395"/>
      <c r="AE102" s="395"/>
      <c r="AF102" s="395"/>
      <c r="AG102" s="395"/>
      <c r="AH102" s="395"/>
      <c r="AI102" s="395"/>
      <c r="AJ102" s="395"/>
      <c r="AK102" s="395"/>
      <c r="AL102" s="395"/>
      <c r="AM102" s="395"/>
      <c r="AN102" s="395"/>
      <c r="AO102" s="395"/>
      <c r="AP102" s="395"/>
      <c r="AQ102" s="395"/>
      <c r="AR102" s="395"/>
      <c r="AS102" s="395"/>
      <c r="AT102" s="395"/>
      <c r="AU102" s="395"/>
      <c r="AV102" s="395"/>
      <c r="AW102" s="395"/>
      <c r="AX102" s="395"/>
      <c r="AY102" s="395"/>
      <c r="AZ102" s="395"/>
      <c r="BA102" s="395"/>
      <c r="BB102" s="395"/>
      <c r="BC102" s="395"/>
      <c r="BD102" s="395"/>
      <c r="BE102" s="395"/>
      <c r="BF102" s="395"/>
      <c r="BG102" s="395"/>
      <c r="BH102" s="395"/>
      <c r="BI102" s="395"/>
      <c r="BJ102" s="395"/>
      <c r="BK102" s="395"/>
      <c r="BL102" s="395"/>
      <c r="BM102" s="395"/>
      <c r="BN102" s="395"/>
      <c r="BO102" s="395"/>
      <c r="BP102" s="395"/>
      <c r="BQ102" s="395"/>
      <c r="BR102" s="395"/>
      <c r="BS102" s="395"/>
      <c r="BT102" s="395"/>
      <c r="BU102" s="395"/>
    </row>
    <row r="103" spans="1:73" s="396" customFormat="1" ht="39.75" customHeight="1" thickBot="1">
      <c r="A103" s="397" t="s">
        <v>485</v>
      </c>
      <c r="B103" s="393">
        <f>100000000+10009957+15000000</f>
        <v>125009957</v>
      </c>
      <c r="C103" s="394"/>
      <c r="D103" s="394"/>
      <c r="E103" s="394"/>
      <c r="F103" s="321"/>
      <c r="G103" s="395"/>
      <c r="H103" s="395"/>
      <c r="I103" s="395"/>
      <c r="J103" s="395"/>
      <c r="K103" s="395"/>
      <c r="L103" s="395"/>
      <c r="M103" s="395"/>
      <c r="N103" s="395"/>
      <c r="O103" s="395"/>
      <c r="P103" s="395"/>
      <c r="Q103" s="395"/>
      <c r="R103" s="395"/>
      <c r="S103" s="395"/>
      <c r="T103" s="395"/>
      <c r="U103" s="395"/>
      <c r="V103" s="395"/>
      <c r="W103" s="395"/>
      <c r="X103" s="395"/>
      <c r="Y103" s="395"/>
      <c r="Z103" s="395"/>
      <c r="AA103" s="395"/>
      <c r="AB103" s="395"/>
      <c r="AC103" s="395"/>
      <c r="AD103" s="395"/>
      <c r="AE103" s="395"/>
      <c r="AF103" s="395"/>
      <c r="AG103" s="395"/>
      <c r="AH103" s="395"/>
      <c r="AI103" s="395"/>
      <c r="AJ103" s="395"/>
      <c r="AK103" s="395"/>
      <c r="AL103" s="395"/>
      <c r="AM103" s="395"/>
      <c r="AN103" s="395"/>
      <c r="AO103" s="395"/>
      <c r="AP103" s="395"/>
      <c r="AQ103" s="395"/>
      <c r="AR103" s="395"/>
      <c r="AS103" s="395"/>
      <c r="AT103" s="395"/>
      <c r="AU103" s="395"/>
      <c r="AV103" s="395"/>
      <c r="AW103" s="395"/>
      <c r="AX103" s="395"/>
      <c r="AY103" s="395"/>
      <c r="AZ103" s="395"/>
      <c r="BA103" s="395"/>
      <c r="BB103" s="395"/>
      <c r="BC103" s="395"/>
      <c r="BD103" s="395"/>
      <c r="BE103" s="395"/>
      <c r="BF103" s="395"/>
      <c r="BG103" s="395"/>
      <c r="BH103" s="395"/>
      <c r="BI103" s="395"/>
      <c r="BJ103" s="395"/>
      <c r="BK103" s="395"/>
      <c r="BL103" s="395"/>
      <c r="BM103" s="395"/>
      <c r="BN103" s="395"/>
      <c r="BO103" s="395"/>
      <c r="BP103" s="395"/>
      <c r="BQ103" s="395"/>
      <c r="BR103" s="395"/>
      <c r="BS103" s="395"/>
      <c r="BT103" s="395"/>
      <c r="BU103" s="395"/>
    </row>
    <row r="104" spans="1:73" s="401" customFormat="1" ht="39.75" customHeight="1" thickBot="1">
      <c r="A104" s="638" t="s">
        <v>879</v>
      </c>
      <c r="B104" s="398"/>
      <c r="C104" s="399"/>
      <c r="D104" s="399">
        <v>9969500</v>
      </c>
      <c r="E104" s="399">
        <f>1614000+8355500</f>
        <v>9969500</v>
      </c>
      <c r="F104" s="315">
        <f t="shared" si="13"/>
        <v>1</v>
      </c>
      <c r="G104" s="400"/>
      <c r="H104" s="400"/>
      <c r="I104" s="400"/>
      <c r="J104" s="400"/>
      <c r="K104" s="400"/>
      <c r="L104" s="400"/>
      <c r="M104" s="400"/>
      <c r="N104" s="400"/>
      <c r="O104" s="400"/>
      <c r="P104" s="400"/>
      <c r="Q104" s="400"/>
      <c r="R104" s="400"/>
      <c r="S104" s="400"/>
      <c r="T104" s="400"/>
      <c r="U104" s="400"/>
      <c r="V104" s="400"/>
      <c r="W104" s="400"/>
      <c r="X104" s="400"/>
      <c r="Y104" s="400"/>
      <c r="Z104" s="400"/>
      <c r="AA104" s="400"/>
      <c r="AB104" s="400"/>
      <c r="AC104" s="400"/>
      <c r="AD104" s="400"/>
      <c r="AE104" s="400"/>
      <c r="AF104" s="400"/>
      <c r="AG104" s="400"/>
      <c r="AH104" s="400"/>
      <c r="AI104" s="400"/>
      <c r="AJ104" s="400"/>
      <c r="AK104" s="400"/>
      <c r="AL104" s="400"/>
      <c r="AM104" s="400"/>
      <c r="AN104" s="400"/>
      <c r="AO104" s="400"/>
      <c r="AP104" s="400"/>
      <c r="AQ104" s="400"/>
      <c r="AR104" s="400"/>
      <c r="AS104" s="400"/>
      <c r="AT104" s="400"/>
      <c r="AU104" s="400"/>
      <c r="AV104" s="400"/>
      <c r="AW104" s="400"/>
      <c r="AX104" s="400"/>
      <c r="AY104" s="400"/>
      <c r="AZ104" s="400"/>
      <c r="BA104" s="400"/>
      <c r="BB104" s="400"/>
      <c r="BC104" s="400"/>
      <c r="BD104" s="400"/>
      <c r="BE104" s="400"/>
      <c r="BF104" s="400"/>
      <c r="BG104" s="400"/>
      <c r="BH104" s="400"/>
      <c r="BI104" s="400"/>
      <c r="BJ104" s="400"/>
      <c r="BK104" s="400"/>
      <c r="BL104" s="400"/>
      <c r="BM104" s="400"/>
      <c r="BN104" s="400"/>
      <c r="BO104" s="400"/>
      <c r="BP104" s="400"/>
      <c r="BQ104" s="400"/>
      <c r="BR104" s="400"/>
      <c r="BS104" s="400"/>
      <c r="BT104" s="400"/>
      <c r="BU104" s="400"/>
    </row>
    <row r="105" spans="1:73" s="401" customFormat="1" ht="39.75" customHeight="1" thickBot="1">
      <c r="A105" s="638" t="s">
        <v>880</v>
      </c>
      <c r="B105" s="398"/>
      <c r="C105" s="399"/>
      <c r="D105" s="399">
        <v>705300</v>
      </c>
      <c r="E105" s="399">
        <f>600000+105300+444500</f>
        <v>1149800</v>
      </c>
      <c r="F105" s="315">
        <f t="shared" si="13"/>
        <v>1.6302282716574508</v>
      </c>
      <c r="G105" s="400"/>
      <c r="H105" s="400"/>
      <c r="I105" s="400"/>
      <c r="J105" s="400"/>
      <c r="K105" s="400"/>
      <c r="L105" s="400"/>
      <c r="M105" s="400"/>
      <c r="N105" s="400"/>
      <c r="O105" s="400"/>
      <c r="P105" s="400"/>
      <c r="Q105" s="400"/>
      <c r="R105" s="400"/>
      <c r="S105" s="400"/>
      <c r="T105" s="400"/>
      <c r="U105" s="400"/>
      <c r="V105" s="400"/>
      <c r="W105" s="400"/>
      <c r="X105" s="400"/>
      <c r="Y105" s="400"/>
      <c r="Z105" s="400"/>
      <c r="AA105" s="400"/>
      <c r="AB105" s="400"/>
      <c r="AC105" s="400"/>
      <c r="AD105" s="400"/>
      <c r="AE105" s="400"/>
      <c r="AF105" s="400"/>
      <c r="AG105" s="400"/>
      <c r="AH105" s="400"/>
      <c r="AI105" s="400"/>
      <c r="AJ105" s="400"/>
      <c r="AK105" s="400"/>
      <c r="AL105" s="400"/>
      <c r="AM105" s="400"/>
      <c r="AN105" s="400"/>
      <c r="AO105" s="400"/>
      <c r="AP105" s="400"/>
      <c r="AQ105" s="400"/>
      <c r="AR105" s="400"/>
      <c r="AS105" s="400"/>
      <c r="AT105" s="400"/>
      <c r="AU105" s="400"/>
      <c r="AV105" s="400"/>
      <c r="AW105" s="400"/>
      <c r="AX105" s="400"/>
      <c r="AY105" s="400"/>
      <c r="AZ105" s="400"/>
      <c r="BA105" s="400"/>
      <c r="BB105" s="400"/>
      <c r="BC105" s="400"/>
      <c r="BD105" s="400"/>
      <c r="BE105" s="400"/>
      <c r="BF105" s="400"/>
      <c r="BG105" s="400"/>
      <c r="BH105" s="400"/>
      <c r="BI105" s="400"/>
      <c r="BJ105" s="400"/>
      <c r="BK105" s="400"/>
      <c r="BL105" s="400"/>
      <c r="BM105" s="400"/>
      <c r="BN105" s="400"/>
      <c r="BO105" s="400"/>
      <c r="BP105" s="400"/>
      <c r="BQ105" s="400"/>
      <c r="BR105" s="400"/>
      <c r="BS105" s="400"/>
      <c r="BT105" s="400"/>
      <c r="BU105" s="400"/>
    </row>
    <row r="106" spans="1:73" s="401" customFormat="1" ht="39.75" customHeight="1" thickBot="1">
      <c r="A106" s="638" t="s">
        <v>881</v>
      </c>
      <c r="B106" s="398"/>
      <c r="C106" s="399">
        <v>10000000</v>
      </c>
      <c r="D106" s="399">
        <f>SUM(C106)-10000000</f>
        <v>0</v>
      </c>
      <c r="E106" s="399">
        <v>0</v>
      </c>
      <c r="F106" s="315">
        <v>0</v>
      </c>
      <c r="G106" s="400"/>
      <c r="H106" s="400"/>
      <c r="I106" s="400"/>
      <c r="J106" s="400"/>
      <c r="K106" s="400"/>
      <c r="L106" s="400"/>
      <c r="M106" s="400"/>
      <c r="N106" s="400"/>
      <c r="O106" s="400"/>
      <c r="P106" s="400"/>
      <c r="Q106" s="400"/>
      <c r="R106" s="400"/>
      <c r="S106" s="400"/>
      <c r="T106" s="400"/>
      <c r="U106" s="400"/>
      <c r="V106" s="400"/>
      <c r="W106" s="400"/>
      <c r="X106" s="400"/>
      <c r="Y106" s="400"/>
      <c r="Z106" s="400"/>
      <c r="AA106" s="400"/>
      <c r="AB106" s="400"/>
      <c r="AC106" s="400"/>
      <c r="AD106" s="400"/>
      <c r="AE106" s="400"/>
      <c r="AF106" s="400"/>
      <c r="AG106" s="400"/>
      <c r="AH106" s="400"/>
      <c r="AI106" s="400"/>
      <c r="AJ106" s="400"/>
      <c r="AK106" s="400"/>
      <c r="AL106" s="400"/>
      <c r="AM106" s="400"/>
      <c r="AN106" s="400"/>
      <c r="AO106" s="400"/>
      <c r="AP106" s="400"/>
      <c r="AQ106" s="400"/>
      <c r="AR106" s="400"/>
      <c r="AS106" s="400"/>
      <c r="AT106" s="400"/>
      <c r="AU106" s="400"/>
      <c r="AV106" s="400"/>
      <c r="AW106" s="400"/>
      <c r="AX106" s="400"/>
      <c r="AY106" s="400"/>
      <c r="AZ106" s="400"/>
      <c r="BA106" s="400"/>
      <c r="BB106" s="400"/>
      <c r="BC106" s="400"/>
      <c r="BD106" s="400"/>
      <c r="BE106" s="400"/>
      <c r="BF106" s="400"/>
      <c r="BG106" s="400"/>
      <c r="BH106" s="400"/>
      <c r="BI106" s="400"/>
      <c r="BJ106" s="400"/>
      <c r="BK106" s="400"/>
      <c r="BL106" s="400"/>
      <c r="BM106" s="400"/>
      <c r="BN106" s="400"/>
      <c r="BO106" s="400"/>
      <c r="BP106" s="400"/>
      <c r="BQ106" s="400"/>
      <c r="BR106" s="400"/>
      <c r="BS106" s="400"/>
      <c r="BT106" s="400"/>
      <c r="BU106" s="400"/>
    </row>
    <row r="107" spans="1:73" s="396" customFormat="1" ht="27" customHeight="1" thickBot="1">
      <c r="A107" s="638" t="s">
        <v>469</v>
      </c>
      <c r="B107" s="393"/>
      <c r="C107" s="399">
        <v>3000000</v>
      </c>
      <c r="D107" s="399">
        <f t="shared" ref="D107" si="14">SUM(C107)</f>
        <v>3000000</v>
      </c>
      <c r="E107" s="399">
        <v>3220720</v>
      </c>
      <c r="F107" s="315">
        <f t="shared" si="13"/>
        <v>1.0735733333333333</v>
      </c>
      <c r="G107" s="395"/>
      <c r="H107" s="395"/>
      <c r="I107" s="395"/>
      <c r="J107" s="395"/>
      <c r="K107" s="395"/>
      <c r="L107" s="395"/>
      <c r="M107" s="395"/>
      <c r="N107" s="395"/>
      <c r="O107" s="395"/>
      <c r="P107" s="395"/>
      <c r="Q107" s="395"/>
      <c r="R107" s="395"/>
      <c r="S107" s="395"/>
      <c r="T107" s="395"/>
      <c r="U107" s="395"/>
      <c r="V107" s="395"/>
      <c r="W107" s="395"/>
      <c r="X107" s="395"/>
      <c r="Y107" s="395"/>
      <c r="Z107" s="395"/>
      <c r="AA107" s="395"/>
      <c r="AB107" s="395"/>
      <c r="AC107" s="395"/>
      <c r="AD107" s="395"/>
      <c r="AE107" s="395"/>
      <c r="AF107" s="395"/>
      <c r="AG107" s="395"/>
      <c r="AH107" s="395"/>
      <c r="AI107" s="395"/>
      <c r="AJ107" s="395"/>
      <c r="AK107" s="395"/>
      <c r="AL107" s="395"/>
      <c r="AM107" s="395"/>
      <c r="AN107" s="395"/>
      <c r="AO107" s="395"/>
      <c r="AP107" s="395"/>
      <c r="AQ107" s="395"/>
      <c r="AR107" s="395"/>
      <c r="AS107" s="395"/>
      <c r="AT107" s="395"/>
      <c r="AU107" s="395"/>
      <c r="AV107" s="395"/>
      <c r="AW107" s="395"/>
      <c r="AX107" s="395"/>
      <c r="AY107" s="395"/>
      <c r="AZ107" s="395"/>
      <c r="BA107" s="395"/>
      <c r="BB107" s="395"/>
      <c r="BC107" s="395"/>
      <c r="BD107" s="395"/>
      <c r="BE107" s="395"/>
      <c r="BF107" s="395"/>
      <c r="BG107" s="395"/>
      <c r="BH107" s="395"/>
      <c r="BI107" s="395"/>
      <c r="BJ107" s="395"/>
      <c r="BK107" s="395"/>
      <c r="BL107" s="395"/>
      <c r="BM107" s="395"/>
      <c r="BN107" s="395"/>
      <c r="BO107" s="395"/>
      <c r="BP107" s="395"/>
      <c r="BQ107" s="395"/>
      <c r="BR107" s="395"/>
      <c r="BS107" s="395"/>
      <c r="BT107" s="395"/>
      <c r="BU107" s="395"/>
    </row>
    <row r="108" spans="1:73" s="396" customFormat="1" ht="27.75" customHeight="1" thickBot="1">
      <c r="A108" s="638" t="s">
        <v>486</v>
      </c>
      <c r="B108" s="398"/>
      <c r="C108" s="399">
        <v>6050000</v>
      </c>
      <c r="D108" s="399">
        <f>SUM(B109:B111)</f>
        <v>6050000</v>
      </c>
      <c r="E108" s="399">
        <v>2497000</v>
      </c>
      <c r="F108" s="315">
        <f t="shared" si="13"/>
        <v>0.41272727272727272</v>
      </c>
      <c r="G108" s="395"/>
      <c r="H108" s="395"/>
      <c r="I108" s="395"/>
      <c r="J108" s="395"/>
      <c r="K108" s="395"/>
      <c r="L108" s="395"/>
      <c r="M108" s="395"/>
      <c r="N108" s="395"/>
      <c r="O108" s="395"/>
      <c r="P108" s="395"/>
      <c r="Q108" s="395"/>
      <c r="R108" s="395"/>
      <c r="S108" s="395"/>
      <c r="T108" s="395"/>
      <c r="U108" s="395"/>
      <c r="V108" s="395"/>
      <c r="W108" s="395"/>
      <c r="X108" s="395"/>
      <c r="Y108" s="395"/>
      <c r="Z108" s="395"/>
      <c r="AA108" s="395"/>
      <c r="AB108" s="395"/>
      <c r="AC108" s="395"/>
      <c r="AD108" s="395"/>
      <c r="AE108" s="395"/>
      <c r="AF108" s="395"/>
      <c r="AG108" s="395"/>
      <c r="AH108" s="395"/>
      <c r="AI108" s="395"/>
      <c r="AJ108" s="395"/>
      <c r="AK108" s="395"/>
      <c r="AL108" s="395"/>
      <c r="AM108" s="395"/>
      <c r="AN108" s="395"/>
      <c r="AO108" s="395"/>
      <c r="AP108" s="395"/>
      <c r="AQ108" s="395"/>
      <c r="AR108" s="395"/>
      <c r="AS108" s="395"/>
      <c r="AT108" s="395"/>
      <c r="AU108" s="395"/>
      <c r="AV108" s="395"/>
      <c r="AW108" s="395"/>
      <c r="AX108" s="395"/>
      <c r="AY108" s="395"/>
      <c r="AZ108" s="395"/>
      <c r="BA108" s="395"/>
      <c r="BB108" s="395"/>
      <c r="BC108" s="395"/>
      <c r="BD108" s="395"/>
      <c r="BE108" s="395"/>
      <c r="BF108" s="395"/>
      <c r="BG108" s="395"/>
      <c r="BH108" s="395"/>
      <c r="BI108" s="395"/>
      <c r="BJ108" s="395"/>
      <c r="BK108" s="395"/>
      <c r="BL108" s="395"/>
      <c r="BM108" s="395"/>
      <c r="BN108" s="395"/>
      <c r="BO108" s="395"/>
      <c r="BP108" s="395"/>
      <c r="BQ108" s="395"/>
      <c r="BR108" s="395"/>
      <c r="BS108" s="395"/>
      <c r="BT108" s="395"/>
      <c r="BU108" s="395"/>
    </row>
    <row r="109" spans="1:73" s="396" customFormat="1" ht="30" customHeight="1" thickBot="1">
      <c r="A109" s="397" t="s">
        <v>487</v>
      </c>
      <c r="B109" s="393">
        <v>2000000</v>
      </c>
      <c r="C109" s="399"/>
      <c r="D109" s="399"/>
      <c r="E109" s="399"/>
      <c r="F109" s="315"/>
      <c r="G109" s="395"/>
      <c r="H109" s="395"/>
      <c r="I109" s="395"/>
      <c r="J109" s="395"/>
      <c r="K109" s="395"/>
      <c r="L109" s="395"/>
      <c r="M109" s="395"/>
      <c r="N109" s="395"/>
      <c r="O109" s="395"/>
      <c r="P109" s="395"/>
      <c r="Q109" s="395"/>
      <c r="R109" s="395"/>
      <c r="S109" s="395"/>
      <c r="T109" s="395"/>
      <c r="U109" s="395"/>
      <c r="V109" s="395"/>
      <c r="W109" s="395"/>
      <c r="X109" s="395"/>
      <c r="Y109" s="395"/>
      <c r="Z109" s="395"/>
      <c r="AA109" s="395"/>
      <c r="AB109" s="395"/>
      <c r="AC109" s="395"/>
      <c r="AD109" s="395"/>
      <c r="AE109" s="395"/>
      <c r="AF109" s="395"/>
      <c r="AG109" s="395"/>
      <c r="AH109" s="395"/>
      <c r="AI109" s="395"/>
      <c r="AJ109" s="395"/>
      <c r="AK109" s="395"/>
      <c r="AL109" s="395"/>
      <c r="AM109" s="395"/>
      <c r="AN109" s="395"/>
      <c r="AO109" s="395"/>
      <c r="AP109" s="395"/>
      <c r="AQ109" s="395"/>
      <c r="AR109" s="395"/>
      <c r="AS109" s="395"/>
      <c r="AT109" s="395"/>
      <c r="AU109" s="395"/>
      <c r="AV109" s="395"/>
      <c r="AW109" s="395"/>
      <c r="AX109" s="395"/>
      <c r="AY109" s="395"/>
      <c r="AZ109" s="395"/>
      <c r="BA109" s="395"/>
      <c r="BB109" s="395"/>
      <c r="BC109" s="395"/>
      <c r="BD109" s="395"/>
      <c r="BE109" s="395"/>
      <c r="BF109" s="395"/>
      <c r="BG109" s="395"/>
      <c r="BH109" s="395"/>
      <c r="BI109" s="395"/>
      <c r="BJ109" s="395"/>
      <c r="BK109" s="395"/>
      <c r="BL109" s="395"/>
      <c r="BM109" s="395"/>
      <c r="BN109" s="395"/>
      <c r="BO109" s="395"/>
      <c r="BP109" s="395"/>
      <c r="BQ109" s="395"/>
      <c r="BR109" s="395"/>
      <c r="BS109" s="395"/>
      <c r="BT109" s="395"/>
      <c r="BU109" s="395"/>
    </row>
    <row r="110" spans="1:73" s="396" customFormat="1" ht="19.5" thickBot="1">
      <c r="A110" s="397" t="s">
        <v>652</v>
      </c>
      <c r="B110" s="393">
        <v>50000</v>
      </c>
      <c r="C110" s="399"/>
      <c r="D110" s="399"/>
      <c r="E110" s="399"/>
      <c r="F110" s="315"/>
      <c r="G110" s="395"/>
      <c r="H110" s="395"/>
      <c r="I110" s="395"/>
      <c r="J110" s="395"/>
      <c r="K110" s="395"/>
      <c r="L110" s="395"/>
      <c r="M110" s="395"/>
      <c r="N110" s="395"/>
      <c r="O110" s="395"/>
      <c r="P110" s="395"/>
      <c r="Q110" s="395"/>
      <c r="R110" s="395"/>
      <c r="S110" s="395"/>
      <c r="T110" s="395"/>
      <c r="U110" s="395"/>
      <c r="V110" s="395"/>
      <c r="W110" s="395"/>
      <c r="X110" s="395"/>
      <c r="Y110" s="395"/>
      <c r="Z110" s="395"/>
      <c r="AA110" s="395"/>
      <c r="AB110" s="395"/>
      <c r="AC110" s="395"/>
      <c r="AD110" s="395"/>
      <c r="AE110" s="395"/>
      <c r="AF110" s="395"/>
      <c r="AG110" s="395"/>
      <c r="AH110" s="395"/>
      <c r="AI110" s="395"/>
      <c r="AJ110" s="395"/>
      <c r="AK110" s="395"/>
      <c r="AL110" s="395"/>
      <c r="AM110" s="395"/>
      <c r="AN110" s="395"/>
      <c r="AO110" s="395"/>
      <c r="AP110" s="395"/>
      <c r="AQ110" s="395"/>
      <c r="AR110" s="395"/>
      <c r="AS110" s="395"/>
      <c r="AT110" s="395"/>
      <c r="AU110" s="395"/>
      <c r="AV110" s="395"/>
      <c r="AW110" s="395"/>
      <c r="AX110" s="395"/>
      <c r="AY110" s="395"/>
      <c r="AZ110" s="395"/>
      <c r="BA110" s="395"/>
      <c r="BB110" s="395"/>
      <c r="BC110" s="395"/>
      <c r="BD110" s="395"/>
      <c r="BE110" s="395"/>
      <c r="BF110" s="395"/>
      <c r="BG110" s="395"/>
      <c r="BH110" s="395"/>
      <c r="BI110" s="395"/>
      <c r="BJ110" s="395"/>
      <c r="BK110" s="395"/>
      <c r="BL110" s="395"/>
      <c r="BM110" s="395"/>
      <c r="BN110" s="395"/>
      <c r="BO110" s="395"/>
      <c r="BP110" s="395"/>
      <c r="BQ110" s="395"/>
      <c r="BR110" s="395"/>
      <c r="BS110" s="395"/>
      <c r="BT110" s="395"/>
      <c r="BU110" s="395"/>
    </row>
    <row r="111" spans="1:73" s="396" customFormat="1" ht="39.75" customHeight="1" thickBot="1">
      <c r="A111" s="397" t="s">
        <v>882</v>
      </c>
      <c r="B111" s="393">
        <v>4000000</v>
      </c>
      <c r="C111" s="399"/>
      <c r="D111" s="399"/>
      <c r="E111" s="399"/>
      <c r="F111" s="315"/>
      <c r="G111" s="395"/>
      <c r="H111" s="395"/>
      <c r="I111" s="395"/>
      <c r="J111" s="395"/>
      <c r="K111" s="395"/>
      <c r="L111" s="395"/>
      <c r="M111" s="395"/>
      <c r="N111" s="395"/>
      <c r="O111" s="395"/>
      <c r="P111" s="395"/>
      <c r="Q111" s="395"/>
      <c r="R111" s="395"/>
      <c r="S111" s="395"/>
      <c r="T111" s="395"/>
      <c r="U111" s="395"/>
      <c r="V111" s="395"/>
      <c r="W111" s="395"/>
      <c r="X111" s="395"/>
      <c r="Y111" s="395"/>
      <c r="Z111" s="395"/>
      <c r="AA111" s="395"/>
      <c r="AB111" s="395"/>
      <c r="AC111" s="395"/>
      <c r="AD111" s="395"/>
      <c r="AE111" s="395"/>
      <c r="AF111" s="395"/>
      <c r="AG111" s="395"/>
      <c r="AH111" s="395"/>
      <c r="AI111" s="395"/>
      <c r="AJ111" s="395"/>
      <c r="AK111" s="395"/>
      <c r="AL111" s="395"/>
      <c r="AM111" s="395"/>
      <c r="AN111" s="395"/>
      <c r="AO111" s="395"/>
      <c r="AP111" s="395"/>
      <c r="AQ111" s="395"/>
      <c r="AR111" s="395"/>
      <c r="AS111" s="395"/>
      <c r="AT111" s="395"/>
      <c r="AU111" s="395"/>
      <c r="AV111" s="395"/>
      <c r="AW111" s="395"/>
      <c r="AX111" s="395"/>
      <c r="AY111" s="395"/>
      <c r="AZ111" s="395"/>
      <c r="BA111" s="395"/>
      <c r="BB111" s="395"/>
      <c r="BC111" s="395"/>
      <c r="BD111" s="395"/>
      <c r="BE111" s="395"/>
      <c r="BF111" s="395"/>
      <c r="BG111" s="395"/>
      <c r="BH111" s="395"/>
      <c r="BI111" s="395"/>
      <c r="BJ111" s="395"/>
      <c r="BK111" s="395"/>
      <c r="BL111" s="395"/>
      <c r="BM111" s="395"/>
      <c r="BN111" s="395"/>
      <c r="BO111" s="395"/>
      <c r="BP111" s="395"/>
      <c r="BQ111" s="395"/>
      <c r="BR111" s="395"/>
      <c r="BS111" s="395"/>
      <c r="BT111" s="395"/>
      <c r="BU111" s="395"/>
    </row>
    <row r="112" spans="1:73" s="401" customFormat="1" ht="29.25" customHeight="1" thickBot="1">
      <c r="A112" s="638" t="s">
        <v>653</v>
      </c>
      <c r="B112" s="398"/>
      <c r="C112" s="399">
        <f>SUM(B113:B114)</f>
        <v>2000000</v>
      </c>
      <c r="D112" s="399">
        <f>171000+639522</f>
        <v>810522</v>
      </c>
      <c r="E112" s="399">
        <v>0</v>
      </c>
      <c r="F112" s="315">
        <f t="shared" ref="F112" si="15">E112/D112</f>
        <v>0</v>
      </c>
      <c r="G112" s="400"/>
      <c r="H112" s="400"/>
      <c r="I112" s="400"/>
      <c r="J112" s="400"/>
      <c r="K112" s="400"/>
      <c r="L112" s="400"/>
      <c r="M112" s="400"/>
      <c r="N112" s="400"/>
      <c r="O112" s="400"/>
      <c r="P112" s="400"/>
      <c r="Q112" s="400"/>
      <c r="R112" s="400"/>
      <c r="S112" s="400"/>
      <c r="T112" s="400"/>
      <c r="U112" s="400"/>
      <c r="V112" s="400"/>
      <c r="W112" s="400"/>
      <c r="X112" s="400"/>
      <c r="Y112" s="400"/>
      <c r="Z112" s="400"/>
      <c r="AA112" s="400"/>
      <c r="AB112" s="400"/>
      <c r="AC112" s="400"/>
      <c r="AD112" s="400"/>
      <c r="AE112" s="400"/>
      <c r="AF112" s="400"/>
      <c r="AG112" s="400"/>
      <c r="AH112" s="400"/>
      <c r="AI112" s="400"/>
      <c r="AJ112" s="400"/>
      <c r="AK112" s="400"/>
      <c r="AL112" s="400"/>
      <c r="AM112" s="400"/>
      <c r="AN112" s="400"/>
      <c r="AO112" s="400"/>
      <c r="AP112" s="400"/>
      <c r="AQ112" s="400"/>
      <c r="AR112" s="400"/>
      <c r="AS112" s="400"/>
      <c r="AT112" s="400"/>
      <c r="AU112" s="400"/>
      <c r="AV112" s="400"/>
      <c r="AW112" s="400"/>
      <c r="AX112" s="400"/>
      <c r="AY112" s="400"/>
      <c r="AZ112" s="400"/>
      <c r="BA112" s="400"/>
      <c r="BB112" s="400"/>
      <c r="BC112" s="400"/>
      <c r="BD112" s="400"/>
      <c r="BE112" s="400"/>
      <c r="BF112" s="400"/>
      <c r="BG112" s="400"/>
      <c r="BH112" s="400"/>
      <c r="BI112" s="400"/>
      <c r="BJ112" s="400"/>
      <c r="BK112" s="400"/>
      <c r="BL112" s="400"/>
      <c r="BM112" s="400"/>
      <c r="BN112" s="400"/>
      <c r="BO112" s="400"/>
      <c r="BP112" s="400"/>
      <c r="BQ112" s="400"/>
      <c r="BR112" s="400"/>
      <c r="BS112" s="400"/>
      <c r="BT112" s="400"/>
      <c r="BU112" s="400"/>
    </row>
    <row r="113" spans="1:73" s="396" customFormat="1" ht="24.75" customHeight="1" thickBot="1">
      <c r="A113" s="397" t="s">
        <v>654</v>
      </c>
      <c r="B113" s="393">
        <v>1000000</v>
      </c>
      <c r="C113" s="399"/>
      <c r="D113" s="399"/>
      <c r="E113" s="399"/>
      <c r="F113" s="315"/>
      <c r="G113" s="395"/>
      <c r="H113" s="395"/>
      <c r="I113" s="395"/>
      <c r="J113" s="395"/>
      <c r="K113" s="395"/>
      <c r="L113" s="395"/>
      <c r="M113" s="395"/>
      <c r="N113" s="395"/>
      <c r="O113" s="395"/>
      <c r="P113" s="395"/>
      <c r="Q113" s="395"/>
      <c r="R113" s="395"/>
      <c r="S113" s="395"/>
      <c r="T113" s="395"/>
      <c r="U113" s="395"/>
      <c r="V113" s="395"/>
      <c r="W113" s="395"/>
      <c r="X113" s="395"/>
      <c r="Y113" s="395"/>
      <c r="Z113" s="395"/>
      <c r="AA113" s="395"/>
      <c r="AB113" s="395"/>
      <c r="AC113" s="395"/>
      <c r="AD113" s="395"/>
      <c r="AE113" s="395"/>
      <c r="AF113" s="395"/>
      <c r="AG113" s="395"/>
      <c r="AH113" s="395"/>
      <c r="AI113" s="395"/>
      <c r="AJ113" s="395"/>
      <c r="AK113" s="395"/>
      <c r="AL113" s="395"/>
      <c r="AM113" s="395"/>
      <c r="AN113" s="395"/>
      <c r="AO113" s="395"/>
      <c r="AP113" s="395"/>
      <c r="AQ113" s="395"/>
      <c r="AR113" s="395"/>
      <c r="AS113" s="395"/>
      <c r="AT113" s="395"/>
      <c r="AU113" s="395"/>
      <c r="AV113" s="395"/>
      <c r="AW113" s="395"/>
      <c r="AX113" s="395"/>
      <c r="AY113" s="395"/>
      <c r="AZ113" s="395"/>
      <c r="BA113" s="395"/>
      <c r="BB113" s="395"/>
      <c r="BC113" s="395"/>
      <c r="BD113" s="395"/>
      <c r="BE113" s="395"/>
      <c r="BF113" s="395"/>
      <c r="BG113" s="395"/>
      <c r="BH113" s="395"/>
      <c r="BI113" s="395"/>
      <c r="BJ113" s="395"/>
      <c r="BK113" s="395"/>
      <c r="BL113" s="395"/>
      <c r="BM113" s="395"/>
      <c r="BN113" s="395"/>
      <c r="BO113" s="395"/>
      <c r="BP113" s="395"/>
      <c r="BQ113" s="395"/>
      <c r="BR113" s="395"/>
      <c r="BS113" s="395"/>
      <c r="BT113" s="395"/>
      <c r="BU113" s="395"/>
    </row>
    <row r="114" spans="1:73" s="396" customFormat="1" ht="24.75" customHeight="1" thickBot="1">
      <c r="A114" s="397" t="s">
        <v>655</v>
      </c>
      <c r="B114" s="393">
        <v>1000000</v>
      </c>
      <c r="C114" s="399"/>
      <c r="D114" s="399"/>
      <c r="E114" s="399"/>
      <c r="F114" s="315"/>
      <c r="G114" s="395"/>
      <c r="H114" s="395"/>
      <c r="I114" s="395"/>
      <c r="J114" s="395"/>
      <c r="K114" s="395"/>
      <c r="L114" s="395"/>
      <c r="M114" s="395"/>
      <c r="N114" s="395"/>
      <c r="O114" s="395"/>
      <c r="P114" s="395"/>
      <c r="Q114" s="395"/>
      <c r="R114" s="395"/>
      <c r="S114" s="395"/>
      <c r="T114" s="395"/>
      <c r="U114" s="395"/>
      <c r="V114" s="395"/>
      <c r="W114" s="395"/>
      <c r="X114" s="395"/>
      <c r="Y114" s="395"/>
      <c r="Z114" s="395"/>
      <c r="AA114" s="395"/>
      <c r="AB114" s="395"/>
      <c r="AC114" s="395"/>
      <c r="AD114" s="395"/>
      <c r="AE114" s="395"/>
      <c r="AF114" s="395"/>
      <c r="AG114" s="395"/>
      <c r="AH114" s="395"/>
      <c r="AI114" s="395"/>
      <c r="AJ114" s="395"/>
      <c r="AK114" s="395"/>
      <c r="AL114" s="395"/>
      <c r="AM114" s="395"/>
      <c r="AN114" s="395"/>
      <c r="AO114" s="395"/>
      <c r="AP114" s="395"/>
      <c r="AQ114" s="395"/>
      <c r="AR114" s="395"/>
      <c r="AS114" s="395"/>
      <c r="AT114" s="395"/>
      <c r="AU114" s="395"/>
      <c r="AV114" s="395"/>
      <c r="AW114" s="395"/>
      <c r="AX114" s="395"/>
      <c r="AY114" s="395"/>
      <c r="AZ114" s="395"/>
      <c r="BA114" s="395"/>
      <c r="BB114" s="395"/>
      <c r="BC114" s="395"/>
      <c r="BD114" s="395"/>
      <c r="BE114" s="395"/>
      <c r="BF114" s="395"/>
      <c r="BG114" s="395"/>
      <c r="BH114" s="395"/>
      <c r="BI114" s="395"/>
      <c r="BJ114" s="395"/>
      <c r="BK114" s="395"/>
      <c r="BL114" s="395"/>
      <c r="BM114" s="395"/>
      <c r="BN114" s="395"/>
      <c r="BO114" s="395"/>
      <c r="BP114" s="395"/>
      <c r="BQ114" s="395"/>
      <c r="BR114" s="395"/>
      <c r="BS114" s="395"/>
      <c r="BT114" s="395"/>
      <c r="BU114" s="395"/>
    </row>
    <row r="115" spans="1:73" s="396" customFormat="1" ht="57" customHeight="1" thickBot="1">
      <c r="A115" s="638" t="s">
        <v>883</v>
      </c>
      <c r="B115" s="393"/>
      <c r="C115" s="399">
        <v>2000000</v>
      </c>
      <c r="D115" s="399">
        <v>2000000</v>
      </c>
      <c r="E115" s="399">
        <v>1990000</v>
      </c>
      <c r="F115" s="315">
        <f t="shared" ref="F115:F120" si="16">E115/D115</f>
        <v>0.995</v>
      </c>
      <c r="G115" s="395"/>
      <c r="H115" s="395"/>
      <c r="I115" s="395"/>
      <c r="J115" s="395"/>
      <c r="K115" s="395"/>
      <c r="L115" s="395"/>
      <c r="M115" s="395"/>
      <c r="N115" s="395"/>
      <c r="O115" s="395"/>
      <c r="P115" s="395"/>
      <c r="Q115" s="395"/>
      <c r="R115" s="395"/>
      <c r="S115" s="395"/>
      <c r="T115" s="395"/>
      <c r="U115" s="395"/>
      <c r="V115" s="395"/>
      <c r="W115" s="395"/>
      <c r="X115" s="395"/>
      <c r="Y115" s="395"/>
      <c r="Z115" s="395"/>
      <c r="AA115" s="395"/>
      <c r="AB115" s="395"/>
      <c r="AC115" s="395"/>
      <c r="AD115" s="395"/>
      <c r="AE115" s="395"/>
      <c r="AF115" s="395"/>
      <c r="AG115" s="395"/>
      <c r="AH115" s="395"/>
      <c r="AI115" s="395"/>
      <c r="AJ115" s="395"/>
      <c r="AK115" s="395"/>
      <c r="AL115" s="395"/>
      <c r="AM115" s="395"/>
      <c r="AN115" s="395"/>
      <c r="AO115" s="395"/>
      <c r="AP115" s="395"/>
      <c r="AQ115" s="395"/>
      <c r="AR115" s="395"/>
      <c r="AS115" s="395"/>
      <c r="AT115" s="395"/>
      <c r="AU115" s="395"/>
      <c r="AV115" s="395"/>
      <c r="AW115" s="395"/>
      <c r="AX115" s="395"/>
      <c r="AY115" s="395"/>
      <c r="AZ115" s="395"/>
      <c r="BA115" s="395"/>
      <c r="BB115" s="395"/>
      <c r="BC115" s="395"/>
      <c r="BD115" s="395"/>
      <c r="BE115" s="395"/>
      <c r="BF115" s="395"/>
      <c r="BG115" s="395"/>
      <c r="BH115" s="395"/>
      <c r="BI115" s="395"/>
      <c r="BJ115" s="395"/>
      <c r="BK115" s="395"/>
      <c r="BL115" s="395"/>
      <c r="BM115" s="395"/>
      <c r="BN115" s="395"/>
      <c r="BO115" s="395"/>
      <c r="BP115" s="395"/>
      <c r="BQ115" s="395"/>
      <c r="BR115" s="395"/>
      <c r="BS115" s="395"/>
      <c r="BT115" s="395"/>
      <c r="BU115" s="395"/>
    </row>
    <row r="116" spans="1:73" s="396" customFormat="1" ht="51" customHeight="1" thickBot="1">
      <c r="A116" s="638" t="s">
        <v>488</v>
      </c>
      <c r="B116" s="398"/>
      <c r="C116" s="399">
        <v>2000000</v>
      </c>
      <c r="D116" s="399">
        <f t="shared" ref="D116:D127" si="17">SUM(C116)</f>
        <v>2000000</v>
      </c>
      <c r="E116" s="399">
        <f>4507105+7860</f>
        <v>4514965</v>
      </c>
      <c r="F116" s="315">
        <f t="shared" si="16"/>
        <v>2.2574825000000001</v>
      </c>
      <c r="G116" s="395"/>
      <c r="H116" s="395"/>
      <c r="I116" s="395"/>
      <c r="J116" s="395"/>
      <c r="K116" s="395"/>
      <c r="L116" s="395"/>
      <c r="M116" s="395"/>
      <c r="N116" s="395"/>
      <c r="O116" s="395"/>
      <c r="P116" s="395"/>
      <c r="Q116" s="395"/>
      <c r="R116" s="395"/>
      <c r="S116" s="395"/>
      <c r="T116" s="395"/>
      <c r="U116" s="395"/>
      <c r="V116" s="395"/>
      <c r="W116" s="395"/>
      <c r="X116" s="395"/>
      <c r="Y116" s="395"/>
      <c r="Z116" s="395"/>
      <c r="AA116" s="395"/>
      <c r="AB116" s="395"/>
      <c r="AC116" s="395"/>
      <c r="AD116" s="395"/>
      <c r="AE116" s="395"/>
      <c r="AF116" s="395"/>
      <c r="AG116" s="395"/>
      <c r="AH116" s="395"/>
      <c r="AI116" s="395"/>
      <c r="AJ116" s="395"/>
      <c r="AK116" s="395"/>
      <c r="AL116" s="395"/>
      <c r="AM116" s="395"/>
      <c r="AN116" s="395"/>
      <c r="AO116" s="395"/>
      <c r="AP116" s="395"/>
      <c r="AQ116" s="395"/>
      <c r="AR116" s="395"/>
      <c r="AS116" s="395"/>
      <c r="AT116" s="395"/>
      <c r="AU116" s="395"/>
      <c r="AV116" s="395"/>
      <c r="AW116" s="395"/>
      <c r="AX116" s="395"/>
      <c r="AY116" s="395"/>
      <c r="AZ116" s="395"/>
      <c r="BA116" s="395"/>
      <c r="BB116" s="395"/>
      <c r="BC116" s="395"/>
      <c r="BD116" s="395"/>
      <c r="BE116" s="395"/>
      <c r="BF116" s="395"/>
      <c r="BG116" s="395"/>
      <c r="BH116" s="395"/>
      <c r="BI116" s="395"/>
      <c r="BJ116" s="395"/>
      <c r="BK116" s="395"/>
      <c r="BL116" s="395"/>
      <c r="BM116" s="395"/>
      <c r="BN116" s="395"/>
      <c r="BO116" s="395"/>
      <c r="BP116" s="395"/>
      <c r="BQ116" s="395"/>
      <c r="BR116" s="395"/>
      <c r="BS116" s="395"/>
      <c r="BT116" s="395"/>
      <c r="BU116" s="395"/>
    </row>
    <row r="117" spans="1:73" s="396" customFormat="1" ht="34.5" customHeight="1" thickBot="1">
      <c r="A117" s="638" t="s">
        <v>489</v>
      </c>
      <c r="B117" s="398"/>
      <c r="C117" s="399">
        <v>2000000</v>
      </c>
      <c r="D117" s="399">
        <f>SUM(C117)+774469+900089</f>
        <v>3674558</v>
      </c>
      <c r="E117" s="399">
        <v>4573473</v>
      </c>
      <c r="F117" s="315">
        <f t="shared" si="16"/>
        <v>1.2446321435122265</v>
      </c>
      <c r="G117" s="395"/>
      <c r="H117" s="395"/>
      <c r="I117" s="395"/>
      <c r="J117" s="395"/>
      <c r="K117" s="395"/>
      <c r="L117" s="395"/>
      <c r="M117" s="395"/>
      <c r="N117" s="395"/>
      <c r="O117" s="395"/>
      <c r="P117" s="395"/>
      <c r="Q117" s="395"/>
      <c r="R117" s="395"/>
      <c r="S117" s="395"/>
      <c r="T117" s="395"/>
      <c r="U117" s="395"/>
      <c r="V117" s="395"/>
      <c r="W117" s="395"/>
      <c r="X117" s="395"/>
      <c r="Y117" s="395"/>
      <c r="Z117" s="395"/>
      <c r="AA117" s="395"/>
      <c r="AB117" s="395"/>
      <c r="AC117" s="395"/>
      <c r="AD117" s="395"/>
      <c r="AE117" s="395"/>
      <c r="AF117" s="395"/>
      <c r="AG117" s="395"/>
      <c r="AH117" s="395"/>
      <c r="AI117" s="395"/>
      <c r="AJ117" s="395"/>
      <c r="AK117" s="395"/>
      <c r="AL117" s="395"/>
      <c r="AM117" s="395"/>
      <c r="AN117" s="395"/>
      <c r="AO117" s="395"/>
      <c r="AP117" s="395"/>
      <c r="AQ117" s="395"/>
      <c r="AR117" s="395"/>
      <c r="AS117" s="395"/>
      <c r="AT117" s="395"/>
      <c r="AU117" s="395"/>
      <c r="AV117" s="395"/>
      <c r="AW117" s="395"/>
      <c r="AX117" s="395"/>
      <c r="AY117" s="395"/>
      <c r="AZ117" s="395"/>
      <c r="BA117" s="395"/>
      <c r="BB117" s="395"/>
      <c r="BC117" s="395"/>
      <c r="BD117" s="395"/>
      <c r="BE117" s="395"/>
      <c r="BF117" s="395"/>
      <c r="BG117" s="395"/>
      <c r="BH117" s="395"/>
      <c r="BI117" s="395"/>
      <c r="BJ117" s="395"/>
      <c r="BK117" s="395"/>
      <c r="BL117" s="395"/>
      <c r="BM117" s="395"/>
      <c r="BN117" s="395"/>
      <c r="BO117" s="395"/>
      <c r="BP117" s="395"/>
      <c r="BQ117" s="395"/>
      <c r="BR117" s="395"/>
      <c r="BS117" s="395"/>
      <c r="BT117" s="395"/>
      <c r="BU117" s="395"/>
    </row>
    <row r="118" spans="1:73" s="396" customFormat="1" ht="34.5" customHeight="1" thickBot="1">
      <c r="A118" s="638" t="s">
        <v>884</v>
      </c>
      <c r="B118" s="398"/>
      <c r="C118" s="399"/>
      <c r="D118" s="399">
        <f>1200000+168000</f>
        <v>1368000</v>
      </c>
      <c r="E118" s="399">
        <v>1415939</v>
      </c>
      <c r="F118" s="315">
        <f t="shared" si="16"/>
        <v>1.0350431286549708</v>
      </c>
      <c r="G118" s="395"/>
      <c r="H118" s="395"/>
      <c r="I118" s="395"/>
      <c r="J118" s="395"/>
      <c r="K118" s="395"/>
      <c r="L118" s="395"/>
      <c r="M118" s="395"/>
      <c r="N118" s="395"/>
      <c r="O118" s="395"/>
      <c r="P118" s="395"/>
      <c r="Q118" s="395"/>
      <c r="R118" s="395"/>
      <c r="S118" s="395"/>
      <c r="T118" s="395"/>
      <c r="U118" s="395"/>
      <c r="V118" s="395"/>
      <c r="W118" s="395"/>
      <c r="X118" s="395"/>
      <c r="Y118" s="395"/>
      <c r="Z118" s="395"/>
      <c r="AA118" s="395"/>
      <c r="AB118" s="395"/>
      <c r="AC118" s="395"/>
      <c r="AD118" s="395"/>
      <c r="AE118" s="395"/>
      <c r="AF118" s="395"/>
      <c r="AG118" s="395"/>
      <c r="AH118" s="395"/>
      <c r="AI118" s="395"/>
      <c r="AJ118" s="395"/>
      <c r="AK118" s="395"/>
      <c r="AL118" s="395"/>
      <c r="AM118" s="395"/>
      <c r="AN118" s="395"/>
      <c r="AO118" s="395"/>
      <c r="AP118" s="395"/>
      <c r="AQ118" s="395"/>
      <c r="AR118" s="395"/>
      <c r="AS118" s="395"/>
      <c r="AT118" s="395"/>
      <c r="AU118" s="395"/>
      <c r="AV118" s="395"/>
      <c r="AW118" s="395"/>
      <c r="AX118" s="395"/>
      <c r="AY118" s="395"/>
      <c r="AZ118" s="395"/>
      <c r="BA118" s="395"/>
      <c r="BB118" s="395"/>
      <c r="BC118" s="395"/>
      <c r="BD118" s="395"/>
      <c r="BE118" s="395"/>
      <c r="BF118" s="395"/>
      <c r="BG118" s="395"/>
      <c r="BH118" s="395"/>
      <c r="BI118" s="395"/>
      <c r="BJ118" s="395"/>
      <c r="BK118" s="395"/>
      <c r="BL118" s="395"/>
      <c r="BM118" s="395"/>
      <c r="BN118" s="395"/>
      <c r="BO118" s="395"/>
      <c r="BP118" s="395"/>
      <c r="BQ118" s="395"/>
      <c r="BR118" s="395"/>
      <c r="BS118" s="395"/>
      <c r="BT118" s="395"/>
      <c r="BU118" s="395"/>
    </row>
    <row r="119" spans="1:73" s="396" customFormat="1" ht="34.5" customHeight="1" thickBot="1">
      <c r="A119" s="638" t="s">
        <v>885</v>
      </c>
      <c r="B119" s="398"/>
      <c r="C119" s="399"/>
      <c r="D119" s="543">
        <v>50000</v>
      </c>
      <c r="E119" s="543">
        <v>50000</v>
      </c>
      <c r="F119" s="315">
        <f t="shared" si="16"/>
        <v>1</v>
      </c>
      <c r="G119" s="395"/>
      <c r="H119" s="395"/>
      <c r="I119" s="395"/>
      <c r="J119" s="395"/>
      <c r="K119" s="395"/>
      <c r="L119" s="395"/>
      <c r="M119" s="395"/>
      <c r="N119" s="395"/>
      <c r="O119" s="395"/>
      <c r="P119" s="395"/>
      <c r="Q119" s="395"/>
      <c r="R119" s="395"/>
      <c r="S119" s="395"/>
      <c r="T119" s="395"/>
      <c r="U119" s="395"/>
      <c r="V119" s="395"/>
      <c r="W119" s="395"/>
      <c r="X119" s="395"/>
      <c r="Y119" s="395"/>
      <c r="Z119" s="395"/>
      <c r="AA119" s="395"/>
      <c r="AB119" s="395"/>
      <c r="AC119" s="395"/>
      <c r="AD119" s="395"/>
      <c r="AE119" s="395"/>
      <c r="AF119" s="395"/>
      <c r="AG119" s="395"/>
      <c r="AH119" s="395"/>
      <c r="AI119" s="395"/>
      <c r="AJ119" s="395"/>
      <c r="AK119" s="395"/>
      <c r="AL119" s="395"/>
      <c r="AM119" s="395"/>
      <c r="AN119" s="395"/>
      <c r="AO119" s="395"/>
      <c r="AP119" s="395"/>
      <c r="AQ119" s="395"/>
      <c r="AR119" s="395"/>
      <c r="AS119" s="395"/>
      <c r="AT119" s="395"/>
      <c r="AU119" s="395"/>
      <c r="AV119" s="395"/>
      <c r="AW119" s="395"/>
      <c r="AX119" s="395"/>
      <c r="AY119" s="395"/>
      <c r="AZ119" s="395"/>
      <c r="BA119" s="395"/>
      <c r="BB119" s="395"/>
      <c r="BC119" s="395"/>
      <c r="BD119" s="395"/>
      <c r="BE119" s="395"/>
      <c r="BF119" s="395"/>
      <c r="BG119" s="395"/>
      <c r="BH119" s="395"/>
      <c r="BI119" s="395"/>
      <c r="BJ119" s="395"/>
      <c r="BK119" s="395"/>
      <c r="BL119" s="395"/>
      <c r="BM119" s="395"/>
      <c r="BN119" s="395"/>
      <c r="BO119" s="395"/>
      <c r="BP119" s="395"/>
      <c r="BQ119" s="395"/>
      <c r="BR119" s="395"/>
      <c r="BS119" s="395"/>
      <c r="BT119" s="395"/>
      <c r="BU119" s="395"/>
    </row>
    <row r="120" spans="1:73" s="396" customFormat="1" ht="38.25" thickBot="1">
      <c r="A120" s="638" t="s">
        <v>490</v>
      </c>
      <c r="B120" s="398"/>
      <c r="C120" s="399">
        <v>300000</v>
      </c>
      <c r="D120" s="399">
        <f t="shared" si="17"/>
        <v>300000</v>
      </c>
      <c r="E120" s="399">
        <v>0</v>
      </c>
      <c r="F120" s="315">
        <f t="shared" si="16"/>
        <v>0</v>
      </c>
      <c r="G120" s="395"/>
      <c r="H120" s="395"/>
      <c r="I120" s="395"/>
      <c r="J120" s="395"/>
      <c r="K120" s="395"/>
      <c r="L120" s="395"/>
      <c r="M120" s="395"/>
      <c r="N120" s="395"/>
      <c r="O120" s="395"/>
      <c r="P120" s="395"/>
      <c r="Q120" s="395"/>
      <c r="R120" s="395"/>
      <c r="S120" s="395"/>
      <c r="T120" s="395"/>
      <c r="U120" s="395"/>
      <c r="V120" s="395"/>
      <c r="W120" s="395"/>
      <c r="X120" s="395"/>
      <c r="Y120" s="395"/>
      <c r="Z120" s="395"/>
      <c r="AA120" s="395"/>
      <c r="AB120" s="395"/>
      <c r="AC120" s="395"/>
      <c r="AD120" s="395"/>
      <c r="AE120" s="395"/>
      <c r="AF120" s="395"/>
      <c r="AG120" s="395"/>
      <c r="AH120" s="395"/>
      <c r="AI120" s="395"/>
      <c r="AJ120" s="395"/>
      <c r="AK120" s="395"/>
      <c r="AL120" s="395"/>
      <c r="AM120" s="395"/>
      <c r="AN120" s="395"/>
      <c r="AO120" s="395"/>
      <c r="AP120" s="395"/>
      <c r="AQ120" s="395"/>
      <c r="AR120" s="395"/>
      <c r="AS120" s="395"/>
      <c r="AT120" s="395"/>
      <c r="AU120" s="395"/>
      <c r="AV120" s="395"/>
      <c r="AW120" s="395"/>
      <c r="AX120" s="395"/>
      <c r="AY120" s="395"/>
      <c r="AZ120" s="395"/>
      <c r="BA120" s="395"/>
      <c r="BB120" s="395"/>
      <c r="BC120" s="395"/>
      <c r="BD120" s="395"/>
      <c r="BE120" s="395"/>
      <c r="BF120" s="395"/>
      <c r="BG120" s="395"/>
      <c r="BH120" s="395"/>
      <c r="BI120" s="395"/>
      <c r="BJ120" s="395"/>
      <c r="BK120" s="395"/>
      <c r="BL120" s="395"/>
      <c r="BM120" s="395"/>
      <c r="BN120" s="395"/>
      <c r="BO120" s="395"/>
      <c r="BP120" s="395"/>
      <c r="BQ120" s="395"/>
      <c r="BR120" s="395"/>
      <c r="BS120" s="395"/>
      <c r="BT120" s="395"/>
      <c r="BU120" s="395"/>
    </row>
    <row r="121" spans="1:73" s="401" customFormat="1" ht="42" customHeight="1" thickBot="1">
      <c r="A121" s="316" t="s">
        <v>656</v>
      </c>
      <c r="B121" s="317"/>
      <c r="C121" s="318">
        <v>1047000</v>
      </c>
      <c r="D121" s="399">
        <f t="shared" si="17"/>
        <v>1047000</v>
      </c>
      <c r="E121" s="399">
        <v>1404785</v>
      </c>
      <c r="F121" s="315">
        <f>E121/D121</f>
        <v>1.3417239732569246</v>
      </c>
      <c r="G121" s="400"/>
      <c r="H121" s="400"/>
      <c r="I121" s="400"/>
      <c r="J121" s="400"/>
      <c r="K121" s="400"/>
      <c r="L121" s="400"/>
      <c r="M121" s="400"/>
      <c r="N121" s="400"/>
      <c r="O121" s="400"/>
      <c r="P121" s="400"/>
      <c r="Q121" s="400"/>
      <c r="R121" s="400"/>
      <c r="S121" s="400"/>
      <c r="T121" s="400"/>
      <c r="U121" s="400"/>
      <c r="V121" s="400"/>
      <c r="W121" s="400"/>
      <c r="X121" s="400"/>
      <c r="Y121" s="400"/>
      <c r="Z121" s="400"/>
      <c r="AA121" s="400"/>
      <c r="AB121" s="400"/>
      <c r="AC121" s="400"/>
      <c r="AD121" s="400"/>
      <c r="AE121" s="400"/>
      <c r="AF121" s="400"/>
      <c r="AG121" s="400"/>
      <c r="AH121" s="400"/>
      <c r="AI121" s="400"/>
      <c r="AJ121" s="400"/>
      <c r="AK121" s="400"/>
      <c r="AL121" s="400"/>
      <c r="AM121" s="400"/>
      <c r="AN121" s="400"/>
      <c r="AO121" s="400"/>
      <c r="AP121" s="400"/>
      <c r="AQ121" s="400"/>
      <c r="AR121" s="400"/>
      <c r="AS121" s="400"/>
      <c r="AT121" s="400"/>
      <c r="AU121" s="400"/>
      <c r="AV121" s="400"/>
      <c r="AW121" s="400"/>
      <c r="AX121" s="400"/>
      <c r="AY121" s="400"/>
      <c r="AZ121" s="400"/>
      <c r="BA121" s="400"/>
      <c r="BB121" s="400"/>
      <c r="BC121" s="400"/>
      <c r="BD121" s="400"/>
      <c r="BE121" s="400"/>
      <c r="BF121" s="400"/>
      <c r="BG121" s="400"/>
      <c r="BH121" s="400"/>
      <c r="BI121" s="400"/>
      <c r="BJ121" s="400"/>
      <c r="BK121" s="400"/>
      <c r="BL121" s="400"/>
      <c r="BM121" s="400"/>
      <c r="BN121" s="400"/>
      <c r="BO121" s="400"/>
      <c r="BP121" s="400"/>
      <c r="BQ121" s="400"/>
      <c r="BR121" s="400"/>
      <c r="BS121" s="400"/>
      <c r="BT121" s="400"/>
      <c r="BU121" s="400"/>
    </row>
    <row r="122" spans="1:73" s="401" customFormat="1" ht="30.75" customHeight="1" thickBot="1">
      <c r="A122" s="316" t="s">
        <v>657</v>
      </c>
      <c r="B122" s="317"/>
      <c r="C122" s="318">
        <v>500000</v>
      </c>
      <c r="D122" s="399">
        <f>SUM(C122)+420000</f>
        <v>920000</v>
      </c>
      <c r="E122" s="399">
        <f>420000+73710</f>
        <v>493710</v>
      </c>
      <c r="F122" s="315">
        <f>E122/D122</f>
        <v>0.53664130434782609</v>
      </c>
      <c r="G122" s="400"/>
      <c r="H122" s="400"/>
      <c r="I122" s="400"/>
      <c r="J122" s="400"/>
      <c r="K122" s="400"/>
      <c r="L122" s="400"/>
      <c r="M122" s="400"/>
      <c r="N122" s="400"/>
      <c r="O122" s="400"/>
      <c r="P122" s="400"/>
      <c r="Q122" s="400"/>
      <c r="R122" s="400"/>
      <c r="S122" s="400"/>
      <c r="T122" s="400"/>
      <c r="U122" s="400"/>
      <c r="V122" s="400"/>
      <c r="W122" s="400"/>
      <c r="X122" s="400"/>
      <c r="Y122" s="400"/>
      <c r="Z122" s="400"/>
      <c r="AA122" s="400"/>
      <c r="AB122" s="400"/>
      <c r="AC122" s="400"/>
      <c r="AD122" s="400"/>
      <c r="AE122" s="400"/>
      <c r="AF122" s="400"/>
      <c r="AG122" s="400"/>
      <c r="AH122" s="400"/>
      <c r="AI122" s="400"/>
      <c r="AJ122" s="400"/>
      <c r="AK122" s="400"/>
      <c r="AL122" s="400"/>
      <c r="AM122" s="400"/>
      <c r="AN122" s="400"/>
      <c r="AO122" s="400"/>
      <c r="AP122" s="400"/>
      <c r="AQ122" s="400"/>
      <c r="AR122" s="400"/>
      <c r="AS122" s="400"/>
      <c r="AT122" s="400"/>
      <c r="AU122" s="400"/>
      <c r="AV122" s="400"/>
      <c r="AW122" s="400"/>
      <c r="AX122" s="400"/>
      <c r="AY122" s="400"/>
      <c r="AZ122" s="400"/>
      <c r="BA122" s="400"/>
      <c r="BB122" s="400"/>
      <c r="BC122" s="400"/>
      <c r="BD122" s="400"/>
      <c r="BE122" s="400"/>
      <c r="BF122" s="400"/>
      <c r="BG122" s="400"/>
      <c r="BH122" s="400"/>
      <c r="BI122" s="400"/>
      <c r="BJ122" s="400"/>
      <c r="BK122" s="400"/>
      <c r="BL122" s="400"/>
      <c r="BM122" s="400"/>
      <c r="BN122" s="400"/>
      <c r="BO122" s="400"/>
      <c r="BP122" s="400"/>
      <c r="BQ122" s="400"/>
      <c r="BR122" s="400"/>
      <c r="BS122" s="400"/>
      <c r="BT122" s="400"/>
      <c r="BU122" s="400"/>
    </row>
    <row r="123" spans="1:73" s="396" customFormat="1" ht="32.25" customHeight="1" thickBot="1">
      <c r="A123" s="638" t="s">
        <v>886</v>
      </c>
      <c r="B123" s="398"/>
      <c r="C123" s="399">
        <v>5000000</v>
      </c>
      <c r="D123" s="399">
        <f>SUM(C123)+13424000</f>
        <v>18424000</v>
      </c>
      <c r="E123" s="399">
        <v>18424000</v>
      </c>
      <c r="F123" s="315">
        <f t="shared" ref="F123:F127" si="18">E123/D123</f>
        <v>1</v>
      </c>
      <c r="G123" s="395"/>
      <c r="H123" s="395"/>
      <c r="I123" s="395"/>
      <c r="J123" s="395"/>
      <c r="K123" s="395"/>
      <c r="L123" s="395"/>
      <c r="M123" s="395"/>
      <c r="N123" s="395"/>
      <c r="O123" s="395"/>
      <c r="P123" s="395"/>
      <c r="Q123" s="395"/>
      <c r="R123" s="395"/>
      <c r="S123" s="395"/>
      <c r="T123" s="395"/>
      <c r="U123" s="395"/>
      <c r="V123" s="395"/>
      <c r="W123" s="395"/>
      <c r="X123" s="395"/>
      <c r="Y123" s="395"/>
      <c r="Z123" s="395"/>
      <c r="AA123" s="395"/>
      <c r="AB123" s="395"/>
      <c r="AC123" s="395"/>
      <c r="AD123" s="395"/>
      <c r="AE123" s="395"/>
      <c r="AF123" s="395"/>
      <c r="AG123" s="395"/>
      <c r="AH123" s="395"/>
      <c r="AI123" s="395"/>
      <c r="AJ123" s="395"/>
      <c r="AK123" s="395"/>
      <c r="AL123" s="395"/>
      <c r="AM123" s="395"/>
      <c r="AN123" s="395"/>
      <c r="AO123" s="395"/>
      <c r="AP123" s="395"/>
      <c r="AQ123" s="395"/>
      <c r="AR123" s="395"/>
      <c r="AS123" s="395"/>
      <c r="AT123" s="395"/>
      <c r="AU123" s="395"/>
      <c r="AV123" s="395"/>
      <c r="AW123" s="395"/>
      <c r="AX123" s="395"/>
      <c r="AY123" s="395"/>
      <c r="AZ123" s="395"/>
      <c r="BA123" s="395"/>
      <c r="BB123" s="395"/>
      <c r="BC123" s="395"/>
      <c r="BD123" s="395"/>
      <c r="BE123" s="395"/>
      <c r="BF123" s="395"/>
      <c r="BG123" s="395"/>
      <c r="BH123" s="395"/>
      <c r="BI123" s="395"/>
      <c r="BJ123" s="395"/>
      <c r="BK123" s="395"/>
      <c r="BL123" s="395"/>
      <c r="BM123" s="395"/>
      <c r="BN123" s="395"/>
      <c r="BO123" s="395"/>
      <c r="BP123" s="395"/>
      <c r="BQ123" s="395"/>
      <c r="BR123" s="395"/>
      <c r="BS123" s="395"/>
      <c r="BT123" s="395"/>
      <c r="BU123" s="395"/>
    </row>
    <row r="124" spans="1:73" s="396" customFormat="1" ht="50.25" customHeight="1" thickBot="1">
      <c r="A124" s="715" t="s">
        <v>923</v>
      </c>
      <c r="B124" s="398"/>
      <c r="C124" s="399"/>
      <c r="D124" s="543">
        <v>1417482</v>
      </c>
      <c r="E124" s="543">
        <v>2835113</v>
      </c>
      <c r="F124" s="569">
        <f t="shared" si="18"/>
        <v>2.0001051159732541</v>
      </c>
      <c r="G124" s="395"/>
      <c r="H124" s="395"/>
      <c r="I124" s="395"/>
      <c r="J124" s="395"/>
      <c r="K124" s="395"/>
      <c r="L124" s="395"/>
      <c r="M124" s="395"/>
      <c r="N124" s="395"/>
      <c r="O124" s="395"/>
      <c r="P124" s="395"/>
      <c r="Q124" s="395"/>
      <c r="R124" s="395"/>
      <c r="S124" s="395"/>
      <c r="T124" s="395"/>
      <c r="U124" s="395"/>
      <c r="V124" s="395"/>
      <c r="W124" s="395"/>
      <c r="X124" s="395"/>
      <c r="Y124" s="395"/>
      <c r="Z124" s="395"/>
      <c r="AA124" s="395"/>
      <c r="AB124" s="395"/>
      <c r="AC124" s="395"/>
      <c r="AD124" s="395"/>
      <c r="AE124" s="395"/>
      <c r="AF124" s="395"/>
      <c r="AG124" s="395"/>
      <c r="AH124" s="395"/>
      <c r="AI124" s="395"/>
      <c r="AJ124" s="395"/>
      <c r="AK124" s="395"/>
      <c r="AL124" s="395"/>
      <c r="AM124" s="395"/>
      <c r="AN124" s="395"/>
      <c r="AO124" s="395"/>
      <c r="AP124" s="395"/>
      <c r="AQ124" s="395"/>
      <c r="AR124" s="395"/>
      <c r="AS124" s="395"/>
      <c r="AT124" s="395"/>
      <c r="AU124" s="395"/>
      <c r="AV124" s="395"/>
      <c r="AW124" s="395"/>
      <c r="AX124" s="395"/>
      <c r="AY124" s="395"/>
      <c r="AZ124" s="395"/>
      <c r="BA124" s="395"/>
      <c r="BB124" s="395"/>
      <c r="BC124" s="395"/>
      <c r="BD124" s="395"/>
      <c r="BE124" s="395"/>
      <c r="BF124" s="395"/>
      <c r="BG124" s="395"/>
      <c r="BH124" s="395"/>
      <c r="BI124" s="395"/>
      <c r="BJ124" s="395"/>
      <c r="BK124" s="395"/>
      <c r="BL124" s="395"/>
      <c r="BM124" s="395"/>
      <c r="BN124" s="395"/>
      <c r="BO124" s="395"/>
      <c r="BP124" s="395"/>
      <c r="BQ124" s="395"/>
      <c r="BR124" s="395"/>
      <c r="BS124" s="395"/>
      <c r="BT124" s="395"/>
      <c r="BU124" s="395"/>
    </row>
    <row r="125" spans="1:73" s="396" customFormat="1" ht="32.25" customHeight="1" thickBot="1">
      <c r="A125" s="638" t="s">
        <v>887</v>
      </c>
      <c r="B125" s="398"/>
      <c r="C125" s="399">
        <v>1875000</v>
      </c>
      <c r="D125" s="399">
        <f>SUM(C125)+1875000</f>
        <v>3750000</v>
      </c>
      <c r="E125" s="399">
        <v>3750000</v>
      </c>
      <c r="F125" s="315">
        <f t="shared" si="18"/>
        <v>1</v>
      </c>
      <c r="G125" s="395"/>
      <c r="H125" s="395"/>
      <c r="I125" s="395"/>
      <c r="J125" s="395"/>
      <c r="K125" s="395"/>
      <c r="L125" s="395"/>
      <c r="M125" s="395"/>
      <c r="N125" s="395"/>
      <c r="O125" s="395"/>
      <c r="P125" s="395"/>
      <c r="Q125" s="395"/>
      <c r="R125" s="395"/>
      <c r="S125" s="395"/>
      <c r="T125" s="395"/>
      <c r="U125" s="395"/>
      <c r="V125" s="395"/>
      <c r="W125" s="395"/>
      <c r="X125" s="395"/>
      <c r="Y125" s="395"/>
      <c r="Z125" s="395"/>
      <c r="AA125" s="395"/>
      <c r="AB125" s="395"/>
      <c r="AC125" s="395"/>
      <c r="AD125" s="395"/>
      <c r="AE125" s="395"/>
      <c r="AF125" s="395"/>
      <c r="AG125" s="395"/>
      <c r="AH125" s="395"/>
      <c r="AI125" s="395"/>
      <c r="AJ125" s="395"/>
      <c r="AK125" s="395"/>
      <c r="AL125" s="395"/>
      <c r="AM125" s="395"/>
      <c r="AN125" s="395"/>
      <c r="AO125" s="395"/>
      <c r="AP125" s="395"/>
      <c r="AQ125" s="395"/>
      <c r="AR125" s="395"/>
      <c r="AS125" s="395"/>
      <c r="AT125" s="395"/>
      <c r="AU125" s="395"/>
      <c r="AV125" s="395"/>
      <c r="AW125" s="395"/>
      <c r="AX125" s="395"/>
      <c r="AY125" s="395"/>
      <c r="AZ125" s="395"/>
      <c r="BA125" s="395"/>
      <c r="BB125" s="395"/>
      <c r="BC125" s="395"/>
      <c r="BD125" s="395"/>
      <c r="BE125" s="395"/>
      <c r="BF125" s="395"/>
      <c r="BG125" s="395"/>
      <c r="BH125" s="395"/>
      <c r="BI125" s="395"/>
      <c r="BJ125" s="395"/>
      <c r="BK125" s="395"/>
      <c r="BL125" s="395"/>
      <c r="BM125" s="395"/>
      <c r="BN125" s="395"/>
      <c r="BO125" s="395"/>
      <c r="BP125" s="395"/>
      <c r="BQ125" s="395"/>
      <c r="BR125" s="395"/>
      <c r="BS125" s="395"/>
      <c r="BT125" s="395"/>
      <c r="BU125" s="395"/>
    </row>
    <row r="126" spans="1:73" s="396" customFormat="1" ht="32.25" customHeight="1" thickBot="1">
      <c r="A126" s="911" t="s">
        <v>888</v>
      </c>
      <c r="B126" s="912"/>
      <c r="C126" s="399"/>
      <c r="D126" s="543">
        <f>1371600</f>
        <v>1371600</v>
      </c>
      <c r="E126" s="543">
        <v>1143000</v>
      </c>
      <c r="F126" s="315">
        <f t="shared" si="18"/>
        <v>0.83333333333333337</v>
      </c>
      <c r="G126" s="395"/>
      <c r="H126" s="395"/>
      <c r="I126" s="395"/>
      <c r="J126" s="395"/>
      <c r="K126" s="395"/>
      <c r="L126" s="395"/>
      <c r="M126" s="395"/>
      <c r="N126" s="395"/>
      <c r="O126" s="395"/>
      <c r="P126" s="395"/>
      <c r="Q126" s="395"/>
      <c r="R126" s="395"/>
      <c r="S126" s="395"/>
      <c r="T126" s="395"/>
      <c r="U126" s="395"/>
      <c r="V126" s="395"/>
      <c r="W126" s="395"/>
      <c r="X126" s="395"/>
      <c r="Y126" s="395"/>
      <c r="Z126" s="395"/>
      <c r="AA126" s="395"/>
      <c r="AB126" s="395"/>
      <c r="AC126" s="395"/>
      <c r="AD126" s="395"/>
      <c r="AE126" s="395"/>
      <c r="AF126" s="395"/>
      <c r="AG126" s="395"/>
      <c r="AH126" s="395"/>
      <c r="AI126" s="395"/>
      <c r="AJ126" s="395"/>
      <c r="AK126" s="395"/>
      <c r="AL126" s="395"/>
      <c r="AM126" s="395"/>
      <c r="AN126" s="395"/>
      <c r="AO126" s="395"/>
      <c r="AP126" s="395"/>
      <c r="AQ126" s="395"/>
      <c r="AR126" s="395"/>
      <c r="AS126" s="395"/>
      <c r="AT126" s="395"/>
      <c r="AU126" s="395"/>
      <c r="AV126" s="395"/>
      <c r="AW126" s="395"/>
      <c r="AX126" s="395"/>
      <c r="AY126" s="395"/>
      <c r="AZ126" s="395"/>
      <c r="BA126" s="395"/>
      <c r="BB126" s="395"/>
      <c r="BC126" s="395"/>
      <c r="BD126" s="395"/>
      <c r="BE126" s="395"/>
      <c r="BF126" s="395"/>
      <c r="BG126" s="395"/>
      <c r="BH126" s="395"/>
      <c r="BI126" s="395"/>
      <c r="BJ126" s="395"/>
      <c r="BK126" s="395"/>
      <c r="BL126" s="395"/>
      <c r="BM126" s="395"/>
      <c r="BN126" s="395"/>
      <c r="BO126" s="395"/>
      <c r="BP126" s="395"/>
      <c r="BQ126" s="395"/>
      <c r="BR126" s="395"/>
      <c r="BS126" s="395"/>
      <c r="BT126" s="395"/>
      <c r="BU126" s="395"/>
    </row>
    <row r="127" spans="1:73" s="396" customFormat="1" ht="26.25" customHeight="1" thickBot="1">
      <c r="A127" s="638" t="s">
        <v>491</v>
      </c>
      <c r="B127" s="398"/>
      <c r="C127" s="399">
        <f>SUM(B128:B134)</f>
        <v>1438460</v>
      </c>
      <c r="D127" s="399">
        <f t="shared" si="17"/>
        <v>1438460</v>
      </c>
      <c r="E127" s="399">
        <v>850868</v>
      </c>
      <c r="F127" s="315">
        <f t="shared" si="18"/>
        <v>0.59151314600336469</v>
      </c>
      <c r="G127" s="395"/>
      <c r="H127" s="395"/>
      <c r="I127" s="395"/>
      <c r="J127" s="395"/>
      <c r="K127" s="395"/>
      <c r="L127" s="395"/>
      <c r="M127" s="395"/>
      <c r="N127" s="395"/>
      <c r="O127" s="395"/>
      <c r="P127" s="395"/>
      <c r="Q127" s="395"/>
      <c r="R127" s="395"/>
      <c r="S127" s="395"/>
      <c r="T127" s="395"/>
      <c r="U127" s="395"/>
      <c r="V127" s="395"/>
      <c r="W127" s="395"/>
      <c r="X127" s="395"/>
      <c r="Y127" s="395"/>
      <c r="Z127" s="395"/>
      <c r="AA127" s="395"/>
      <c r="AB127" s="395"/>
      <c r="AC127" s="395"/>
      <c r="AD127" s="395"/>
      <c r="AE127" s="395"/>
      <c r="AF127" s="395"/>
      <c r="AG127" s="395"/>
      <c r="AH127" s="395"/>
      <c r="AI127" s="395"/>
      <c r="AJ127" s="395"/>
      <c r="AK127" s="395"/>
      <c r="AL127" s="395"/>
      <c r="AM127" s="395"/>
      <c r="AN127" s="395"/>
      <c r="AO127" s="395"/>
      <c r="AP127" s="395"/>
      <c r="AQ127" s="395"/>
      <c r="AR127" s="395"/>
      <c r="AS127" s="395"/>
      <c r="AT127" s="395"/>
      <c r="AU127" s="395"/>
      <c r="AV127" s="395"/>
      <c r="AW127" s="395"/>
      <c r="AX127" s="395"/>
      <c r="AY127" s="395"/>
      <c r="AZ127" s="395"/>
      <c r="BA127" s="395"/>
      <c r="BB127" s="395"/>
      <c r="BC127" s="395"/>
      <c r="BD127" s="395"/>
      <c r="BE127" s="395"/>
      <c r="BF127" s="395"/>
      <c r="BG127" s="395"/>
      <c r="BH127" s="395"/>
      <c r="BI127" s="395"/>
      <c r="BJ127" s="395"/>
      <c r="BK127" s="395"/>
      <c r="BL127" s="395"/>
      <c r="BM127" s="395"/>
      <c r="BN127" s="395"/>
      <c r="BO127" s="395"/>
      <c r="BP127" s="395"/>
      <c r="BQ127" s="395"/>
      <c r="BR127" s="395"/>
      <c r="BS127" s="395"/>
      <c r="BT127" s="395"/>
      <c r="BU127" s="395"/>
    </row>
    <row r="128" spans="1:73" s="396" customFormat="1" ht="38.25" thickBot="1">
      <c r="A128" s="397" t="s">
        <v>658</v>
      </c>
      <c r="B128" s="393">
        <v>718725</v>
      </c>
      <c r="C128" s="399"/>
      <c r="D128" s="399"/>
      <c r="E128" s="399"/>
      <c r="F128" s="315"/>
      <c r="G128" s="395"/>
      <c r="H128" s="395"/>
      <c r="I128" s="395"/>
      <c r="J128" s="395"/>
      <c r="K128" s="395"/>
      <c r="L128" s="395"/>
      <c r="M128" s="395"/>
      <c r="N128" s="395"/>
      <c r="O128" s="395"/>
      <c r="P128" s="395"/>
      <c r="Q128" s="395"/>
      <c r="R128" s="395"/>
      <c r="S128" s="395"/>
      <c r="T128" s="395"/>
      <c r="U128" s="395"/>
      <c r="V128" s="395"/>
      <c r="W128" s="395"/>
      <c r="X128" s="395"/>
      <c r="Y128" s="395"/>
      <c r="Z128" s="395"/>
      <c r="AA128" s="395"/>
      <c r="AB128" s="395"/>
      <c r="AC128" s="395"/>
      <c r="AD128" s="395"/>
      <c r="AE128" s="395"/>
      <c r="AF128" s="395"/>
      <c r="AG128" s="395"/>
      <c r="AH128" s="395"/>
      <c r="AI128" s="395"/>
      <c r="AJ128" s="395"/>
      <c r="AK128" s="395"/>
      <c r="AL128" s="395"/>
      <c r="AM128" s="395"/>
      <c r="AN128" s="395"/>
      <c r="AO128" s="395"/>
      <c r="AP128" s="395"/>
      <c r="AQ128" s="395"/>
      <c r="AR128" s="395"/>
      <c r="AS128" s="395"/>
      <c r="AT128" s="395"/>
      <c r="AU128" s="395"/>
      <c r="AV128" s="395"/>
      <c r="AW128" s="395"/>
      <c r="AX128" s="395"/>
      <c r="AY128" s="395"/>
      <c r="AZ128" s="395"/>
      <c r="BA128" s="395"/>
      <c r="BB128" s="395"/>
      <c r="BC128" s="395"/>
      <c r="BD128" s="395"/>
      <c r="BE128" s="395"/>
      <c r="BF128" s="395"/>
      <c r="BG128" s="395"/>
      <c r="BH128" s="395"/>
      <c r="BI128" s="395"/>
      <c r="BJ128" s="395"/>
      <c r="BK128" s="395"/>
      <c r="BL128" s="395"/>
      <c r="BM128" s="395"/>
      <c r="BN128" s="395"/>
      <c r="BO128" s="395"/>
      <c r="BP128" s="395"/>
      <c r="BQ128" s="395"/>
      <c r="BR128" s="395"/>
      <c r="BS128" s="395"/>
      <c r="BT128" s="395"/>
      <c r="BU128" s="395"/>
    </row>
    <row r="129" spans="1:73" s="396" customFormat="1" ht="24" customHeight="1" thickBot="1">
      <c r="A129" s="397" t="s">
        <v>659</v>
      </c>
      <c r="B129" s="393">
        <v>50000</v>
      </c>
      <c r="C129" s="399"/>
      <c r="D129" s="399"/>
      <c r="E129" s="399"/>
      <c r="F129" s="315"/>
      <c r="G129" s="395"/>
      <c r="H129" s="395"/>
      <c r="I129" s="395"/>
      <c r="J129" s="395"/>
      <c r="K129" s="395"/>
      <c r="L129" s="395"/>
      <c r="M129" s="395"/>
      <c r="N129" s="395"/>
      <c r="O129" s="395"/>
      <c r="P129" s="395"/>
      <c r="Q129" s="395"/>
      <c r="R129" s="395"/>
      <c r="S129" s="395"/>
      <c r="T129" s="395"/>
      <c r="U129" s="395"/>
      <c r="V129" s="395"/>
      <c r="W129" s="395"/>
      <c r="X129" s="395"/>
      <c r="Y129" s="395"/>
      <c r="Z129" s="395"/>
      <c r="AA129" s="395"/>
      <c r="AB129" s="395"/>
      <c r="AC129" s="395"/>
      <c r="AD129" s="395"/>
      <c r="AE129" s="395"/>
      <c r="AF129" s="395"/>
      <c r="AG129" s="395"/>
      <c r="AH129" s="395"/>
      <c r="AI129" s="395"/>
      <c r="AJ129" s="395"/>
      <c r="AK129" s="395"/>
      <c r="AL129" s="395"/>
      <c r="AM129" s="395"/>
      <c r="AN129" s="395"/>
      <c r="AO129" s="395"/>
      <c r="AP129" s="395"/>
      <c r="AQ129" s="395"/>
      <c r="AR129" s="395"/>
      <c r="AS129" s="395"/>
      <c r="AT129" s="395"/>
      <c r="AU129" s="395"/>
      <c r="AV129" s="395"/>
      <c r="AW129" s="395"/>
      <c r="AX129" s="395"/>
      <c r="AY129" s="395"/>
      <c r="AZ129" s="395"/>
      <c r="BA129" s="395"/>
      <c r="BB129" s="395"/>
      <c r="BC129" s="395"/>
      <c r="BD129" s="395"/>
      <c r="BE129" s="395"/>
      <c r="BF129" s="395"/>
      <c r="BG129" s="395"/>
      <c r="BH129" s="395"/>
      <c r="BI129" s="395"/>
      <c r="BJ129" s="395"/>
      <c r="BK129" s="395"/>
      <c r="BL129" s="395"/>
      <c r="BM129" s="395"/>
      <c r="BN129" s="395"/>
      <c r="BO129" s="395"/>
      <c r="BP129" s="395"/>
      <c r="BQ129" s="395"/>
      <c r="BR129" s="395"/>
      <c r="BS129" s="395"/>
      <c r="BT129" s="395"/>
      <c r="BU129" s="395"/>
    </row>
    <row r="130" spans="1:73" s="396" customFormat="1" ht="62.25" customHeight="1" thickBot="1">
      <c r="A130" s="397" t="s">
        <v>660</v>
      </c>
      <c r="B130" s="393">
        <v>543200</v>
      </c>
      <c r="C130" s="399"/>
      <c r="D130" s="399"/>
      <c r="E130" s="399"/>
      <c r="F130" s="315"/>
      <c r="G130" s="395"/>
      <c r="H130" s="395"/>
      <c r="I130" s="395"/>
      <c r="J130" s="395"/>
      <c r="K130" s="395"/>
      <c r="L130" s="395"/>
      <c r="M130" s="395"/>
      <c r="N130" s="395"/>
      <c r="O130" s="395"/>
      <c r="P130" s="395"/>
      <c r="Q130" s="395"/>
      <c r="R130" s="395"/>
      <c r="S130" s="395"/>
      <c r="T130" s="395"/>
      <c r="U130" s="395"/>
      <c r="V130" s="395"/>
      <c r="W130" s="395"/>
      <c r="X130" s="395"/>
      <c r="Y130" s="395"/>
      <c r="Z130" s="395"/>
      <c r="AA130" s="395"/>
      <c r="AB130" s="395"/>
      <c r="AC130" s="395"/>
      <c r="AD130" s="395"/>
      <c r="AE130" s="395"/>
      <c r="AF130" s="395"/>
      <c r="AG130" s="395"/>
      <c r="AH130" s="395"/>
      <c r="AI130" s="395"/>
      <c r="AJ130" s="395"/>
      <c r="AK130" s="395"/>
      <c r="AL130" s="395"/>
      <c r="AM130" s="395"/>
      <c r="AN130" s="395"/>
      <c r="AO130" s="395"/>
      <c r="AP130" s="395"/>
      <c r="AQ130" s="395"/>
      <c r="AR130" s="395"/>
      <c r="AS130" s="395"/>
      <c r="AT130" s="395"/>
      <c r="AU130" s="395"/>
      <c r="AV130" s="395"/>
      <c r="AW130" s="395"/>
      <c r="AX130" s="395"/>
      <c r="AY130" s="395"/>
      <c r="AZ130" s="395"/>
      <c r="BA130" s="395"/>
      <c r="BB130" s="395"/>
      <c r="BC130" s="395"/>
      <c r="BD130" s="395"/>
      <c r="BE130" s="395"/>
      <c r="BF130" s="395"/>
      <c r="BG130" s="395"/>
      <c r="BH130" s="395"/>
      <c r="BI130" s="395"/>
      <c r="BJ130" s="395"/>
      <c r="BK130" s="395"/>
      <c r="BL130" s="395"/>
      <c r="BM130" s="395"/>
      <c r="BN130" s="395"/>
      <c r="BO130" s="395"/>
      <c r="BP130" s="395"/>
      <c r="BQ130" s="395"/>
      <c r="BR130" s="395"/>
      <c r="BS130" s="395"/>
      <c r="BT130" s="395"/>
      <c r="BU130" s="395"/>
    </row>
    <row r="131" spans="1:73" s="396" customFormat="1" ht="30.75" customHeight="1" thickBot="1">
      <c r="A131" s="397" t="s">
        <v>661</v>
      </c>
      <c r="B131" s="393">
        <v>20535</v>
      </c>
      <c r="C131" s="399"/>
      <c r="D131" s="399"/>
      <c r="E131" s="399"/>
      <c r="F131" s="315"/>
      <c r="G131" s="395"/>
      <c r="H131" s="395"/>
      <c r="I131" s="395"/>
      <c r="J131" s="395"/>
      <c r="K131" s="395"/>
      <c r="L131" s="395"/>
      <c r="M131" s="395"/>
      <c r="N131" s="395"/>
      <c r="O131" s="395"/>
      <c r="P131" s="395"/>
      <c r="Q131" s="395"/>
      <c r="R131" s="395"/>
      <c r="S131" s="395"/>
      <c r="T131" s="395"/>
      <c r="U131" s="395"/>
      <c r="V131" s="395"/>
      <c r="W131" s="395"/>
      <c r="X131" s="395"/>
      <c r="Y131" s="395"/>
      <c r="Z131" s="395"/>
      <c r="AA131" s="395"/>
      <c r="AB131" s="395"/>
      <c r="AC131" s="395"/>
      <c r="AD131" s="395"/>
      <c r="AE131" s="395"/>
      <c r="AF131" s="395"/>
      <c r="AG131" s="395"/>
      <c r="AH131" s="395"/>
      <c r="AI131" s="395"/>
      <c r="AJ131" s="395"/>
      <c r="AK131" s="395"/>
      <c r="AL131" s="395"/>
      <c r="AM131" s="395"/>
      <c r="AN131" s="395"/>
      <c r="AO131" s="395"/>
      <c r="AP131" s="395"/>
      <c r="AQ131" s="395"/>
      <c r="AR131" s="395"/>
      <c r="AS131" s="395"/>
      <c r="AT131" s="395"/>
      <c r="AU131" s="395"/>
      <c r="AV131" s="395"/>
      <c r="AW131" s="395"/>
      <c r="AX131" s="395"/>
      <c r="AY131" s="395"/>
      <c r="AZ131" s="395"/>
      <c r="BA131" s="395"/>
      <c r="BB131" s="395"/>
      <c r="BC131" s="395"/>
      <c r="BD131" s="395"/>
      <c r="BE131" s="395"/>
      <c r="BF131" s="395"/>
      <c r="BG131" s="395"/>
      <c r="BH131" s="395"/>
      <c r="BI131" s="395"/>
      <c r="BJ131" s="395"/>
      <c r="BK131" s="395"/>
      <c r="BL131" s="395"/>
      <c r="BM131" s="395"/>
      <c r="BN131" s="395"/>
      <c r="BO131" s="395"/>
      <c r="BP131" s="395"/>
      <c r="BQ131" s="395"/>
      <c r="BR131" s="395"/>
      <c r="BS131" s="395"/>
      <c r="BT131" s="395"/>
      <c r="BU131" s="395"/>
    </row>
    <row r="132" spans="1:73" s="396" customFormat="1" ht="37.5" customHeight="1" thickBot="1">
      <c r="A132" s="397" t="s">
        <v>492</v>
      </c>
      <c r="B132" s="393">
        <v>1000</v>
      </c>
      <c r="C132" s="399"/>
      <c r="D132" s="399"/>
      <c r="E132" s="399"/>
      <c r="F132" s="315"/>
      <c r="G132" s="395"/>
      <c r="H132" s="395"/>
      <c r="I132" s="395"/>
      <c r="J132" s="395"/>
      <c r="K132" s="395"/>
      <c r="L132" s="395"/>
      <c r="M132" s="395"/>
      <c r="N132" s="395"/>
      <c r="O132" s="395"/>
      <c r="P132" s="395"/>
      <c r="Q132" s="395"/>
      <c r="R132" s="395"/>
      <c r="S132" s="395"/>
      <c r="T132" s="395"/>
      <c r="U132" s="395"/>
      <c r="V132" s="395"/>
      <c r="W132" s="395"/>
      <c r="X132" s="395"/>
      <c r="Y132" s="395"/>
      <c r="Z132" s="395"/>
      <c r="AA132" s="395"/>
      <c r="AB132" s="395"/>
      <c r="AC132" s="395"/>
      <c r="AD132" s="395"/>
      <c r="AE132" s="395"/>
      <c r="AF132" s="395"/>
      <c r="AG132" s="395"/>
      <c r="AH132" s="395"/>
      <c r="AI132" s="395"/>
      <c r="AJ132" s="395"/>
      <c r="AK132" s="395"/>
      <c r="AL132" s="395"/>
      <c r="AM132" s="395"/>
      <c r="AN132" s="395"/>
      <c r="AO132" s="395"/>
      <c r="AP132" s="395"/>
      <c r="AQ132" s="395"/>
      <c r="AR132" s="395"/>
      <c r="AS132" s="395"/>
      <c r="AT132" s="395"/>
      <c r="AU132" s="395"/>
      <c r="AV132" s="395"/>
      <c r="AW132" s="395"/>
      <c r="AX132" s="395"/>
      <c r="AY132" s="395"/>
      <c r="AZ132" s="395"/>
      <c r="BA132" s="395"/>
      <c r="BB132" s="395"/>
      <c r="BC132" s="395"/>
      <c r="BD132" s="395"/>
      <c r="BE132" s="395"/>
      <c r="BF132" s="395"/>
      <c r="BG132" s="395"/>
      <c r="BH132" s="395"/>
      <c r="BI132" s="395"/>
      <c r="BJ132" s="395"/>
      <c r="BK132" s="395"/>
      <c r="BL132" s="395"/>
      <c r="BM132" s="395"/>
      <c r="BN132" s="395"/>
      <c r="BO132" s="395"/>
      <c r="BP132" s="395"/>
      <c r="BQ132" s="395"/>
      <c r="BR132" s="395"/>
      <c r="BS132" s="395"/>
      <c r="BT132" s="395"/>
      <c r="BU132" s="395"/>
    </row>
    <row r="133" spans="1:73" s="396" customFormat="1" ht="24" customHeight="1" thickBot="1">
      <c r="A133" s="397" t="s">
        <v>493</v>
      </c>
      <c r="B133" s="393">
        <v>5000</v>
      </c>
      <c r="C133" s="399"/>
      <c r="D133" s="399"/>
      <c r="E133" s="399"/>
      <c r="F133" s="315"/>
      <c r="G133" s="395"/>
      <c r="H133" s="395"/>
      <c r="I133" s="395"/>
      <c r="J133" s="395"/>
      <c r="K133" s="395"/>
      <c r="L133" s="395"/>
      <c r="M133" s="395"/>
      <c r="N133" s="395"/>
      <c r="O133" s="395"/>
      <c r="P133" s="395"/>
      <c r="Q133" s="395"/>
      <c r="R133" s="395"/>
      <c r="S133" s="395"/>
      <c r="T133" s="395"/>
      <c r="U133" s="395"/>
      <c r="V133" s="395"/>
      <c r="W133" s="395"/>
      <c r="X133" s="395"/>
      <c r="Y133" s="395"/>
      <c r="Z133" s="395"/>
      <c r="AA133" s="395"/>
      <c r="AB133" s="395"/>
      <c r="AC133" s="395"/>
      <c r="AD133" s="395"/>
      <c r="AE133" s="395"/>
      <c r="AF133" s="395"/>
      <c r="AG133" s="395"/>
      <c r="AH133" s="395"/>
      <c r="AI133" s="395"/>
      <c r="AJ133" s="395"/>
      <c r="AK133" s="395"/>
      <c r="AL133" s="395"/>
      <c r="AM133" s="395"/>
      <c r="AN133" s="395"/>
      <c r="AO133" s="395"/>
      <c r="AP133" s="395"/>
      <c r="AQ133" s="395"/>
      <c r="AR133" s="395"/>
      <c r="AS133" s="395"/>
      <c r="AT133" s="395"/>
      <c r="AU133" s="395"/>
      <c r="AV133" s="395"/>
      <c r="AW133" s="395"/>
      <c r="AX133" s="395"/>
      <c r="AY133" s="395"/>
      <c r="AZ133" s="395"/>
      <c r="BA133" s="395"/>
      <c r="BB133" s="395"/>
      <c r="BC133" s="395"/>
      <c r="BD133" s="395"/>
      <c r="BE133" s="395"/>
      <c r="BF133" s="395"/>
      <c r="BG133" s="395"/>
      <c r="BH133" s="395"/>
      <c r="BI133" s="395"/>
      <c r="BJ133" s="395"/>
      <c r="BK133" s="395"/>
      <c r="BL133" s="395"/>
      <c r="BM133" s="395"/>
      <c r="BN133" s="395"/>
      <c r="BO133" s="395"/>
      <c r="BP133" s="395"/>
      <c r="BQ133" s="395"/>
      <c r="BR133" s="395"/>
      <c r="BS133" s="395"/>
      <c r="BT133" s="395"/>
      <c r="BU133" s="395"/>
    </row>
    <row r="134" spans="1:73" s="667" customFormat="1" ht="27" customHeight="1" thickBot="1">
      <c r="A134" s="664" t="s">
        <v>889</v>
      </c>
      <c r="B134" s="665">
        <v>100000</v>
      </c>
      <c r="C134" s="666"/>
      <c r="D134" s="666"/>
      <c r="E134" s="666"/>
      <c r="F134" s="700"/>
      <c r="G134" s="395"/>
      <c r="H134" s="395"/>
      <c r="I134" s="395"/>
      <c r="J134" s="395"/>
      <c r="K134" s="395"/>
      <c r="L134" s="395"/>
      <c r="M134" s="395"/>
      <c r="N134" s="395"/>
      <c r="O134" s="395"/>
      <c r="P134" s="395"/>
      <c r="Q134" s="395"/>
      <c r="R134" s="395"/>
      <c r="S134" s="395"/>
      <c r="T134" s="395"/>
      <c r="U134" s="395"/>
      <c r="V134" s="395"/>
      <c r="W134" s="395"/>
      <c r="X134" s="395"/>
      <c r="Y134" s="395"/>
      <c r="Z134" s="395"/>
      <c r="AA134" s="395"/>
      <c r="AB134" s="395"/>
      <c r="AC134" s="395"/>
      <c r="AD134" s="395"/>
      <c r="AE134" s="395"/>
      <c r="AF134" s="395"/>
      <c r="AG134" s="395"/>
      <c r="AH134" s="395"/>
      <c r="AI134" s="395"/>
      <c r="AJ134" s="395"/>
      <c r="AK134" s="395"/>
      <c r="AL134" s="395"/>
      <c r="AM134" s="395"/>
      <c r="AN134" s="395"/>
      <c r="AO134" s="395"/>
      <c r="AP134" s="395"/>
      <c r="AQ134" s="395"/>
      <c r="AR134" s="395"/>
      <c r="AS134" s="395"/>
      <c r="AT134" s="395"/>
      <c r="AU134" s="395"/>
      <c r="AV134" s="395"/>
      <c r="AW134" s="395"/>
      <c r="AX134" s="395"/>
      <c r="AY134" s="395"/>
      <c r="AZ134" s="395"/>
      <c r="BA134" s="395"/>
      <c r="BB134" s="395"/>
      <c r="BC134" s="395"/>
      <c r="BD134" s="395"/>
      <c r="BE134" s="395"/>
      <c r="BF134" s="395"/>
      <c r="BG134" s="395"/>
      <c r="BH134" s="395"/>
      <c r="BI134" s="395"/>
      <c r="BJ134" s="395"/>
      <c r="BK134" s="395"/>
      <c r="BL134" s="395"/>
      <c r="BM134" s="395"/>
      <c r="BN134" s="395"/>
      <c r="BO134" s="395"/>
      <c r="BP134" s="395"/>
      <c r="BQ134" s="395"/>
      <c r="BR134" s="395"/>
      <c r="BS134" s="395"/>
      <c r="BT134" s="395"/>
      <c r="BU134" s="395"/>
    </row>
    <row r="135" spans="1:73" s="396" customFormat="1" ht="27.75" customHeight="1" thickBot="1">
      <c r="A135" s="638" t="s">
        <v>494</v>
      </c>
      <c r="B135" s="398"/>
      <c r="C135" s="399">
        <v>9525000</v>
      </c>
      <c r="D135" s="399">
        <f>SUM(C135)+787000</f>
        <v>10312000</v>
      </c>
      <c r="E135" s="399">
        <v>8359356</v>
      </c>
      <c r="F135" s="315">
        <f t="shared" ref="F135" si="19">E135/D135</f>
        <v>0.81064352211016288</v>
      </c>
      <c r="G135" s="395"/>
      <c r="H135" s="395"/>
      <c r="I135" s="395"/>
      <c r="J135" s="395"/>
      <c r="K135" s="395"/>
      <c r="L135" s="395"/>
      <c r="M135" s="395"/>
      <c r="N135" s="395"/>
      <c r="O135" s="395"/>
      <c r="P135" s="395"/>
      <c r="Q135" s="395"/>
      <c r="R135" s="395"/>
      <c r="S135" s="395"/>
      <c r="T135" s="395"/>
      <c r="U135" s="395"/>
      <c r="V135" s="395"/>
      <c r="W135" s="395"/>
      <c r="X135" s="395"/>
      <c r="Y135" s="395"/>
      <c r="Z135" s="395"/>
      <c r="AA135" s="395"/>
      <c r="AB135" s="395"/>
      <c r="AC135" s="395"/>
      <c r="AD135" s="395"/>
      <c r="AE135" s="395"/>
      <c r="AF135" s="395"/>
      <c r="AG135" s="395"/>
      <c r="AH135" s="395"/>
      <c r="AI135" s="395"/>
      <c r="AJ135" s="395"/>
      <c r="AK135" s="395"/>
      <c r="AL135" s="395"/>
      <c r="AM135" s="395"/>
      <c r="AN135" s="395"/>
      <c r="AO135" s="395"/>
      <c r="AP135" s="395"/>
      <c r="AQ135" s="395"/>
      <c r="AR135" s="395"/>
      <c r="AS135" s="395"/>
      <c r="AT135" s="395"/>
      <c r="AU135" s="395"/>
      <c r="AV135" s="395"/>
      <c r="AW135" s="395"/>
      <c r="AX135" s="395"/>
      <c r="AY135" s="395"/>
      <c r="AZ135" s="395"/>
      <c r="BA135" s="395"/>
      <c r="BB135" s="395"/>
      <c r="BC135" s="395"/>
      <c r="BD135" s="395"/>
      <c r="BE135" s="395"/>
      <c r="BF135" s="395"/>
      <c r="BG135" s="395"/>
      <c r="BH135" s="395"/>
      <c r="BI135" s="395"/>
      <c r="BJ135" s="395"/>
      <c r="BK135" s="395"/>
      <c r="BL135" s="395"/>
      <c r="BM135" s="395"/>
      <c r="BN135" s="395"/>
      <c r="BO135" s="395"/>
      <c r="BP135" s="395"/>
      <c r="BQ135" s="395"/>
      <c r="BR135" s="395"/>
      <c r="BS135" s="395"/>
      <c r="BT135" s="395"/>
      <c r="BU135" s="395"/>
    </row>
    <row r="136" spans="1:73" s="401" customFormat="1" ht="44.25" customHeight="1" thickBot="1">
      <c r="A136" s="638" t="s">
        <v>495</v>
      </c>
      <c r="B136" s="398"/>
      <c r="C136" s="399">
        <v>26795000</v>
      </c>
      <c r="D136" s="399">
        <f>SUM(B137:B138)</f>
        <v>29602072</v>
      </c>
      <c r="E136" s="399">
        <f>20319035+5632644</f>
        <v>25951679</v>
      </c>
      <c r="F136" s="315">
        <f>E136/D136</f>
        <v>0.87668454424406506</v>
      </c>
      <c r="G136" s="400"/>
      <c r="H136" s="400"/>
      <c r="I136" s="400"/>
      <c r="J136" s="400"/>
      <c r="K136" s="400"/>
      <c r="L136" s="400"/>
      <c r="M136" s="400"/>
      <c r="N136" s="400"/>
      <c r="O136" s="400"/>
      <c r="P136" s="400"/>
      <c r="Q136" s="400"/>
      <c r="R136" s="400"/>
      <c r="S136" s="400"/>
      <c r="T136" s="400"/>
      <c r="U136" s="400"/>
      <c r="V136" s="400"/>
      <c r="W136" s="400"/>
      <c r="X136" s="400"/>
      <c r="Y136" s="400"/>
      <c r="Z136" s="400"/>
      <c r="AA136" s="400"/>
      <c r="AB136" s="400"/>
      <c r="AC136" s="400"/>
      <c r="AD136" s="400"/>
      <c r="AE136" s="400"/>
      <c r="AF136" s="400"/>
      <c r="AG136" s="400"/>
      <c r="AH136" s="400"/>
      <c r="AI136" s="400"/>
      <c r="AJ136" s="400"/>
      <c r="AK136" s="400"/>
      <c r="AL136" s="400"/>
      <c r="AM136" s="400"/>
      <c r="AN136" s="400"/>
      <c r="AO136" s="400"/>
      <c r="AP136" s="400"/>
      <c r="AQ136" s="400"/>
      <c r="AR136" s="400"/>
      <c r="AS136" s="400"/>
      <c r="AT136" s="400"/>
      <c r="AU136" s="400"/>
      <c r="AV136" s="400"/>
      <c r="AW136" s="400"/>
      <c r="AX136" s="400"/>
      <c r="AY136" s="400"/>
      <c r="AZ136" s="400"/>
      <c r="BA136" s="400"/>
      <c r="BB136" s="400"/>
      <c r="BC136" s="400"/>
      <c r="BD136" s="400"/>
      <c r="BE136" s="400"/>
      <c r="BF136" s="400"/>
      <c r="BG136" s="400"/>
      <c r="BH136" s="400"/>
      <c r="BI136" s="400"/>
      <c r="BJ136" s="400"/>
      <c r="BK136" s="400"/>
      <c r="BL136" s="400"/>
      <c r="BM136" s="400"/>
      <c r="BN136" s="400"/>
      <c r="BO136" s="400"/>
      <c r="BP136" s="400"/>
      <c r="BQ136" s="400"/>
      <c r="BR136" s="400"/>
      <c r="BS136" s="400"/>
      <c r="BT136" s="400"/>
      <c r="BU136" s="400"/>
    </row>
    <row r="137" spans="1:73" s="396" customFormat="1" ht="24" customHeight="1" thickBot="1">
      <c r="A137" s="397" t="s">
        <v>496</v>
      </c>
      <c r="B137" s="393">
        <v>5617000</v>
      </c>
      <c r="C137" s="399"/>
      <c r="D137" s="399"/>
      <c r="E137" s="399"/>
      <c r="F137" s="315"/>
      <c r="G137" s="395"/>
      <c r="H137" s="395"/>
      <c r="I137" s="395"/>
      <c r="J137" s="395"/>
      <c r="K137" s="395"/>
      <c r="L137" s="395"/>
      <c r="M137" s="395"/>
      <c r="N137" s="395"/>
      <c r="O137" s="395"/>
      <c r="P137" s="395"/>
      <c r="Q137" s="395"/>
      <c r="R137" s="395"/>
      <c r="S137" s="395"/>
      <c r="T137" s="395"/>
      <c r="U137" s="395"/>
      <c r="V137" s="395"/>
      <c r="W137" s="395"/>
      <c r="X137" s="395"/>
      <c r="Y137" s="395"/>
      <c r="Z137" s="395"/>
      <c r="AA137" s="395"/>
      <c r="AB137" s="395"/>
      <c r="AC137" s="395"/>
      <c r="AD137" s="395"/>
      <c r="AE137" s="395"/>
      <c r="AF137" s="395"/>
      <c r="AG137" s="395"/>
      <c r="AH137" s="395"/>
      <c r="AI137" s="395"/>
      <c r="AJ137" s="395"/>
      <c r="AK137" s="395"/>
      <c r="AL137" s="395"/>
      <c r="AM137" s="395"/>
      <c r="AN137" s="395"/>
      <c r="AO137" s="395"/>
      <c r="AP137" s="395"/>
      <c r="AQ137" s="395"/>
      <c r="AR137" s="395"/>
      <c r="AS137" s="395"/>
      <c r="AT137" s="395"/>
      <c r="AU137" s="395"/>
      <c r="AV137" s="395"/>
      <c r="AW137" s="395"/>
      <c r="AX137" s="395"/>
      <c r="AY137" s="395"/>
      <c r="AZ137" s="395"/>
      <c r="BA137" s="395"/>
      <c r="BB137" s="395"/>
      <c r="BC137" s="395"/>
      <c r="BD137" s="395"/>
      <c r="BE137" s="395"/>
      <c r="BF137" s="395"/>
      <c r="BG137" s="395"/>
      <c r="BH137" s="395"/>
      <c r="BI137" s="395"/>
      <c r="BJ137" s="395"/>
      <c r="BK137" s="395"/>
      <c r="BL137" s="395"/>
      <c r="BM137" s="395"/>
      <c r="BN137" s="395"/>
      <c r="BO137" s="395"/>
      <c r="BP137" s="395"/>
      <c r="BQ137" s="395"/>
      <c r="BR137" s="395"/>
      <c r="BS137" s="395"/>
      <c r="BT137" s="395"/>
      <c r="BU137" s="395"/>
    </row>
    <row r="138" spans="1:73" s="396" customFormat="1" ht="24" customHeight="1" thickBot="1">
      <c r="A138" s="397" t="s">
        <v>497</v>
      </c>
      <c r="B138" s="393">
        <f>21178000+2807072</f>
        <v>23985072</v>
      </c>
      <c r="C138" s="399"/>
      <c r="D138" s="399"/>
      <c r="E138" s="399"/>
      <c r="F138" s="315"/>
      <c r="G138" s="395"/>
      <c r="H138" s="395"/>
      <c r="I138" s="395"/>
      <c r="J138" s="395"/>
      <c r="K138" s="395"/>
      <c r="L138" s="395"/>
      <c r="M138" s="395"/>
      <c r="N138" s="395"/>
      <c r="O138" s="395"/>
      <c r="P138" s="395"/>
      <c r="Q138" s="395"/>
      <c r="R138" s="395"/>
      <c r="S138" s="395"/>
      <c r="T138" s="395"/>
      <c r="U138" s="395"/>
      <c r="V138" s="395"/>
      <c r="W138" s="395"/>
      <c r="X138" s="395"/>
      <c r="Y138" s="395"/>
      <c r="Z138" s="395"/>
      <c r="AA138" s="395"/>
      <c r="AB138" s="395"/>
      <c r="AC138" s="395"/>
      <c r="AD138" s="395"/>
      <c r="AE138" s="395"/>
      <c r="AF138" s="395"/>
      <c r="AG138" s="395"/>
      <c r="AH138" s="395"/>
      <c r="AI138" s="395"/>
      <c r="AJ138" s="395"/>
      <c r="AK138" s="395"/>
      <c r="AL138" s="395"/>
      <c r="AM138" s="395"/>
      <c r="AN138" s="395"/>
      <c r="AO138" s="395"/>
      <c r="AP138" s="395"/>
      <c r="AQ138" s="395"/>
      <c r="AR138" s="395"/>
      <c r="AS138" s="395"/>
      <c r="AT138" s="395"/>
      <c r="AU138" s="395"/>
      <c r="AV138" s="395"/>
      <c r="AW138" s="395"/>
      <c r="AX138" s="395"/>
      <c r="AY138" s="395"/>
      <c r="AZ138" s="395"/>
      <c r="BA138" s="395"/>
      <c r="BB138" s="395"/>
      <c r="BC138" s="395"/>
      <c r="BD138" s="395"/>
      <c r="BE138" s="395"/>
      <c r="BF138" s="395"/>
      <c r="BG138" s="395"/>
      <c r="BH138" s="395"/>
      <c r="BI138" s="395"/>
      <c r="BJ138" s="395"/>
      <c r="BK138" s="395"/>
      <c r="BL138" s="395"/>
      <c r="BM138" s="395"/>
      <c r="BN138" s="395"/>
      <c r="BO138" s="395"/>
      <c r="BP138" s="395"/>
      <c r="BQ138" s="395"/>
      <c r="BR138" s="395"/>
      <c r="BS138" s="395"/>
      <c r="BT138" s="395"/>
      <c r="BU138" s="395"/>
    </row>
    <row r="139" spans="1:73" s="285" customFormat="1" ht="66.75" customHeight="1" thickBot="1">
      <c r="A139" s="537" t="s">
        <v>456</v>
      </c>
      <c r="B139" s="550"/>
      <c r="C139" s="539" t="s">
        <v>343</v>
      </c>
      <c r="D139" s="539" t="s">
        <v>344</v>
      </c>
      <c r="E139" s="539" t="s">
        <v>285</v>
      </c>
      <c r="F139" s="568" t="s">
        <v>286</v>
      </c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</row>
    <row r="140" spans="1:73" s="396" customFormat="1" ht="42.75" customHeight="1" thickBot="1">
      <c r="A140" s="911" t="s">
        <v>475</v>
      </c>
      <c r="B140" s="912"/>
      <c r="C140" s="399">
        <v>9316195</v>
      </c>
      <c r="D140" s="399">
        <f>SUM(B141:B153)</f>
        <v>16990698</v>
      </c>
      <c r="E140" s="399">
        <f>35860+24943+447180+2273543+5500380+100870+1130421+616204</f>
        <v>10129401</v>
      </c>
      <c r="F140" s="315">
        <f>E140/D140</f>
        <v>0.59617332966544401</v>
      </c>
      <c r="G140" s="395"/>
      <c r="H140" s="395"/>
      <c r="I140" s="395"/>
      <c r="J140" s="395"/>
      <c r="K140" s="395"/>
      <c r="L140" s="395"/>
      <c r="M140" s="395"/>
      <c r="N140" s="395"/>
      <c r="O140" s="395"/>
      <c r="P140" s="395"/>
      <c r="Q140" s="395"/>
      <c r="R140" s="395"/>
      <c r="S140" s="395"/>
      <c r="T140" s="395"/>
      <c r="U140" s="395"/>
      <c r="V140" s="395"/>
      <c r="W140" s="395"/>
      <c r="X140" s="395"/>
      <c r="Y140" s="395"/>
      <c r="Z140" s="395"/>
      <c r="AA140" s="395"/>
      <c r="AB140" s="395"/>
      <c r="AC140" s="395"/>
      <c r="AD140" s="395"/>
      <c r="AE140" s="395"/>
      <c r="AF140" s="395"/>
      <c r="AG140" s="395"/>
      <c r="AH140" s="395"/>
      <c r="AI140" s="395"/>
      <c r="AJ140" s="395"/>
      <c r="AK140" s="395"/>
      <c r="AL140" s="395"/>
      <c r="AM140" s="395"/>
      <c r="AN140" s="395"/>
      <c r="AO140" s="395"/>
      <c r="AP140" s="395"/>
      <c r="AQ140" s="395"/>
      <c r="AR140" s="395"/>
      <c r="AS140" s="395"/>
      <c r="AT140" s="395"/>
      <c r="AU140" s="395"/>
      <c r="AV140" s="395"/>
      <c r="AW140" s="395"/>
      <c r="AX140" s="395"/>
      <c r="AY140" s="395"/>
      <c r="AZ140" s="395"/>
      <c r="BA140" s="395"/>
      <c r="BB140" s="395"/>
      <c r="BC140" s="395"/>
      <c r="BD140" s="395"/>
      <c r="BE140" s="395"/>
      <c r="BF140" s="395"/>
      <c r="BG140" s="395"/>
      <c r="BH140" s="395"/>
      <c r="BI140" s="395"/>
      <c r="BJ140" s="395"/>
      <c r="BK140" s="395"/>
      <c r="BL140" s="395"/>
      <c r="BM140" s="395"/>
      <c r="BN140" s="395"/>
      <c r="BO140" s="395"/>
      <c r="BP140" s="395"/>
      <c r="BQ140" s="395"/>
      <c r="BR140" s="395"/>
      <c r="BS140" s="395"/>
      <c r="BT140" s="395"/>
      <c r="BU140" s="395"/>
    </row>
    <row r="141" spans="1:73" s="396" customFormat="1" ht="22.5" customHeight="1" thickBot="1">
      <c r="A141" s="397" t="s">
        <v>498</v>
      </c>
      <c r="B141" s="393">
        <f>106440+42432</f>
        <v>148872</v>
      </c>
      <c r="C141" s="399"/>
      <c r="D141" s="399"/>
      <c r="E141" s="399"/>
      <c r="F141" s="315"/>
      <c r="G141" s="395"/>
      <c r="H141" s="395"/>
      <c r="I141" s="395"/>
      <c r="J141" s="395"/>
      <c r="K141" s="395"/>
      <c r="L141" s="395"/>
      <c r="M141" s="395"/>
      <c r="N141" s="395"/>
      <c r="O141" s="395"/>
      <c r="P141" s="395"/>
      <c r="Q141" s="395"/>
      <c r="R141" s="395"/>
      <c r="S141" s="395"/>
      <c r="T141" s="395"/>
      <c r="U141" s="395"/>
      <c r="V141" s="395"/>
      <c r="W141" s="395"/>
      <c r="X141" s="395"/>
      <c r="Y141" s="395"/>
      <c r="Z141" s="395"/>
      <c r="AA141" s="395"/>
      <c r="AB141" s="395"/>
      <c r="AC141" s="395"/>
      <c r="AD141" s="395"/>
      <c r="AE141" s="395"/>
      <c r="AF141" s="395"/>
      <c r="AG141" s="395"/>
      <c r="AH141" s="395"/>
      <c r="AI141" s="395"/>
      <c r="AJ141" s="395"/>
      <c r="AK141" s="395"/>
      <c r="AL141" s="395"/>
      <c r="AM141" s="395"/>
      <c r="AN141" s="395"/>
      <c r="AO141" s="395"/>
      <c r="AP141" s="395"/>
      <c r="AQ141" s="395"/>
      <c r="AR141" s="395"/>
      <c r="AS141" s="395"/>
      <c r="AT141" s="395"/>
      <c r="AU141" s="395"/>
      <c r="AV141" s="395"/>
      <c r="AW141" s="395"/>
      <c r="AX141" s="395"/>
      <c r="AY141" s="395"/>
      <c r="AZ141" s="395"/>
      <c r="BA141" s="395"/>
      <c r="BB141" s="395"/>
      <c r="BC141" s="395"/>
      <c r="BD141" s="395"/>
      <c r="BE141" s="395"/>
      <c r="BF141" s="395"/>
      <c r="BG141" s="395"/>
      <c r="BH141" s="395"/>
      <c r="BI141" s="395"/>
      <c r="BJ141" s="395"/>
      <c r="BK141" s="395"/>
      <c r="BL141" s="395"/>
      <c r="BM141" s="395"/>
      <c r="BN141" s="395"/>
      <c r="BO141" s="395"/>
      <c r="BP141" s="395"/>
      <c r="BQ141" s="395"/>
      <c r="BR141" s="395"/>
      <c r="BS141" s="395"/>
      <c r="BT141" s="395"/>
      <c r="BU141" s="395"/>
    </row>
    <row r="142" spans="1:73" s="396" customFormat="1" ht="22.5" customHeight="1" thickBot="1">
      <c r="A142" s="397" t="s">
        <v>499</v>
      </c>
      <c r="B142" s="393">
        <f>132000+33000</f>
        <v>165000</v>
      </c>
      <c r="C142" s="399"/>
      <c r="D142" s="399"/>
      <c r="E142" s="399"/>
      <c r="F142" s="315"/>
      <c r="G142" s="395"/>
      <c r="H142" s="395"/>
      <c r="I142" s="395"/>
      <c r="J142" s="395"/>
      <c r="K142" s="395"/>
      <c r="L142" s="395"/>
      <c r="M142" s="395"/>
      <c r="N142" s="395"/>
      <c r="O142" s="395"/>
      <c r="P142" s="395"/>
      <c r="Q142" s="395"/>
      <c r="R142" s="395"/>
      <c r="S142" s="395"/>
      <c r="T142" s="395"/>
      <c r="U142" s="395"/>
      <c r="V142" s="395"/>
      <c r="W142" s="395"/>
      <c r="X142" s="395"/>
      <c r="Y142" s="395"/>
      <c r="Z142" s="395"/>
      <c r="AA142" s="395"/>
      <c r="AB142" s="395"/>
      <c r="AC142" s="395"/>
      <c r="AD142" s="395"/>
      <c r="AE142" s="395"/>
      <c r="AF142" s="395"/>
      <c r="AG142" s="395"/>
      <c r="AH142" s="395"/>
      <c r="AI142" s="395"/>
      <c r="AJ142" s="395"/>
      <c r="AK142" s="395"/>
      <c r="AL142" s="395"/>
      <c r="AM142" s="395"/>
      <c r="AN142" s="395"/>
      <c r="AO142" s="395"/>
      <c r="AP142" s="395"/>
      <c r="AQ142" s="395"/>
      <c r="AR142" s="395"/>
      <c r="AS142" s="395"/>
      <c r="AT142" s="395"/>
      <c r="AU142" s="395"/>
      <c r="AV142" s="395"/>
      <c r="AW142" s="395"/>
      <c r="AX142" s="395"/>
      <c r="AY142" s="395"/>
      <c r="AZ142" s="395"/>
      <c r="BA142" s="395"/>
      <c r="BB142" s="395"/>
      <c r="BC142" s="395"/>
      <c r="BD142" s="395"/>
      <c r="BE142" s="395"/>
      <c r="BF142" s="395"/>
      <c r="BG142" s="395"/>
      <c r="BH142" s="395"/>
      <c r="BI142" s="395"/>
      <c r="BJ142" s="395"/>
      <c r="BK142" s="395"/>
      <c r="BL142" s="395"/>
      <c r="BM142" s="395"/>
      <c r="BN142" s="395"/>
      <c r="BO142" s="395"/>
      <c r="BP142" s="395"/>
      <c r="BQ142" s="395"/>
      <c r="BR142" s="395"/>
      <c r="BS142" s="395"/>
      <c r="BT142" s="395"/>
      <c r="BU142" s="395"/>
    </row>
    <row r="143" spans="1:73" s="396" customFormat="1" ht="22.5" customHeight="1" thickBot="1">
      <c r="A143" s="397" t="s">
        <v>890</v>
      </c>
      <c r="B143" s="393">
        <v>2000000</v>
      </c>
      <c r="C143" s="399"/>
      <c r="D143" s="399"/>
      <c r="E143" s="399"/>
      <c r="F143" s="315"/>
      <c r="G143" s="395"/>
      <c r="H143" s="395"/>
      <c r="I143" s="395"/>
      <c r="J143" s="395"/>
      <c r="K143" s="395"/>
      <c r="L143" s="395"/>
      <c r="M143" s="395"/>
      <c r="N143" s="395"/>
      <c r="O143" s="395"/>
      <c r="P143" s="395"/>
      <c r="Q143" s="395"/>
      <c r="R143" s="395"/>
      <c r="S143" s="395"/>
      <c r="T143" s="395"/>
      <c r="U143" s="395"/>
      <c r="V143" s="395"/>
      <c r="W143" s="395"/>
      <c r="X143" s="395"/>
      <c r="Y143" s="395"/>
      <c r="Z143" s="395"/>
      <c r="AA143" s="395"/>
      <c r="AB143" s="395"/>
      <c r="AC143" s="395"/>
      <c r="AD143" s="395"/>
      <c r="AE143" s="395"/>
      <c r="AF143" s="395"/>
      <c r="AG143" s="395"/>
      <c r="AH143" s="395"/>
      <c r="AI143" s="395"/>
      <c r="AJ143" s="395"/>
      <c r="AK143" s="395"/>
      <c r="AL143" s="395"/>
      <c r="AM143" s="395"/>
      <c r="AN143" s="395"/>
      <c r="AO143" s="395"/>
      <c r="AP143" s="395"/>
      <c r="AQ143" s="395"/>
      <c r="AR143" s="395"/>
      <c r="AS143" s="395"/>
      <c r="AT143" s="395"/>
      <c r="AU143" s="395"/>
      <c r="AV143" s="395"/>
      <c r="AW143" s="395"/>
      <c r="AX143" s="395"/>
      <c r="AY143" s="395"/>
      <c r="AZ143" s="395"/>
      <c r="BA143" s="395"/>
      <c r="BB143" s="395"/>
      <c r="BC143" s="395"/>
      <c r="BD143" s="395"/>
      <c r="BE143" s="395"/>
      <c r="BF143" s="395"/>
      <c r="BG143" s="395"/>
      <c r="BH143" s="395"/>
      <c r="BI143" s="395"/>
      <c r="BJ143" s="395"/>
      <c r="BK143" s="395"/>
      <c r="BL143" s="395"/>
      <c r="BM143" s="395"/>
      <c r="BN143" s="395"/>
      <c r="BO143" s="395"/>
      <c r="BP143" s="395"/>
      <c r="BQ143" s="395"/>
      <c r="BR143" s="395"/>
      <c r="BS143" s="395"/>
      <c r="BT143" s="395"/>
      <c r="BU143" s="395"/>
    </row>
    <row r="144" spans="1:73" s="396" customFormat="1" ht="22.5" customHeight="1" thickBot="1">
      <c r="A144" s="397" t="s">
        <v>500</v>
      </c>
      <c r="B144" s="393">
        <v>457200</v>
      </c>
      <c r="C144" s="399"/>
      <c r="D144" s="399"/>
      <c r="E144" s="399"/>
      <c r="F144" s="315"/>
      <c r="G144" s="395"/>
      <c r="H144" s="395"/>
      <c r="I144" s="395"/>
      <c r="J144" s="395"/>
      <c r="K144" s="395"/>
      <c r="L144" s="395"/>
      <c r="M144" s="395"/>
      <c r="N144" s="395"/>
      <c r="O144" s="395"/>
      <c r="P144" s="395"/>
      <c r="Q144" s="395"/>
      <c r="R144" s="395"/>
      <c r="S144" s="395"/>
      <c r="T144" s="395"/>
      <c r="U144" s="395"/>
      <c r="V144" s="395"/>
      <c r="W144" s="395"/>
      <c r="X144" s="395"/>
      <c r="Y144" s="395"/>
      <c r="Z144" s="395"/>
      <c r="AA144" s="395"/>
      <c r="AB144" s="395"/>
      <c r="AC144" s="395"/>
      <c r="AD144" s="395"/>
      <c r="AE144" s="395"/>
      <c r="AF144" s="395"/>
      <c r="AG144" s="395"/>
      <c r="AH144" s="395"/>
      <c r="AI144" s="395"/>
      <c r="AJ144" s="395"/>
      <c r="AK144" s="395"/>
      <c r="AL144" s="395"/>
      <c r="AM144" s="395"/>
      <c r="AN144" s="395"/>
      <c r="AO144" s="395"/>
      <c r="AP144" s="395"/>
      <c r="AQ144" s="395"/>
      <c r="AR144" s="395"/>
      <c r="AS144" s="395"/>
      <c r="AT144" s="395"/>
      <c r="AU144" s="395"/>
      <c r="AV144" s="395"/>
      <c r="AW144" s="395"/>
      <c r="AX144" s="395"/>
      <c r="AY144" s="395"/>
      <c r="AZ144" s="395"/>
      <c r="BA144" s="395"/>
      <c r="BB144" s="395"/>
      <c r="BC144" s="395"/>
      <c r="BD144" s="395"/>
      <c r="BE144" s="395"/>
      <c r="BF144" s="395"/>
      <c r="BG144" s="395"/>
      <c r="BH144" s="395"/>
      <c r="BI144" s="395"/>
      <c r="BJ144" s="395"/>
      <c r="BK144" s="395"/>
      <c r="BL144" s="395"/>
      <c r="BM144" s="395"/>
      <c r="BN144" s="395"/>
      <c r="BO144" s="395"/>
      <c r="BP144" s="395"/>
      <c r="BQ144" s="395"/>
      <c r="BR144" s="395"/>
      <c r="BS144" s="395"/>
      <c r="BT144" s="395"/>
      <c r="BU144" s="395"/>
    </row>
    <row r="145" spans="1:73" s="396" customFormat="1" ht="22.5" customHeight="1" thickBot="1">
      <c r="A145" s="397" t="s">
        <v>891</v>
      </c>
      <c r="B145" s="393">
        <v>825500</v>
      </c>
      <c r="C145" s="399"/>
      <c r="D145" s="399"/>
      <c r="E145" s="399"/>
      <c r="F145" s="315"/>
      <c r="G145" s="395"/>
      <c r="H145" s="395"/>
      <c r="I145" s="395"/>
      <c r="J145" s="395"/>
      <c r="K145" s="395"/>
      <c r="L145" s="395"/>
      <c r="M145" s="395"/>
      <c r="N145" s="395"/>
      <c r="O145" s="395"/>
      <c r="P145" s="395"/>
      <c r="Q145" s="395"/>
      <c r="R145" s="395"/>
      <c r="S145" s="395"/>
      <c r="T145" s="395"/>
      <c r="U145" s="395"/>
      <c r="V145" s="395"/>
      <c r="W145" s="395"/>
      <c r="X145" s="395"/>
      <c r="Y145" s="395"/>
      <c r="Z145" s="395"/>
      <c r="AA145" s="395"/>
      <c r="AB145" s="395"/>
      <c r="AC145" s="395"/>
      <c r="AD145" s="395"/>
      <c r="AE145" s="395"/>
      <c r="AF145" s="395"/>
      <c r="AG145" s="395"/>
      <c r="AH145" s="395"/>
      <c r="AI145" s="395"/>
      <c r="AJ145" s="395"/>
      <c r="AK145" s="395"/>
      <c r="AL145" s="395"/>
      <c r="AM145" s="395"/>
      <c r="AN145" s="395"/>
      <c r="AO145" s="395"/>
      <c r="AP145" s="395"/>
      <c r="AQ145" s="395"/>
      <c r="AR145" s="395"/>
      <c r="AS145" s="395"/>
      <c r="AT145" s="395"/>
      <c r="AU145" s="395"/>
      <c r="AV145" s="395"/>
      <c r="AW145" s="395"/>
      <c r="AX145" s="395"/>
      <c r="AY145" s="395"/>
      <c r="AZ145" s="395"/>
      <c r="BA145" s="395"/>
      <c r="BB145" s="395"/>
      <c r="BC145" s="395"/>
      <c r="BD145" s="395"/>
      <c r="BE145" s="395"/>
      <c r="BF145" s="395"/>
      <c r="BG145" s="395"/>
      <c r="BH145" s="395"/>
      <c r="BI145" s="395"/>
      <c r="BJ145" s="395"/>
      <c r="BK145" s="395"/>
      <c r="BL145" s="395"/>
      <c r="BM145" s="395"/>
      <c r="BN145" s="395"/>
      <c r="BO145" s="395"/>
      <c r="BP145" s="395"/>
      <c r="BQ145" s="395"/>
      <c r="BR145" s="395"/>
      <c r="BS145" s="395"/>
      <c r="BT145" s="395"/>
      <c r="BU145" s="395"/>
    </row>
    <row r="146" spans="1:73" s="396" customFormat="1" ht="22.5" customHeight="1" thickBot="1">
      <c r="A146" s="397" t="s">
        <v>501</v>
      </c>
      <c r="B146" s="393">
        <v>47088</v>
      </c>
      <c r="C146" s="399"/>
      <c r="D146" s="399"/>
      <c r="E146" s="399"/>
      <c r="F146" s="315"/>
      <c r="G146" s="395"/>
      <c r="H146" s="395"/>
      <c r="I146" s="395"/>
      <c r="J146" s="395"/>
      <c r="K146" s="395"/>
      <c r="L146" s="395"/>
      <c r="M146" s="395"/>
      <c r="N146" s="395"/>
      <c r="O146" s="395"/>
      <c r="P146" s="395"/>
      <c r="Q146" s="395"/>
      <c r="R146" s="395"/>
      <c r="S146" s="395"/>
      <c r="T146" s="395"/>
      <c r="U146" s="395"/>
      <c r="V146" s="395"/>
      <c r="W146" s="395"/>
      <c r="X146" s="395"/>
      <c r="Y146" s="395"/>
      <c r="Z146" s="395"/>
      <c r="AA146" s="395"/>
      <c r="AB146" s="395"/>
      <c r="AC146" s="395"/>
      <c r="AD146" s="395"/>
      <c r="AE146" s="395"/>
      <c r="AF146" s="395"/>
      <c r="AG146" s="395"/>
      <c r="AH146" s="395"/>
      <c r="AI146" s="395"/>
      <c r="AJ146" s="395"/>
      <c r="AK146" s="395"/>
      <c r="AL146" s="395"/>
      <c r="AM146" s="395"/>
      <c r="AN146" s="395"/>
      <c r="AO146" s="395"/>
      <c r="AP146" s="395"/>
      <c r="AQ146" s="395"/>
      <c r="AR146" s="395"/>
      <c r="AS146" s="395"/>
      <c r="AT146" s="395"/>
      <c r="AU146" s="395"/>
      <c r="AV146" s="395"/>
      <c r="AW146" s="395"/>
      <c r="AX146" s="395"/>
      <c r="AY146" s="395"/>
      <c r="AZ146" s="395"/>
      <c r="BA146" s="395"/>
      <c r="BB146" s="395"/>
      <c r="BC146" s="395"/>
      <c r="BD146" s="395"/>
      <c r="BE146" s="395"/>
      <c r="BF146" s="395"/>
      <c r="BG146" s="395"/>
      <c r="BH146" s="395"/>
      <c r="BI146" s="395"/>
      <c r="BJ146" s="395"/>
      <c r="BK146" s="395"/>
      <c r="BL146" s="395"/>
      <c r="BM146" s="395"/>
      <c r="BN146" s="395"/>
      <c r="BO146" s="395"/>
      <c r="BP146" s="395"/>
      <c r="BQ146" s="395"/>
      <c r="BR146" s="395"/>
      <c r="BS146" s="395"/>
      <c r="BT146" s="395"/>
      <c r="BU146" s="395"/>
    </row>
    <row r="147" spans="1:73" s="396" customFormat="1" ht="22.5" customHeight="1" thickBot="1">
      <c r="A147" s="397" t="s">
        <v>502</v>
      </c>
      <c r="B147" s="393">
        <v>392465</v>
      </c>
      <c r="C147" s="399"/>
      <c r="D147" s="399"/>
      <c r="E147" s="399"/>
      <c r="F147" s="315"/>
      <c r="G147" s="395"/>
      <c r="H147" s="395"/>
      <c r="I147" s="395"/>
      <c r="J147" s="395"/>
      <c r="K147" s="395"/>
      <c r="L147" s="395"/>
      <c r="M147" s="395"/>
      <c r="N147" s="395"/>
      <c r="O147" s="395"/>
      <c r="P147" s="395"/>
      <c r="Q147" s="395"/>
      <c r="R147" s="395"/>
      <c r="S147" s="395"/>
      <c r="T147" s="395"/>
      <c r="U147" s="395"/>
      <c r="V147" s="395"/>
      <c r="W147" s="395"/>
      <c r="X147" s="395"/>
      <c r="Y147" s="395"/>
      <c r="Z147" s="395"/>
      <c r="AA147" s="395"/>
      <c r="AB147" s="395"/>
      <c r="AC147" s="395"/>
      <c r="AD147" s="395"/>
      <c r="AE147" s="395"/>
      <c r="AF147" s="395"/>
      <c r="AG147" s="395"/>
      <c r="AH147" s="395"/>
      <c r="AI147" s="395"/>
      <c r="AJ147" s="395"/>
      <c r="AK147" s="395"/>
      <c r="AL147" s="395"/>
      <c r="AM147" s="395"/>
      <c r="AN147" s="395"/>
      <c r="AO147" s="395"/>
      <c r="AP147" s="395"/>
      <c r="AQ147" s="395"/>
      <c r="AR147" s="395"/>
      <c r="AS147" s="395"/>
      <c r="AT147" s="395"/>
      <c r="AU147" s="395"/>
      <c r="AV147" s="395"/>
      <c r="AW147" s="395"/>
      <c r="AX147" s="395"/>
      <c r="AY147" s="395"/>
      <c r="AZ147" s="395"/>
      <c r="BA147" s="395"/>
      <c r="BB147" s="395"/>
      <c r="BC147" s="395"/>
      <c r="BD147" s="395"/>
      <c r="BE147" s="395"/>
      <c r="BF147" s="395"/>
      <c r="BG147" s="395"/>
      <c r="BH147" s="395"/>
      <c r="BI147" s="395"/>
      <c r="BJ147" s="395"/>
      <c r="BK147" s="395"/>
      <c r="BL147" s="395"/>
      <c r="BM147" s="395"/>
      <c r="BN147" s="395"/>
      <c r="BO147" s="395"/>
      <c r="BP147" s="395"/>
      <c r="BQ147" s="395"/>
      <c r="BR147" s="395"/>
      <c r="BS147" s="395"/>
      <c r="BT147" s="395"/>
      <c r="BU147" s="395"/>
    </row>
    <row r="148" spans="1:73" s="396" customFormat="1" ht="22.5" customHeight="1" thickBot="1">
      <c r="A148" s="397" t="s">
        <v>503</v>
      </c>
      <c r="B148" s="393">
        <v>322890</v>
      </c>
      <c r="C148" s="399"/>
      <c r="D148" s="399"/>
      <c r="E148" s="399"/>
      <c r="F148" s="315"/>
      <c r="G148" s="395"/>
      <c r="H148" s="395"/>
      <c r="I148" s="395"/>
      <c r="J148" s="395"/>
      <c r="K148" s="395"/>
      <c r="L148" s="395"/>
      <c r="M148" s="395"/>
      <c r="N148" s="395"/>
      <c r="O148" s="395"/>
      <c r="P148" s="395"/>
      <c r="Q148" s="395"/>
      <c r="R148" s="395"/>
      <c r="S148" s="395"/>
      <c r="T148" s="395"/>
      <c r="U148" s="395"/>
      <c r="V148" s="395"/>
      <c r="W148" s="395"/>
      <c r="X148" s="395"/>
      <c r="Y148" s="395"/>
      <c r="Z148" s="395"/>
      <c r="AA148" s="395"/>
      <c r="AB148" s="395"/>
      <c r="AC148" s="395"/>
      <c r="AD148" s="395"/>
      <c r="AE148" s="395"/>
      <c r="AF148" s="395"/>
      <c r="AG148" s="395"/>
      <c r="AH148" s="395"/>
      <c r="AI148" s="395"/>
      <c r="AJ148" s="395"/>
      <c r="AK148" s="395"/>
      <c r="AL148" s="395"/>
      <c r="AM148" s="395"/>
      <c r="AN148" s="395"/>
      <c r="AO148" s="395"/>
      <c r="AP148" s="395"/>
      <c r="AQ148" s="395"/>
      <c r="AR148" s="395"/>
      <c r="AS148" s="395"/>
      <c r="AT148" s="395"/>
      <c r="AU148" s="395"/>
      <c r="AV148" s="395"/>
      <c r="AW148" s="395"/>
      <c r="AX148" s="395"/>
      <c r="AY148" s="395"/>
      <c r="AZ148" s="395"/>
      <c r="BA148" s="395"/>
      <c r="BB148" s="395"/>
      <c r="BC148" s="395"/>
      <c r="BD148" s="395"/>
      <c r="BE148" s="395"/>
      <c r="BF148" s="395"/>
      <c r="BG148" s="395"/>
      <c r="BH148" s="395"/>
      <c r="BI148" s="395"/>
      <c r="BJ148" s="395"/>
      <c r="BK148" s="395"/>
      <c r="BL148" s="395"/>
      <c r="BM148" s="395"/>
      <c r="BN148" s="395"/>
      <c r="BO148" s="395"/>
      <c r="BP148" s="395"/>
      <c r="BQ148" s="395"/>
      <c r="BR148" s="395"/>
      <c r="BS148" s="395"/>
      <c r="BT148" s="395"/>
      <c r="BU148" s="395"/>
    </row>
    <row r="149" spans="1:73" s="396" customFormat="1" ht="21.75" customHeight="1" thickBot="1">
      <c r="A149" s="545" t="s">
        <v>480</v>
      </c>
      <c r="B149" s="421">
        <f>2000000+2282536</f>
        <v>4282536</v>
      </c>
      <c r="C149" s="422"/>
      <c r="D149" s="422"/>
      <c r="E149" s="422"/>
      <c r="F149" s="424"/>
      <c r="G149" s="395"/>
      <c r="H149" s="395"/>
      <c r="I149" s="395"/>
      <c r="J149" s="395"/>
      <c r="K149" s="395"/>
      <c r="L149" s="395"/>
      <c r="M149" s="395"/>
      <c r="N149" s="395"/>
      <c r="O149" s="395"/>
      <c r="P149" s="395"/>
      <c r="Q149" s="395"/>
      <c r="R149" s="395"/>
      <c r="S149" s="395"/>
      <c r="T149" s="395"/>
      <c r="U149" s="395"/>
      <c r="V149" s="395"/>
      <c r="W149" s="395"/>
      <c r="X149" s="395"/>
      <c r="Y149" s="395"/>
      <c r="Z149" s="395"/>
      <c r="AA149" s="395"/>
      <c r="AB149" s="395"/>
      <c r="AC149" s="395"/>
      <c r="AD149" s="395"/>
      <c r="AE149" s="395"/>
      <c r="AF149" s="395"/>
      <c r="AG149" s="395"/>
      <c r="AH149" s="395"/>
      <c r="AI149" s="395"/>
      <c r="AJ149" s="395"/>
      <c r="AK149" s="395"/>
      <c r="AL149" s="395"/>
      <c r="AM149" s="395"/>
      <c r="AN149" s="395"/>
      <c r="AO149" s="395"/>
      <c r="AP149" s="395"/>
      <c r="AQ149" s="395"/>
      <c r="AR149" s="395"/>
      <c r="AS149" s="395"/>
      <c r="AT149" s="395"/>
      <c r="AU149" s="395"/>
      <c r="AV149" s="395"/>
      <c r="AW149" s="395"/>
      <c r="AX149" s="395"/>
      <c r="AY149" s="395"/>
      <c r="AZ149" s="395"/>
      <c r="BA149" s="395"/>
      <c r="BB149" s="395"/>
      <c r="BC149" s="395"/>
      <c r="BD149" s="395"/>
      <c r="BE149" s="395"/>
      <c r="BF149" s="395"/>
      <c r="BG149" s="395"/>
      <c r="BH149" s="395"/>
      <c r="BI149" s="395"/>
      <c r="BJ149" s="395"/>
      <c r="BK149" s="395"/>
      <c r="BL149" s="395"/>
      <c r="BM149" s="395"/>
      <c r="BN149" s="395"/>
      <c r="BO149" s="395"/>
      <c r="BP149" s="395"/>
      <c r="BQ149" s="395"/>
      <c r="BR149" s="395"/>
      <c r="BS149" s="395"/>
      <c r="BT149" s="395"/>
      <c r="BU149" s="395"/>
    </row>
    <row r="150" spans="1:73" s="396" customFormat="1" ht="22.5" customHeight="1" thickBot="1">
      <c r="A150" s="397" t="s">
        <v>892</v>
      </c>
      <c r="B150" s="393">
        <f>693000+297180+1746625+1300000</f>
        <v>4036805</v>
      </c>
      <c r="C150" s="422"/>
      <c r="D150" s="422"/>
      <c r="E150" s="422"/>
      <c r="F150" s="424"/>
      <c r="G150" s="395"/>
      <c r="H150" s="395"/>
      <c r="I150" s="395"/>
      <c r="J150" s="395"/>
      <c r="K150" s="395"/>
      <c r="L150" s="395"/>
      <c r="M150" s="395"/>
      <c r="N150" s="395"/>
      <c r="O150" s="395"/>
      <c r="P150" s="395"/>
      <c r="Q150" s="395"/>
      <c r="R150" s="395"/>
      <c r="S150" s="395"/>
      <c r="T150" s="395"/>
      <c r="U150" s="395"/>
      <c r="V150" s="395"/>
      <c r="W150" s="395"/>
      <c r="X150" s="395"/>
      <c r="Y150" s="395"/>
      <c r="Z150" s="395"/>
      <c r="AA150" s="395"/>
      <c r="AB150" s="395"/>
      <c r="AC150" s="395"/>
      <c r="AD150" s="395"/>
      <c r="AE150" s="395"/>
      <c r="AF150" s="395"/>
      <c r="AG150" s="395"/>
      <c r="AH150" s="395"/>
      <c r="AI150" s="395"/>
      <c r="AJ150" s="395"/>
      <c r="AK150" s="395"/>
      <c r="AL150" s="395"/>
      <c r="AM150" s="395"/>
      <c r="AN150" s="395"/>
      <c r="AO150" s="395"/>
      <c r="AP150" s="395"/>
      <c r="AQ150" s="395"/>
      <c r="AR150" s="395"/>
      <c r="AS150" s="395"/>
      <c r="AT150" s="395"/>
      <c r="AU150" s="395"/>
      <c r="AV150" s="395"/>
      <c r="AW150" s="395"/>
      <c r="AX150" s="395"/>
      <c r="AY150" s="395"/>
      <c r="AZ150" s="395"/>
      <c r="BA150" s="395"/>
      <c r="BB150" s="395"/>
      <c r="BC150" s="395"/>
      <c r="BD150" s="395"/>
      <c r="BE150" s="395"/>
      <c r="BF150" s="395"/>
      <c r="BG150" s="395"/>
      <c r="BH150" s="395"/>
      <c r="BI150" s="395"/>
      <c r="BJ150" s="395"/>
      <c r="BK150" s="395"/>
      <c r="BL150" s="395"/>
      <c r="BM150" s="395"/>
      <c r="BN150" s="395"/>
      <c r="BO150" s="395"/>
      <c r="BP150" s="395"/>
      <c r="BQ150" s="395"/>
      <c r="BR150" s="395"/>
      <c r="BS150" s="395"/>
      <c r="BT150" s="395"/>
      <c r="BU150" s="395"/>
    </row>
    <row r="151" spans="1:73" s="396" customFormat="1" ht="22.5" customHeight="1" thickBot="1">
      <c r="A151" s="545" t="s">
        <v>893</v>
      </c>
      <c r="B151" s="421">
        <v>2273542</v>
      </c>
      <c r="C151" s="422"/>
      <c r="D151" s="422"/>
      <c r="E151" s="422"/>
      <c r="F151" s="424"/>
      <c r="G151" s="395"/>
      <c r="H151" s="395"/>
      <c r="I151" s="395"/>
      <c r="J151" s="395"/>
      <c r="K151" s="395"/>
      <c r="L151" s="395"/>
      <c r="M151" s="395"/>
      <c r="N151" s="395"/>
      <c r="O151" s="395"/>
      <c r="P151" s="395"/>
      <c r="Q151" s="395"/>
      <c r="R151" s="395"/>
      <c r="S151" s="395"/>
      <c r="T151" s="395"/>
      <c r="U151" s="395"/>
      <c r="V151" s="395"/>
      <c r="W151" s="395"/>
      <c r="X151" s="395"/>
      <c r="Y151" s="395"/>
      <c r="Z151" s="395"/>
      <c r="AA151" s="395"/>
      <c r="AB151" s="395"/>
      <c r="AC151" s="395"/>
      <c r="AD151" s="395"/>
      <c r="AE151" s="395"/>
      <c r="AF151" s="395"/>
      <c r="AG151" s="395"/>
      <c r="AH151" s="395"/>
      <c r="AI151" s="395"/>
      <c r="AJ151" s="395"/>
      <c r="AK151" s="395"/>
      <c r="AL151" s="395"/>
      <c r="AM151" s="395"/>
      <c r="AN151" s="395"/>
      <c r="AO151" s="395"/>
      <c r="AP151" s="395"/>
      <c r="AQ151" s="395"/>
      <c r="AR151" s="395"/>
      <c r="AS151" s="395"/>
      <c r="AT151" s="395"/>
      <c r="AU151" s="395"/>
      <c r="AV151" s="395"/>
      <c r="AW151" s="395"/>
      <c r="AX151" s="395"/>
      <c r="AY151" s="395"/>
      <c r="AZ151" s="395"/>
      <c r="BA151" s="395"/>
      <c r="BB151" s="395"/>
      <c r="BC151" s="395"/>
      <c r="BD151" s="395"/>
      <c r="BE151" s="395"/>
      <c r="BF151" s="395"/>
      <c r="BG151" s="395"/>
      <c r="BH151" s="395"/>
      <c r="BI151" s="395"/>
      <c r="BJ151" s="395"/>
      <c r="BK151" s="395"/>
      <c r="BL151" s="395"/>
      <c r="BM151" s="395"/>
      <c r="BN151" s="395"/>
      <c r="BO151" s="395"/>
      <c r="BP151" s="395"/>
      <c r="BQ151" s="395"/>
      <c r="BR151" s="395"/>
      <c r="BS151" s="395"/>
      <c r="BT151" s="395"/>
      <c r="BU151" s="395"/>
    </row>
    <row r="152" spans="1:73" s="396" customFormat="1" ht="21.75" customHeight="1" thickBot="1">
      <c r="A152" s="545" t="s">
        <v>894</v>
      </c>
      <c r="B152" s="421">
        <v>38800</v>
      </c>
      <c r="C152" s="422"/>
      <c r="D152" s="668"/>
      <c r="E152" s="668"/>
      <c r="F152" s="701"/>
      <c r="G152" s="395"/>
      <c r="H152" s="395"/>
      <c r="I152" s="395"/>
      <c r="J152" s="395"/>
      <c r="K152" s="395"/>
      <c r="L152" s="395"/>
      <c r="M152" s="395"/>
      <c r="N152" s="395"/>
      <c r="O152" s="395"/>
      <c r="P152" s="395"/>
      <c r="Q152" s="395"/>
      <c r="R152" s="395"/>
      <c r="S152" s="395"/>
      <c r="T152" s="395"/>
      <c r="U152" s="395"/>
      <c r="V152" s="395"/>
      <c r="W152" s="395"/>
      <c r="X152" s="395"/>
      <c r="Y152" s="395"/>
      <c r="Z152" s="395"/>
      <c r="AA152" s="395"/>
      <c r="AB152" s="395"/>
      <c r="AC152" s="395"/>
      <c r="AD152" s="395"/>
      <c r="AE152" s="395"/>
      <c r="AF152" s="395"/>
      <c r="AG152" s="395"/>
      <c r="AH152" s="395"/>
      <c r="AI152" s="395"/>
      <c r="AJ152" s="395"/>
      <c r="AK152" s="395"/>
      <c r="AL152" s="395"/>
      <c r="AM152" s="395"/>
      <c r="AN152" s="395"/>
      <c r="AO152" s="395"/>
      <c r="AP152" s="395"/>
      <c r="AQ152" s="395"/>
      <c r="AR152" s="395"/>
      <c r="AS152" s="395"/>
      <c r="AT152" s="395"/>
      <c r="AU152" s="395"/>
      <c r="AV152" s="395"/>
      <c r="AW152" s="395"/>
      <c r="AX152" s="395"/>
      <c r="AY152" s="395"/>
      <c r="AZ152" s="395"/>
      <c r="BA152" s="395"/>
      <c r="BB152" s="395"/>
      <c r="BC152" s="395"/>
      <c r="BD152" s="395"/>
      <c r="BE152" s="395"/>
      <c r="BF152" s="395"/>
      <c r="BG152" s="395"/>
      <c r="BH152" s="395"/>
      <c r="BI152" s="395"/>
      <c r="BJ152" s="395"/>
      <c r="BK152" s="395"/>
      <c r="BL152" s="395"/>
      <c r="BM152" s="395"/>
      <c r="BN152" s="395"/>
      <c r="BO152" s="395"/>
      <c r="BP152" s="395"/>
      <c r="BQ152" s="395"/>
      <c r="BR152" s="395"/>
      <c r="BS152" s="395"/>
      <c r="BT152" s="395"/>
      <c r="BU152" s="395"/>
    </row>
    <row r="153" spans="1:73" s="396" customFormat="1" ht="19.5" thickBot="1">
      <c r="A153" s="545" t="s">
        <v>662</v>
      </c>
      <c r="B153" s="421">
        <v>2000000</v>
      </c>
      <c r="C153" s="422"/>
      <c r="D153" s="422"/>
      <c r="E153" s="399"/>
      <c r="F153" s="315"/>
      <c r="G153" s="395"/>
      <c r="H153" s="395"/>
      <c r="I153" s="395"/>
      <c r="J153" s="395"/>
      <c r="K153" s="395"/>
      <c r="L153" s="395"/>
      <c r="M153" s="395"/>
      <c r="N153" s="395"/>
      <c r="O153" s="395"/>
      <c r="P153" s="395"/>
      <c r="Q153" s="395"/>
      <c r="R153" s="395"/>
      <c r="S153" s="395"/>
      <c r="T153" s="395"/>
      <c r="U153" s="395"/>
      <c r="V153" s="395"/>
      <c r="W153" s="395"/>
      <c r="X153" s="395"/>
      <c r="Y153" s="395"/>
      <c r="Z153" s="395"/>
      <c r="AA153" s="395"/>
      <c r="AB153" s="395"/>
      <c r="AC153" s="395"/>
      <c r="AD153" s="395"/>
      <c r="AE153" s="395"/>
      <c r="AF153" s="395"/>
      <c r="AG153" s="395"/>
      <c r="AH153" s="395"/>
      <c r="AI153" s="395"/>
      <c r="AJ153" s="395"/>
      <c r="AK153" s="395"/>
      <c r="AL153" s="395"/>
      <c r="AM153" s="395"/>
      <c r="AN153" s="395"/>
      <c r="AO153" s="395"/>
      <c r="AP153" s="395"/>
      <c r="AQ153" s="395"/>
      <c r="AR153" s="395"/>
      <c r="AS153" s="395"/>
      <c r="AT153" s="395"/>
      <c r="AU153" s="395"/>
      <c r="AV153" s="395"/>
      <c r="AW153" s="395"/>
      <c r="AX153" s="395"/>
      <c r="AY153" s="395"/>
      <c r="AZ153" s="395"/>
      <c r="BA153" s="395"/>
      <c r="BB153" s="395"/>
      <c r="BC153" s="395"/>
      <c r="BD153" s="395"/>
      <c r="BE153" s="395"/>
      <c r="BF153" s="395"/>
      <c r="BG153" s="395"/>
      <c r="BH153" s="395"/>
      <c r="BI153" s="395"/>
      <c r="BJ153" s="395"/>
      <c r="BK153" s="395"/>
      <c r="BL153" s="395"/>
      <c r="BM153" s="395"/>
      <c r="BN153" s="395"/>
      <c r="BO153" s="395"/>
      <c r="BP153" s="395"/>
      <c r="BQ153" s="395"/>
      <c r="BR153" s="395"/>
      <c r="BS153" s="395"/>
      <c r="BT153" s="395"/>
      <c r="BU153" s="395"/>
    </row>
    <row r="154" spans="1:73" s="401" customFormat="1" ht="35.25" customHeight="1" thickBot="1">
      <c r="A154" s="638" t="s">
        <v>895</v>
      </c>
      <c r="B154" s="398"/>
      <c r="C154" s="399">
        <v>5000000</v>
      </c>
      <c r="D154" s="399">
        <f>SUM(C154)-5000000</f>
        <v>0</v>
      </c>
      <c r="E154" s="399">
        <v>0</v>
      </c>
      <c r="F154" s="315">
        <v>0</v>
      </c>
      <c r="G154" s="400"/>
      <c r="H154" s="400"/>
      <c r="I154" s="400"/>
      <c r="J154" s="400"/>
      <c r="K154" s="400"/>
      <c r="L154" s="400"/>
      <c r="M154" s="400"/>
      <c r="N154" s="400"/>
      <c r="O154" s="400"/>
      <c r="P154" s="400"/>
      <c r="Q154" s="400"/>
      <c r="R154" s="400"/>
      <c r="S154" s="400"/>
      <c r="T154" s="400"/>
      <c r="U154" s="400"/>
      <c r="V154" s="400"/>
      <c r="W154" s="400"/>
      <c r="X154" s="400"/>
      <c r="Y154" s="400"/>
      <c r="Z154" s="400"/>
      <c r="AA154" s="400"/>
      <c r="AB154" s="400"/>
      <c r="AC154" s="400"/>
      <c r="AD154" s="400"/>
      <c r="AE154" s="400"/>
      <c r="AF154" s="400"/>
      <c r="AG154" s="400"/>
      <c r="AH154" s="400"/>
      <c r="AI154" s="400"/>
      <c r="AJ154" s="400"/>
      <c r="AK154" s="400"/>
      <c r="AL154" s="400"/>
      <c r="AM154" s="400"/>
      <c r="AN154" s="400"/>
      <c r="AO154" s="400"/>
      <c r="AP154" s="400"/>
      <c r="AQ154" s="400"/>
      <c r="AR154" s="400"/>
      <c r="AS154" s="400"/>
      <c r="AT154" s="400"/>
      <c r="AU154" s="400"/>
      <c r="AV154" s="400"/>
      <c r="AW154" s="400"/>
      <c r="AX154" s="400"/>
      <c r="AY154" s="400"/>
      <c r="AZ154" s="400"/>
      <c r="BA154" s="400"/>
      <c r="BB154" s="400"/>
      <c r="BC154" s="400"/>
      <c r="BD154" s="400"/>
      <c r="BE154" s="400"/>
      <c r="BF154" s="400"/>
      <c r="BG154" s="400"/>
      <c r="BH154" s="400"/>
      <c r="BI154" s="400"/>
      <c r="BJ154" s="400"/>
      <c r="BK154" s="400"/>
      <c r="BL154" s="400"/>
      <c r="BM154" s="400"/>
      <c r="BN154" s="400"/>
      <c r="BO154" s="400"/>
      <c r="BP154" s="400"/>
      <c r="BQ154" s="400"/>
      <c r="BR154" s="400"/>
      <c r="BS154" s="400"/>
      <c r="BT154" s="400"/>
      <c r="BU154" s="400"/>
    </row>
    <row r="155" spans="1:73" s="401" customFormat="1" ht="35.25" customHeight="1" thickBot="1">
      <c r="A155" s="316" t="s">
        <v>896</v>
      </c>
      <c r="B155" s="317"/>
      <c r="C155" s="399">
        <v>5000000</v>
      </c>
      <c r="D155" s="399">
        <f t="shared" ref="D155" si="20">SUM(C155)</f>
        <v>5000000</v>
      </c>
      <c r="E155" s="399">
        <v>4235448</v>
      </c>
      <c r="F155" s="315">
        <f t="shared" ref="F155:F157" si="21">E155/D155</f>
        <v>0.8470896</v>
      </c>
      <c r="G155" s="400"/>
      <c r="H155" s="400"/>
      <c r="I155" s="400"/>
      <c r="J155" s="400"/>
      <c r="K155" s="400"/>
      <c r="L155" s="400"/>
      <c r="M155" s="400"/>
      <c r="N155" s="400"/>
      <c r="O155" s="400"/>
      <c r="P155" s="400"/>
      <c r="Q155" s="400"/>
      <c r="R155" s="400"/>
      <c r="S155" s="400"/>
      <c r="T155" s="400"/>
      <c r="U155" s="400"/>
      <c r="V155" s="400"/>
      <c r="W155" s="400"/>
      <c r="X155" s="400"/>
      <c r="Y155" s="400"/>
      <c r="Z155" s="400"/>
      <c r="AA155" s="400"/>
      <c r="AB155" s="400"/>
      <c r="AC155" s="400"/>
      <c r="AD155" s="400"/>
      <c r="AE155" s="400"/>
      <c r="AF155" s="400"/>
      <c r="AG155" s="400"/>
      <c r="AH155" s="400"/>
      <c r="AI155" s="400"/>
      <c r="AJ155" s="400"/>
      <c r="AK155" s="400"/>
      <c r="AL155" s="400"/>
      <c r="AM155" s="400"/>
      <c r="AN155" s="400"/>
      <c r="AO155" s="400"/>
      <c r="AP155" s="400"/>
      <c r="AQ155" s="400"/>
      <c r="AR155" s="400"/>
      <c r="AS155" s="400"/>
      <c r="AT155" s="400"/>
      <c r="AU155" s="400"/>
      <c r="AV155" s="400"/>
      <c r="AW155" s="400"/>
      <c r="AX155" s="400"/>
      <c r="AY155" s="400"/>
      <c r="AZ155" s="400"/>
      <c r="BA155" s="400"/>
      <c r="BB155" s="400"/>
      <c r="BC155" s="400"/>
      <c r="BD155" s="400"/>
      <c r="BE155" s="400"/>
      <c r="BF155" s="400"/>
      <c r="BG155" s="400"/>
      <c r="BH155" s="400"/>
      <c r="BI155" s="400"/>
      <c r="BJ155" s="400"/>
      <c r="BK155" s="400"/>
      <c r="BL155" s="400"/>
      <c r="BM155" s="400"/>
      <c r="BN155" s="400"/>
      <c r="BO155" s="400"/>
      <c r="BP155" s="400"/>
      <c r="BQ155" s="400"/>
      <c r="BR155" s="400"/>
      <c r="BS155" s="400"/>
      <c r="BT155" s="400"/>
      <c r="BU155" s="400"/>
    </row>
    <row r="156" spans="1:73" s="401" customFormat="1" ht="35.25" customHeight="1" thickBot="1">
      <c r="A156" s="911" t="s">
        <v>663</v>
      </c>
      <c r="B156" s="912"/>
      <c r="C156" s="399">
        <v>16000000</v>
      </c>
      <c r="D156" s="399">
        <f>371600</f>
        <v>371600</v>
      </c>
      <c r="E156" s="399">
        <v>3621340</v>
      </c>
      <c r="F156" s="315">
        <f t="shared" si="21"/>
        <v>9.7452637244348761</v>
      </c>
      <c r="G156" s="400"/>
      <c r="H156" s="400"/>
      <c r="I156" s="400"/>
      <c r="J156" s="400"/>
      <c r="K156" s="400"/>
      <c r="L156" s="400"/>
      <c r="M156" s="400"/>
      <c r="N156" s="400"/>
      <c r="O156" s="400"/>
      <c r="P156" s="400"/>
      <c r="Q156" s="400"/>
      <c r="R156" s="400"/>
      <c r="S156" s="400"/>
      <c r="T156" s="400"/>
      <c r="U156" s="400"/>
      <c r="V156" s="400"/>
      <c r="W156" s="400"/>
      <c r="X156" s="400"/>
      <c r="Y156" s="400"/>
      <c r="Z156" s="400"/>
      <c r="AA156" s="400"/>
      <c r="AB156" s="400"/>
      <c r="AC156" s="400"/>
      <c r="AD156" s="400"/>
      <c r="AE156" s="400"/>
      <c r="AF156" s="400"/>
      <c r="AG156" s="400"/>
      <c r="AH156" s="400"/>
      <c r="AI156" s="400"/>
      <c r="AJ156" s="400"/>
      <c r="AK156" s="400"/>
      <c r="AL156" s="400"/>
      <c r="AM156" s="400"/>
      <c r="AN156" s="400"/>
      <c r="AO156" s="400"/>
      <c r="AP156" s="400"/>
      <c r="AQ156" s="400"/>
      <c r="AR156" s="400"/>
      <c r="AS156" s="400"/>
      <c r="AT156" s="400"/>
      <c r="AU156" s="400"/>
      <c r="AV156" s="400"/>
      <c r="AW156" s="400"/>
      <c r="AX156" s="400"/>
      <c r="AY156" s="400"/>
      <c r="AZ156" s="400"/>
      <c r="BA156" s="400"/>
      <c r="BB156" s="400"/>
      <c r="BC156" s="400"/>
      <c r="BD156" s="400"/>
      <c r="BE156" s="400"/>
      <c r="BF156" s="400"/>
      <c r="BG156" s="400"/>
      <c r="BH156" s="400"/>
      <c r="BI156" s="400"/>
      <c r="BJ156" s="400"/>
      <c r="BK156" s="400"/>
      <c r="BL156" s="400"/>
      <c r="BM156" s="400"/>
      <c r="BN156" s="400"/>
      <c r="BO156" s="400"/>
      <c r="BP156" s="400"/>
      <c r="BQ156" s="400"/>
      <c r="BR156" s="400"/>
      <c r="BS156" s="400"/>
      <c r="BT156" s="400"/>
      <c r="BU156" s="400"/>
    </row>
    <row r="157" spans="1:73" s="401" customFormat="1" ht="33.75" customHeight="1" thickBot="1">
      <c r="A157" s="638" t="s">
        <v>504</v>
      </c>
      <c r="B157" s="398"/>
      <c r="C157" s="399">
        <v>2000000</v>
      </c>
      <c r="D157" s="399">
        <f>SUM(C157)+1600000-300000+31658+300000+1341234</f>
        <v>4972892</v>
      </c>
      <c r="E157" s="399">
        <f>10405+1826+8530065</f>
        <v>8542296</v>
      </c>
      <c r="F157" s="315">
        <f t="shared" si="21"/>
        <v>1.7177722741615944</v>
      </c>
      <c r="G157" s="400"/>
      <c r="H157" s="400"/>
      <c r="I157" s="400"/>
      <c r="J157" s="400"/>
      <c r="K157" s="400"/>
      <c r="L157" s="400"/>
      <c r="M157" s="400"/>
      <c r="N157" s="400"/>
      <c r="O157" s="400"/>
      <c r="P157" s="400"/>
      <c r="Q157" s="400"/>
      <c r="R157" s="400"/>
      <c r="S157" s="400"/>
      <c r="T157" s="400"/>
      <c r="U157" s="400"/>
      <c r="V157" s="400"/>
      <c r="W157" s="400"/>
      <c r="X157" s="400"/>
      <c r="Y157" s="400"/>
      <c r="Z157" s="400"/>
      <c r="AA157" s="400"/>
      <c r="AB157" s="400"/>
      <c r="AC157" s="400"/>
      <c r="AD157" s="400"/>
      <c r="AE157" s="400"/>
      <c r="AF157" s="400"/>
      <c r="AG157" s="400"/>
      <c r="AH157" s="400"/>
      <c r="AI157" s="400"/>
      <c r="AJ157" s="400"/>
      <c r="AK157" s="400"/>
      <c r="AL157" s="400"/>
      <c r="AM157" s="400"/>
      <c r="AN157" s="400"/>
      <c r="AO157" s="400"/>
      <c r="AP157" s="400"/>
      <c r="AQ157" s="400"/>
      <c r="AR157" s="400"/>
      <c r="AS157" s="400"/>
      <c r="AT157" s="400"/>
      <c r="AU157" s="400"/>
      <c r="AV157" s="400"/>
      <c r="AW157" s="400"/>
      <c r="AX157" s="400"/>
      <c r="AY157" s="400"/>
      <c r="AZ157" s="400"/>
      <c r="BA157" s="400"/>
      <c r="BB157" s="400"/>
      <c r="BC157" s="400"/>
      <c r="BD157" s="400"/>
      <c r="BE157" s="400"/>
      <c r="BF157" s="400"/>
      <c r="BG157" s="400"/>
      <c r="BH157" s="400"/>
      <c r="BI157" s="400"/>
      <c r="BJ157" s="400"/>
      <c r="BK157" s="400"/>
      <c r="BL157" s="400"/>
      <c r="BM157" s="400"/>
      <c r="BN157" s="400"/>
      <c r="BO157" s="400"/>
      <c r="BP157" s="400"/>
      <c r="BQ157" s="400"/>
      <c r="BR157" s="400"/>
      <c r="BS157" s="400"/>
      <c r="BT157" s="400"/>
      <c r="BU157" s="400"/>
    </row>
    <row r="158" spans="1:73" s="288" customFormat="1" ht="33" customHeight="1" thickBot="1">
      <c r="A158" s="405" t="s">
        <v>505</v>
      </c>
      <c r="B158" s="406"/>
      <c r="C158" s="407">
        <f>SUM(C72:C157)</f>
        <v>2257707742</v>
      </c>
      <c r="D158" s="407">
        <f>SUM(D71:D157)</f>
        <v>2794761843</v>
      </c>
      <c r="E158" s="407">
        <f>SUM(E71:E157)</f>
        <v>813379828</v>
      </c>
      <c r="F158" s="320">
        <f>E158/D158</f>
        <v>0.29103725959235516</v>
      </c>
      <c r="G158" s="408"/>
      <c r="H158" s="408"/>
      <c r="I158" s="408"/>
      <c r="J158" s="408"/>
      <c r="K158" s="408"/>
      <c r="L158" s="408"/>
      <c r="M158" s="408"/>
      <c r="N158" s="408"/>
      <c r="O158" s="408"/>
      <c r="P158" s="408"/>
      <c r="Q158" s="408"/>
      <c r="R158" s="408"/>
      <c r="S158" s="408"/>
      <c r="T158" s="408"/>
      <c r="U158" s="408"/>
      <c r="V158" s="408"/>
      <c r="W158" s="408"/>
      <c r="X158" s="408"/>
      <c r="Y158" s="408"/>
      <c r="Z158" s="408"/>
      <c r="AA158" s="408"/>
      <c r="AB158" s="408"/>
      <c r="AC158" s="408"/>
      <c r="AD158" s="408"/>
      <c r="AE158" s="408"/>
      <c r="AF158" s="408"/>
      <c r="AG158" s="408"/>
      <c r="AH158" s="408"/>
      <c r="AI158" s="408"/>
      <c r="AJ158" s="408"/>
      <c r="AK158" s="408"/>
      <c r="AL158" s="408"/>
      <c r="AM158" s="408"/>
      <c r="AN158" s="408"/>
      <c r="AO158" s="408"/>
      <c r="AP158" s="408"/>
      <c r="AQ158" s="408"/>
      <c r="AR158" s="408"/>
      <c r="AS158" s="408"/>
      <c r="AT158" s="408"/>
      <c r="AU158" s="408"/>
      <c r="AV158" s="408"/>
      <c r="AW158" s="408"/>
      <c r="AX158" s="408"/>
      <c r="AY158" s="408"/>
      <c r="AZ158" s="408"/>
      <c r="BA158" s="408"/>
      <c r="BB158" s="408"/>
      <c r="BC158" s="408"/>
      <c r="BD158" s="408"/>
      <c r="BE158" s="408"/>
      <c r="BF158" s="408"/>
      <c r="BG158" s="408"/>
      <c r="BH158" s="408"/>
      <c r="BI158" s="408"/>
      <c r="BJ158" s="408"/>
      <c r="BK158" s="408"/>
      <c r="BL158" s="408"/>
      <c r="BM158" s="408"/>
      <c r="BN158" s="408"/>
      <c r="BO158" s="408"/>
      <c r="BP158" s="408"/>
      <c r="BQ158" s="408"/>
      <c r="BR158" s="408"/>
      <c r="BS158" s="408"/>
      <c r="BT158" s="408"/>
      <c r="BU158" s="408"/>
    </row>
    <row r="159" spans="1:73" s="290" customFormat="1" ht="31.5" customHeight="1" thickBot="1">
      <c r="A159" s="552" t="s">
        <v>506</v>
      </c>
      <c r="B159" s="553"/>
      <c r="C159" s="554">
        <f>SUM(C69+C158)</f>
        <v>3193783011</v>
      </c>
      <c r="D159" s="554">
        <f>SUM(D69+D158)</f>
        <v>3961187066.3199997</v>
      </c>
      <c r="E159" s="554">
        <f>SUM(E69+E158)</f>
        <v>1907333478</v>
      </c>
      <c r="F159" s="571">
        <f>SUM(E159/D158)</f>
        <v>0.68246726739069763</v>
      </c>
      <c r="G159" s="289"/>
      <c r="H159" s="289"/>
      <c r="I159" s="289"/>
      <c r="J159" s="289"/>
      <c r="K159" s="289"/>
      <c r="L159" s="289"/>
      <c r="M159" s="289"/>
      <c r="N159" s="289"/>
      <c r="O159" s="289"/>
      <c r="P159" s="289"/>
      <c r="Q159" s="289"/>
      <c r="R159" s="289"/>
      <c r="S159" s="289"/>
      <c r="T159" s="289"/>
      <c r="U159" s="289"/>
      <c r="V159" s="289"/>
      <c r="W159" s="289"/>
      <c r="X159" s="289"/>
      <c r="Y159" s="289"/>
      <c r="Z159" s="289"/>
      <c r="AA159" s="289"/>
      <c r="AB159" s="289"/>
      <c r="AC159" s="289"/>
      <c r="AD159" s="289"/>
      <c r="AE159" s="289"/>
      <c r="AF159" s="289"/>
      <c r="AG159" s="289"/>
      <c r="AH159" s="289"/>
      <c r="AI159" s="289"/>
      <c r="AJ159" s="289"/>
      <c r="AK159" s="289"/>
      <c r="AL159" s="289"/>
      <c r="AM159" s="289"/>
      <c r="AN159" s="289"/>
      <c r="AO159" s="289"/>
      <c r="AP159" s="289"/>
      <c r="AQ159" s="289"/>
      <c r="AR159" s="289"/>
      <c r="AS159" s="289"/>
      <c r="AT159" s="289"/>
      <c r="AU159" s="289"/>
      <c r="AV159" s="289"/>
      <c r="AW159" s="289"/>
      <c r="AX159" s="289"/>
      <c r="AY159" s="289"/>
      <c r="AZ159" s="289"/>
      <c r="BA159" s="289"/>
      <c r="BB159" s="289"/>
      <c r="BC159" s="289"/>
      <c r="BD159" s="289"/>
      <c r="BE159" s="289"/>
      <c r="BF159" s="289"/>
      <c r="BG159" s="289"/>
      <c r="BH159" s="289"/>
      <c r="BI159" s="289"/>
      <c r="BJ159" s="289"/>
      <c r="BK159" s="289"/>
      <c r="BL159" s="289"/>
      <c r="BM159" s="289"/>
      <c r="BN159" s="289"/>
      <c r="BO159" s="289"/>
      <c r="BP159" s="289"/>
      <c r="BQ159" s="289"/>
      <c r="BR159" s="289"/>
      <c r="BS159" s="289"/>
      <c r="BT159" s="289"/>
      <c r="BU159" s="289"/>
    </row>
    <row r="160" spans="1:73" s="288" customFormat="1" ht="47.25" customHeight="1" thickBot="1">
      <c r="A160" s="405" t="s">
        <v>507</v>
      </c>
      <c r="B160" s="406"/>
      <c r="C160" s="407">
        <v>1296649872</v>
      </c>
      <c r="D160" s="422">
        <f>SUM(C160)+70455096+20291059-3633448+85000000+18110464-57142378</f>
        <v>1429730665</v>
      </c>
      <c r="E160" s="422">
        <v>1429730665</v>
      </c>
      <c r="F160" s="320">
        <f>E160/D160</f>
        <v>1</v>
      </c>
      <c r="G160" s="408"/>
      <c r="H160" s="408"/>
      <c r="I160" s="408"/>
      <c r="J160" s="408"/>
      <c r="K160" s="408"/>
      <c r="L160" s="408"/>
      <c r="M160" s="408"/>
      <c r="N160" s="408"/>
      <c r="O160" s="408"/>
      <c r="P160" s="408"/>
      <c r="Q160" s="408"/>
      <c r="R160" s="408"/>
      <c r="S160" s="408"/>
      <c r="T160" s="408"/>
      <c r="U160" s="408"/>
      <c r="V160" s="408"/>
      <c r="W160" s="408"/>
      <c r="X160" s="408"/>
      <c r="Y160" s="408"/>
      <c r="Z160" s="408"/>
      <c r="AA160" s="408"/>
      <c r="AB160" s="408"/>
      <c r="AC160" s="408"/>
      <c r="AD160" s="408"/>
      <c r="AE160" s="408"/>
      <c r="AF160" s="408"/>
      <c r="AG160" s="408"/>
      <c r="AH160" s="408"/>
      <c r="AI160" s="408"/>
      <c r="AJ160" s="408"/>
      <c r="AK160" s="408"/>
      <c r="AL160" s="408"/>
      <c r="AM160" s="408"/>
      <c r="AN160" s="408"/>
      <c r="AO160" s="408"/>
      <c r="AP160" s="408"/>
      <c r="AQ160" s="408"/>
      <c r="AR160" s="408"/>
      <c r="AS160" s="408"/>
      <c r="AT160" s="408"/>
      <c r="AU160" s="408"/>
      <c r="AV160" s="408"/>
      <c r="AW160" s="408"/>
      <c r="AX160" s="408"/>
      <c r="AY160" s="408"/>
      <c r="AZ160" s="408"/>
      <c r="BA160" s="408"/>
      <c r="BB160" s="408"/>
      <c r="BC160" s="408"/>
      <c r="BD160" s="408"/>
      <c r="BE160" s="408"/>
      <c r="BF160" s="408"/>
      <c r="BG160" s="408"/>
      <c r="BH160" s="408"/>
      <c r="BI160" s="408"/>
      <c r="BJ160" s="408"/>
      <c r="BK160" s="408"/>
      <c r="BL160" s="408"/>
      <c r="BM160" s="408"/>
      <c r="BN160" s="408"/>
      <c r="BO160" s="408"/>
      <c r="BP160" s="408"/>
      <c r="BQ160" s="408"/>
      <c r="BR160" s="408"/>
      <c r="BS160" s="408"/>
      <c r="BT160" s="408"/>
      <c r="BU160" s="408"/>
    </row>
    <row r="161" spans="1:73" s="409" customFormat="1" ht="38.25" customHeight="1" thickBot="1">
      <c r="A161" s="405" t="s">
        <v>508</v>
      </c>
      <c r="B161" s="406"/>
      <c r="C161" s="407">
        <v>200000000</v>
      </c>
      <c r="D161" s="407">
        <v>83051101</v>
      </c>
      <c r="E161" s="407"/>
      <c r="F161" s="320"/>
      <c r="G161" s="408"/>
      <c r="H161" s="408"/>
      <c r="I161" s="408"/>
      <c r="J161" s="408"/>
      <c r="K161" s="408"/>
      <c r="L161" s="408"/>
      <c r="M161" s="408"/>
      <c r="N161" s="408"/>
      <c r="O161" s="408"/>
      <c r="P161" s="408"/>
      <c r="Q161" s="408"/>
      <c r="R161" s="408"/>
      <c r="S161" s="408"/>
      <c r="T161" s="408"/>
      <c r="U161" s="408"/>
      <c r="V161" s="408"/>
      <c r="W161" s="408"/>
      <c r="X161" s="408"/>
      <c r="Y161" s="408"/>
      <c r="Z161" s="408"/>
      <c r="AA161" s="408"/>
      <c r="AB161" s="408"/>
      <c r="AC161" s="408"/>
      <c r="AD161" s="408"/>
      <c r="AE161" s="408"/>
      <c r="AF161" s="408"/>
      <c r="AG161" s="408"/>
      <c r="AH161" s="408"/>
      <c r="AI161" s="408"/>
      <c r="AJ161" s="408"/>
      <c r="AK161" s="408"/>
      <c r="AL161" s="408"/>
      <c r="AM161" s="408"/>
      <c r="AN161" s="408"/>
      <c r="AO161" s="408"/>
      <c r="AP161" s="408"/>
      <c r="AQ161" s="408"/>
      <c r="AR161" s="408"/>
      <c r="AS161" s="408"/>
      <c r="AT161" s="408"/>
      <c r="AU161" s="408"/>
      <c r="AV161" s="408"/>
      <c r="AW161" s="408"/>
      <c r="AX161" s="408"/>
      <c r="AY161" s="408"/>
      <c r="AZ161" s="408"/>
      <c r="BA161" s="408"/>
      <c r="BB161" s="408"/>
      <c r="BC161" s="408"/>
      <c r="BD161" s="408"/>
      <c r="BE161" s="408"/>
      <c r="BF161" s="408"/>
      <c r="BG161" s="408"/>
      <c r="BH161" s="408"/>
      <c r="BI161" s="408"/>
      <c r="BJ161" s="408"/>
      <c r="BK161" s="408"/>
      <c r="BL161" s="408"/>
      <c r="BM161" s="408"/>
      <c r="BN161" s="408"/>
      <c r="BO161" s="408"/>
      <c r="BP161" s="408"/>
      <c r="BQ161" s="408"/>
      <c r="BR161" s="408"/>
      <c r="BS161" s="408"/>
      <c r="BT161" s="408"/>
      <c r="BU161" s="408"/>
    </row>
    <row r="162" spans="1:73" s="409" customFormat="1" ht="38.25" customHeight="1" thickBot="1">
      <c r="A162" s="404" t="s">
        <v>509</v>
      </c>
      <c r="B162" s="410"/>
      <c r="C162" s="403">
        <v>783410294</v>
      </c>
      <c r="D162" s="318">
        <f>SUM(B163+B164+B166+B167+B171+B172+B173+B174+B175+B176+B177+B187+B181+B183+B185+B178+B179)</f>
        <v>1701594275</v>
      </c>
      <c r="E162" s="318"/>
      <c r="F162" s="319"/>
      <c r="G162" s="546"/>
      <c r="H162" s="408"/>
      <c r="I162" s="408"/>
      <c r="J162" s="408"/>
      <c r="K162" s="408"/>
      <c r="L162" s="408"/>
      <c r="M162" s="408"/>
      <c r="N162" s="408"/>
      <c r="O162" s="408"/>
      <c r="P162" s="408"/>
      <c r="Q162" s="408"/>
      <c r="R162" s="408"/>
      <c r="S162" s="408"/>
      <c r="T162" s="408"/>
      <c r="U162" s="408"/>
      <c r="V162" s="408"/>
      <c r="W162" s="408"/>
      <c r="X162" s="408"/>
      <c r="Y162" s="408"/>
      <c r="Z162" s="408"/>
      <c r="AA162" s="408"/>
      <c r="AB162" s="408"/>
      <c r="AC162" s="408"/>
      <c r="AD162" s="408"/>
      <c r="AE162" s="408"/>
      <c r="AF162" s="408"/>
      <c r="AG162" s="408"/>
      <c r="AH162" s="408"/>
      <c r="AI162" s="408"/>
      <c r="AJ162" s="408"/>
      <c r="AK162" s="408"/>
      <c r="AL162" s="408"/>
      <c r="AM162" s="408"/>
      <c r="AN162" s="408"/>
      <c r="AO162" s="408"/>
      <c r="AP162" s="408"/>
      <c r="AQ162" s="408"/>
      <c r="AR162" s="408"/>
      <c r="AS162" s="408"/>
      <c r="AT162" s="408"/>
      <c r="AU162" s="408"/>
      <c r="AV162" s="408"/>
      <c r="AW162" s="408"/>
      <c r="AX162" s="408"/>
      <c r="AY162" s="408"/>
      <c r="AZ162" s="408"/>
      <c r="BA162" s="408"/>
      <c r="BB162" s="408"/>
      <c r="BC162" s="408"/>
      <c r="BD162" s="408"/>
      <c r="BE162" s="408"/>
      <c r="BF162" s="408"/>
      <c r="BG162" s="408"/>
      <c r="BH162" s="408"/>
      <c r="BI162" s="408"/>
      <c r="BJ162" s="408"/>
      <c r="BK162" s="408"/>
      <c r="BL162" s="408"/>
      <c r="BM162" s="408"/>
      <c r="BN162" s="408"/>
      <c r="BO162" s="408"/>
      <c r="BP162" s="408"/>
      <c r="BQ162" s="408"/>
      <c r="BR162" s="408"/>
      <c r="BS162" s="408"/>
      <c r="BT162" s="408"/>
      <c r="BU162" s="408"/>
    </row>
    <row r="163" spans="1:73" s="409" customFormat="1" ht="38.25" customHeight="1" thickBot="1">
      <c r="A163" s="638" t="s">
        <v>897</v>
      </c>
      <c r="B163" s="393">
        <v>3000000</v>
      </c>
      <c r="C163" s="399"/>
      <c r="D163" s="403"/>
      <c r="E163" s="403"/>
      <c r="F163" s="419"/>
      <c r="G163" s="546"/>
      <c r="H163" s="408"/>
      <c r="I163" s="408"/>
      <c r="J163" s="408"/>
      <c r="K163" s="408"/>
      <c r="L163" s="408"/>
      <c r="M163" s="408"/>
      <c r="N163" s="408"/>
      <c r="O163" s="408"/>
      <c r="P163" s="408"/>
      <c r="Q163" s="408"/>
      <c r="R163" s="408"/>
      <c r="S163" s="408"/>
      <c r="T163" s="408"/>
      <c r="U163" s="408"/>
      <c r="V163" s="408"/>
      <c r="W163" s="408"/>
      <c r="X163" s="408"/>
      <c r="Y163" s="408"/>
      <c r="Z163" s="408"/>
      <c r="AA163" s="408"/>
      <c r="AB163" s="408"/>
      <c r="AC163" s="408"/>
      <c r="AD163" s="408"/>
      <c r="AE163" s="408"/>
      <c r="AF163" s="408"/>
      <c r="AG163" s="408"/>
      <c r="AH163" s="408"/>
      <c r="AI163" s="408"/>
      <c r="AJ163" s="408"/>
      <c r="AK163" s="408"/>
      <c r="AL163" s="408"/>
      <c r="AM163" s="408"/>
      <c r="AN163" s="408"/>
      <c r="AO163" s="408"/>
      <c r="AP163" s="408"/>
      <c r="AQ163" s="408"/>
      <c r="AR163" s="408"/>
      <c r="AS163" s="408"/>
      <c r="AT163" s="408"/>
      <c r="AU163" s="408"/>
      <c r="AV163" s="408"/>
      <c r="AW163" s="408"/>
      <c r="AX163" s="408"/>
      <c r="AY163" s="408"/>
      <c r="AZ163" s="408"/>
      <c r="BA163" s="408"/>
      <c r="BB163" s="408"/>
      <c r="BC163" s="408"/>
      <c r="BD163" s="408"/>
      <c r="BE163" s="408"/>
      <c r="BF163" s="408"/>
      <c r="BG163" s="408"/>
      <c r="BH163" s="408"/>
      <c r="BI163" s="408"/>
      <c r="BJ163" s="408"/>
      <c r="BK163" s="408"/>
      <c r="BL163" s="408"/>
      <c r="BM163" s="408"/>
      <c r="BN163" s="408"/>
      <c r="BO163" s="408"/>
      <c r="BP163" s="408"/>
      <c r="BQ163" s="408"/>
      <c r="BR163" s="408"/>
      <c r="BS163" s="408"/>
      <c r="BT163" s="408"/>
      <c r="BU163" s="408"/>
    </row>
    <row r="164" spans="1:73" s="396" customFormat="1" ht="44.25" customHeight="1" thickBot="1">
      <c r="A164" s="638" t="s">
        <v>898</v>
      </c>
      <c r="B164" s="393">
        <f>3875000-73+8870741+307517-13053185</f>
        <v>0</v>
      </c>
      <c r="C164" s="399"/>
      <c r="D164" s="399"/>
      <c r="E164" s="399"/>
      <c r="F164" s="315"/>
      <c r="G164" s="395"/>
      <c r="H164" s="395"/>
      <c r="I164" s="395"/>
      <c r="J164" s="395"/>
      <c r="K164" s="395"/>
      <c r="L164" s="395"/>
      <c r="M164" s="395"/>
      <c r="N164" s="395"/>
      <c r="O164" s="395"/>
      <c r="P164" s="395"/>
      <c r="Q164" s="395"/>
      <c r="R164" s="395"/>
      <c r="S164" s="395"/>
      <c r="T164" s="395"/>
      <c r="U164" s="395"/>
      <c r="V164" s="395"/>
      <c r="W164" s="395"/>
      <c r="X164" s="395"/>
      <c r="Y164" s="395"/>
      <c r="Z164" s="395"/>
      <c r="AA164" s="395"/>
      <c r="AB164" s="395"/>
      <c r="AC164" s="395"/>
      <c r="AD164" s="395"/>
      <c r="AE164" s="395"/>
      <c r="AF164" s="395"/>
      <c r="AG164" s="395"/>
      <c r="AH164" s="395"/>
      <c r="AI164" s="395"/>
      <c r="AJ164" s="395"/>
      <c r="AK164" s="395"/>
      <c r="AL164" s="395"/>
      <c r="AM164" s="395"/>
      <c r="AN164" s="395"/>
      <c r="AO164" s="395"/>
      <c r="AP164" s="395"/>
      <c r="AQ164" s="395"/>
      <c r="AR164" s="395"/>
      <c r="AS164" s="395"/>
      <c r="AT164" s="395"/>
      <c r="AU164" s="395"/>
      <c r="AV164" s="395"/>
      <c r="AW164" s="395"/>
      <c r="AX164" s="395"/>
      <c r="AY164" s="395"/>
      <c r="AZ164" s="395"/>
      <c r="BA164" s="395"/>
      <c r="BB164" s="395"/>
      <c r="BC164" s="395"/>
      <c r="BD164" s="395"/>
      <c r="BE164" s="395"/>
      <c r="BF164" s="395"/>
      <c r="BG164" s="395"/>
      <c r="BH164" s="395"/>
      <c r="BI164" s="395"/>
      <c r="BJ164" s="395"/>
      <c r="BK164" s="395"/>
      <c r="BL164" s="395"/>
      <c r="BM164" s="395"/>
      <c r="BN164" s="395"/>
      <c r="BO164" s="395"/>
      <c r="BP164" s="395"/>
      <c r="BQ164" s="395"/>
      <c r="BR164" s="395"/>
      <c r="BS164" s="395"/>
      <c r="BT164" s="395"/>
      <c r="BU164" s="395"/>
    </row>
    <row r="165" spans="1:73" s="401" customFormat="1" ht="38.25" customHeight="1" thickBot="1">
      <c r="A165" s="638" t="s">
        <v>510</v>
      </c>
      <c r="B165" s="398"/>
      <c r="C165" s="399"/>
      <c r="D165" s="399"/>
      <c r="E165" s="399"/>
      <c r="F165" s="315"/>
      <c r="G165" s="400"/>
      <c r="H165" s="400"/>
      <c r="I165" s="400"/>
      <c r="J165" s="400"/>
      <c r="K165" s="400"/>
      <c r="L165" s="400"/>
      <c r="M165" s="400"/>
      <c r="N165" s="400"/>
      <c r="O165" s="400"/>
      <c r="P165" s="400"/>
      <c r="Q165" s="400"/>
      <c r="R165" s="400"/>
      <c r="S165" s="400"/>
      <c r="T165" s="400"/>
      <c r="U165" s="400"/>
      <c r="V165" s="400"/>
      <c r="W165" s="400"/>
      <c r="X165" s="400"/>
      <c r="Y165" s="400"/>
      <c r="Z165" s="400"/>
      <c r="AA165" s="400"/>
      <c r="AB165" s="400"/>
      <c r="AC165" s="400"/>
      <c r="AD165" s="400"/>
      <c r="AE165" s="400"/>
      <c r="AF165" s="400"/>
      <c r="AG165" s="400"/>
      <c r="AH165" s="400"/>
      <c r="AI165" s="400"/>
      <c r="AJ165" s="400"/>
      <c r="AK165" s="400"/>
      <c r="AL165" s="400"/>
      <c r="AM165" s="400"/>
      <c r="AN165" s="400"/>
      <c r="AO165" s="400"/>
      <c r="AP165" s="400"/>
      <c r="AQ165" s="400"/>
      <c r="AR165" s="400"/>
      <c r="AS165" s="400"/>
      <c r="AT165" s="400"/>
      <c r="AU165" s="400"/>
      <c r="AV165" s="400"/>
      <c r="AW165" s="400"/>
      <c r="AX165" s="400"/>
      <c r="AY165" s="400"/>
      <c r="AZ165" s="400"/>
      <c r="BA165" s="400"/>
      <c r="BB165" s="400"/>
      <c r="BC165" s="400"/>
      <c r="BD165" s="400"/>
      <c r="BE165" s="400"/>
      <c r="BF165" s="400"/>
      <c r="BG165" s="400"/>
      <c r="BH165" s="400"/>
      <c r="BI165" s="400"/>
      <c r="BJ165" s="400"/>
      <c r="BK165" s="400"/>
      <c r="BL165" s="400"/>
      <c r="BM165" s="400"/>
      <c r="BN165" s="400"/>
      <c r="BO165" s="400"/>
      <c r="BP165" s="400"/>
      <c r="BQ165" s="400"/>
      <c r="BR165" s="400"/>
      <c r="BS165" s="400"/>
      <c r="BT165" s="400"/>
      <c r="BU165" s="400"/>
    </row>
    <row r="166" spans="1:73" s="396" customFormat="1" ht="59.25" customHeight="1" thickBot="1">
      <c r="A166" s="397" t="s">
        <v>511</v>
      </c>
      <c r="B166" s="393">
        <v>12148581</v>
      </c>
      <c r="C166" s="399"/>
      <c r="D166" s="399"/>
      <c r="E166" s="399"/>
      <c r="F166" s="315"/>
      <c r="G166" s="395"/>
      <c r="H166" s="395"/>
      <c r="I166" s="395"/>
      <c r="J166" s="395"/>
      <c r="K166" s="395"/>
      <c r="L166" s="395"/>
      <c r="M166" s="395"/>
      <c r="N166" s="395"/>
      <c r="O166" s="395"/>
      <c r="P166" s="395"/>
      <c r="Q166" s="395"/>
      <c r="R166" s="395"/>
      <c r="S166" s="395"/>
      <c r="T166" s="395"/>
      <c r="U166" s="395"/>
      <c r="V166" s="395"/>
      <c r="W166" s="395"/>
      <c r="X166" s="395"/>
      <c r="Y166" s="395"/>
      <c r="Z166" s="395"/>
      <c r="AA166" s="395"/>
      <c r="AB166" s="395"/>
      <c r="AC166" s="395"/>
      <c r="AD166" s="395"/>
      <c r="AE166" s="395"/>
      <c r="AF166" s="395"/>
      <c r="AG166" s="395"/>
      <c r="AH166" s="395"/>
      <c r="AI166" s="395"/>
      <c r="AJ166" s="395"/>
      <c r="AK166" s="395"/>
      <c r="AL166" s="395"/>
      <c r="AM166" s="395"/>
      <c r="AN166" s="395"/>
      <c r="AO166" s="395"/>
      <c r="AP166" s="395"/>
      <c r="AQ166" s="395"/>
      <c r="AR166" s="395"/>
      <c r="AS166" s="395"/>
      <c r="AT166" s="395"/>
      <c r="AU166" s="395"/>
      <c r="AV166" s="395"/>
      <c r="AW166" s="395"/>
      <c r="AX166" s="395"/>
      <c r="AY166" s="395"/>
      <c r="AZ166" s="395"/>
      <c r="BA166" s="395"/>
      <c r="BB166" s="395"/>
      <c r="BC166" s="395"/>
      <c r="BD166" s="395"/>
      <c r="BE166" s="395"/>
      <c r="BF166" s="395"/>
      <c r="BG166" s="395"/>
      <c r="BH166" s="395"/>
      <c r="BI166" s="395"/>
      <c r="BJ166" s="395"/>
      <c r="BK166" s="395"/>
      <c r="BL166" s="395"/>
      <c r="BM166" s="395"/>
      <c r="BN166" s="395"/>
      <c r="BO166" s="395"/>
      <c r="BP166" s="395"/>
      <c r="BQ166" s="395"/>
      <c r="BR166" s="395"/>
      <c r="BS166" s="395"/>
      <c r="BT166" s="395"/>
      <c r="BU166" s="395"/>
    </row>
    <row r="167" spans="1:73" s="396" customFormat="1" ht="38.25" thickBot="1">
      <c r="A167" s="638" t="s">
        <v>926</v>
      </c>
      <c r="B167" s="393">
        <f>SUM(B169:B170)</f>
        <v>211140184</v>
      </c>
      <c r="C167" s="399"/>
      <c r="D167" s="399"/>
      <c r="E167" s="399"/>
      <c r="F167" s="315"/>
      <c r="G167" s="395"/>
      <c r="H167" s="395"/>
      <c r="I167" s="395"/>
      <c r="J167" s="395"/>
      <c r="K167" s="395"/>
      <c r="L167" s="395"/>
      <c r="M167" s="395"/>
      <c r="N167" s="395"/>
      <c r="O167" s="395"/>
      <c r="P167" s="395"/>
      <c r="Q167" s="395"/>
      <c r="R167" s="395"/>
      <c r="S167" s="395"/>
      <c r="T167" s="395"/>
      <c r="U167" s="395"/>
      <c r="V167" s="395"/>
      <c r="W167" s="395"/>
      <c r="X167" s="395"/>
      <c r="Y167" s="395"/>
      <c r="Z167" s="395"/>
      <c r="AA167" s="395"/>
      <c r="AB167" s="395"/>
      <c r="AC167" s="395"/>
      <c r="AD167" s="395"/>
      <c r="AE167" s="395"/>
      <c r="AF167" s="395"/>
      <c r="AG167" s="395"/>
      <c r="AH167" s="395"/>
      <c r="AI167" s="395"/>
      <c r="AJ167" s="395"/>
      <c r="AK167" s="395"/>
      <c r="AL167" s="395"/>
      <c r="AM167" s="395"/>
      <c r="AN167" s="395"/>
      <c r="AO167" s="395"/>
      <c r="AP167" s="395"/>
      <c r="AQ167" s="395"/>
      <c r="AR167" s="395"/>
      <c r="AS167" s="395"/>
      <c r="AT167" s="395"/>
      <c r="AU167" s="395"/>
      <c r="AV167" s="395"/>
      <c r="AW167" s="395"/>
      <c r="AX167" s="395"/>
      <c r="AY167" s="395"/>
      <c r="AZ167" s="395"/>
      <c r="BA167" s="395"/>
      <c r="BB167" s="395"/>
      <c r="BC167" s="395"/>
      <c r="BD167" s="395"/>
      <c r="BE167" s="395"/>
      <c r="BF167" s="395"/>
      <c r="BG167" s="395"/>
      <c r="BH167" s="395"/>
      <c r="BI167" s="395"/>
      <c r="BJ167" s="395"/>
      <c r="BK167" s="395"/>
      <c r="BL167" s="395"/>
      <c r="BM167" s="395"/>
      <c r="BN167" s="395"/>
      <c r="BO167" s="395"/>
      <c r="BP167" s="395"/>
      <c r="BQ167" s="395"/>
      <c r="BR167" s="395"/>
      <c r="BS167" s="395"/>
      <c r="BT167" s="395"/>
      <c r="BU167" s="395"/>
    </row>
    <row r="168" spans="1:73" s="396" customFormat="1" ht="22.5" customHeight="1" thickBot="1">
      <c r="A168" s="397" t="s">
        <v>427</v>
      </c>
      <c r="B168" s="393"/>
      <c r="C168" s="399"/>
      <c r="D168" s="399"/>
      <c r="E168" s="399"/>
      <c r="F168" s="315"/>
      <c r="G168" s="395"/>
      <c r="H168" s="395"/>
      <c r="I168" s="395"/>
      <c r="J168" s="395"/>
      <c r="K168" s="395"/>
      <c r="L168" s="395"/>
      <c r="M168" s="395"/>
      <c r="N168" s="395"/>
      <c r="O168" s="395"/>
      <c r="P168" s="395"/>
      <c r="Q168" s="395"/>
      <c r="R168" s="395"/>
      <c r="S168" s="395"/>
      <c r="T168" s="395"/>
      <c r="U168" s="395"/>
      <c r="V168" s="395"/>
      <c r="W168" s="395"/>
      <c r="X168" s="395"/>
      <c r="Y168" s="395"/>
      <c r="Z168" s="395"/>
      <c r="AA168" s="395"/>
      <c r="AB168" s="395"/>
      <c r="AC168" s="395"/>
      <c r="AD168" s="395"/>
      <c r="AE168" s="395"/>
      <c r="AF168" s="395"/>
      <c r="AG168" s="395"/>
      <c r="AH168" s="395"/>
      <c r="AI168" s="395"/>
      <c r="AJ168" s="395"/>
      <c r="AK168" s="395"/>
      <c r="AL168" s="395"/>
      <c r="AM168" s="395"/>
      <c r="AN168" s="395"/>
      <c r="AO168" s="395"/>
      <c r="AP168" s="395"/>
      <c r="AQ168" s="395"/>
      <c r="AR168" s="395"/>
      <c r="AS168" s="395"/>
      <c r="AT168" s="395"/>
      <c r="AU168" s="395"/>
      <c r="AV168" s="395"/>
      <c r="AW168" s="395"/>
      <c r="AX168" s="395"/>
      <c r="AY168" s="395"/>
      <c r="AZ168" s="395"/>
      <c r="BA168" s="395"/>
      <c r="BB168" s="395"/>
      <c r="BC168" s="395"/>
      <c r="BD168" s="395"/>
      <c r="BE168" s="395"/>
      <c r="BF168" s="395"/>
      <c r="BG168" s="395"/>
      <c r="BH168" s="395"/>
      <c r="BI168" s="395"/>
      <c r="BJ168" s="395"/>
      <c r="BK168" s="395"/>
      <c r="BL168" s="395"/>
      <c r="BM168" s="395"/>
      <c r="BN168" s="395"/>
      <c r="BO168" s="395"/>
      <c r="BP168" s="395"/>
      <c r="BQ168" s="395"/>
      <c r="BR168" s="395"/>
      <c r="BS168" s="395"/>
      <c r="BT168" s="395"/>
      <c r="BU168" s="395"/>
    </row>
    <row r="169" spans="1:73" s="396" customFormat="1" ht="22.5" customHeight="1" thickBot="1">
      <c r="A169" s="397" t="s">
        <v>899</v>
      </c>
      <c r="B169" s="393">
        <v>49950000</v>
      </c>
      <c r="C169" s="399"/>
      <c r="D169" s="399"/>
      <c r="E169" s="399"/>
      <c r="F169" s="315"/>
      <c r="G169" s="395"/>
      <c r="H169" s="395"/>
      <c r="I169" s="395"/>
      <c r="J169" s="395"/>
      <c r="K169" s="395"/>
      <c r="L169" s="395"/>
      <c r="M169" s="395"/>
      <c r="N169" s="395"/>
      <c r="O169" s="395"/>
      <c r="P169" s="395"/>
      <c r="Q169" s="395"/>
      <c r="R169" s="395"/>
      <c r="S169" s="395"/>
      <c r="T169" s="395"/>
      <c r="U169" s="395"/>
      <c r="V169" s="395"/>
      <c r="W169" s="395"/>
      <c r="X169" s="395"/>
      <c r="Y169" s="395"/>
      <c r="Z169" s="395"/>
      <c r="AA169" s="395"/>
      <c r="AB169" s="395"/>
      <c r="AC169" s="395"/>
      <c r="AD169" s="395"/>
      <c r="AE169" s="395"/>
      <c r="AF169" s="395"/>
      <c r="AG169" s="395"/>
      <c r="AH169" s="395"/>
      <c r="AI169" s="395"/>
      <c r="AJ169" s="395"/>
      <c r="AK169" s="395"/>
      <c r="AL169" s="395"/>
      <c r="AM169" s="395"/>
      <c r="AN169" s="395"/>
      <c r="AO169" s="395"/>
      <c r="AP169" s="395"/>
      <c r="AQ169" s="395"/>
      <c r="AR169" s="395"/>
      <c r="AS169" s="395"/>
      <c r="AT169" s="395"/>
      <c r="AU169" s="395"/>
      <c r="AV169" s="395"/>
      <c r="AW169" s="395"/>
      <c r="AX169" s="395"/>
      <c r="AY169" s="395"/>
      <c r="AZ169" s="395"/>
      <c r="BA169" s="395"/>
      <c r="BB169" s="395"/>
      <c r="BC169" s="395"/>
      <c r="BD169" s="395"/>
      <c r="BE169" s="395"/>
      <c r="BF169" s="395"/>
      <c r="BG169" s="395"/>
      <c r="BH169" s="395"/>
      <c r="BI169" s="395"/>
      <c r="BJ169" s="395"/>
      <c r="BK169" s="395"/>
      <c r="BL169" s="395"/>
      <c r="BM169" s="395"/>
      <c r="BN169" s="395"/>
      <c r="BO169" s="395"/>
      <c r="BP169" s="395"/>
      <c r="BQ169" s="395"/>
      <c r="BR169" s="395"/>
      <c r="BS169" s="395"/>
      <c r="BT169" s="395"/>
      <c r="BU169" s="395"/>
    </row>
    <row r="170" spans="1:73" s="396" customFormat="1" ht="37.5" customHeight="1" thickBot="1">
      <c r="A170" s="397" t="s">
        <v>900</v>
      </c>
      <c r="B170" s="393">
        <f>164375993-3185809</f>
        <v>161190184</v>
      </c>
      <c r="C170" s="399"/>
      <c r="D170" s="399"/>
      <c r="E170" s="399"/>
      <c r="F170" s="315"/>
      <c r="G170" s="395"/>
      <c r="H170" s="395"/>
      <c r="I170" s="395"/>
      <c r="J170" s="395"/>
      <c r="K170" s="395"/>
      <c r="L170" s="395"/>
      <c r="M170" s="395"/>
      <c r="N170" s="395"/>
      <c r="O170" s="395"/>
      <c r="P170" s="395"/>
      <c r="Q170" s="395"/>
      <c r="R170" s="395"/>
      <c r="S170" s="395"/>
      <c r="T170" s="395"/>
      <c r="U170" s="395"/>
      <c r="V170" s="395"/>
      <c r="W170" s="395"/>
      <c r="X170" s="395"/>
      <c r="Y170" s="395"/>
      <c r="Z170" s="395"/>
      <c r="AA170" s="395"/>
      <c r="AB170" s="395"/>
      <c r="AC170" s="395"/>
      <c r="AD170" s="395"/>
      <c r="AE170" s="395"/>
      <c r="AF170" s="395"/>
      <c r="AG170" s="395"/>
      <c r="AH170" s="395"/>
      <c r="AI170" s="395"/>
      <c r="AJ170" s="395"/>
      <c r="AK170" s="395"/>
      <c r="AL170" s="395"/>
      <c r="AM170" s="395"/>
      <c r="AN170" s="395"/>
      <c r="AO170" s="395"/>
      <c r="AP170" s="395"/>
      <c r="AQ170" s="395"/>
      <c r="AR170" s="395"/>
      <c r="AS170" s="395"/>
      <c r="AT170" s="395"/>
      <c r="AU170" s="395"/>
      <c r="AV170" s="395"/>
      <c r="AW170" s="395"/>
      <c r="AX170" s="395"/>
      <c r="AY170" s="395"/>
      <c r="AZ170" s="395"/>
      <c r="BA170" s="395"/>
      <c r="BB170" s="395"/>
      <c r="BC170" s="395"/>
      <c r="BD170" s="395"/>
      <c r="BE170" s="395"/>
      <c r="BF170" s="395"/>
      <c r="BG170" s="395"/>
      <c r="BH170" s="395"/>
      <c r="BI170" s="395"/>
      <c r="BJ170" s="395"/>
      <c r="BK170" s="395"/>
      <c r="BL170" s="395"/>
      <c r="BM170" s="395"/>
      <c r="BN170" s="395"/>
      <c r="BO170" s="395"/>
      <c r="BP170" s="395"/>
      <c r="BQ170" s="395"/>
      <c r="BR170" s="395"/>
      <c r="BS170" s="395"/>
      <c r="BT170" s="395"/>
      <c r="BU170" s="395"/>
    </row>
    <row r="171" spans="1:73" s="401" customFormat="1" ht="77.25" customHeight="1" thickBot="1">
      <c r="A171" s="316" t="s">
        <v>651</v>
      </c>
      <c r="B171" s="393">
        <f>200700259-3733800-570363</f>
        <v>196396096</v>
      </c>
      <c r="C171" s="399"/>
      <c r="D171" s="399"/>
      <c r="E171" s="399"/>
      <c r="F171" s="315"/>
      <c r="G171" s="400"/>
      <c r="H171" s="400"/>
      <c r="I171" s="400"/>
      <c r="J171" s="400"/>
      <c r="K171" s="400"/>
      <c r="L171" s="400"/>
      <c r="M171" s="400"/>
      <c r="N171" s="400"/>
      <c r="O171" s="400"/>
      <c r="P171" s="400"/>
      <c r="Q171" s="400"/>
      <c r="R171" s="400"/>
      <c r="S171" s="400"/>
      <c r="T171" s="400"/>
      <c r="U171" s="400"/>
      <c r="V171" s="400"/>
      <c r="W171" s="400"/>
      <c r="X171" s="400"/>
      <c r="Y171" s="400"/>
      <c r="Z171" s="400"/>
      <c r="AA171" s="400"/>
      <c r="AB171" s="400"/>
      <c r="AC171" s="400"/>
      <c r="AD171" s="400"/>
      <c r="AE171" s="400"/>
      <c r="AF171" s="400"/>
      <c r="AG171" s="400"/>
      <c r="AH171" s="400"/>
      <c r="AI171" s="400"/>
      <c r="AJ171" s="400"/>
      <c r="AK171" s="400"/>
      <c r="AL171" s="400"/>
      <c r="AM171" s="400"/>
      <c r="AN171" s="400"/>
      <c r="AO171" s="400"/>
      <c r="AP171" s="400"/>
      <c r="AQ171" s="400"/>
      <c r="AR171" s="400"/>
      <c r="AS171" s="400"/>
      <c r="AT171" s="400"/>
      <c r="AU171" s="400"/>
      <c r="AV171" s="400"/>
      <c r="AW171" s="400"/>
      <c r="AX171" s="400"/>
      <c r="AY171" s="400"/>
      <c r="AZ171" s="400"/>
      <c r="BA171" s="400"/>
      <c r="BB171" s="400"/>
      <c r="BC171" s="400"/>
      <c r="BD171" s="400"/>
      <c r="BE171" s="400"/>
      <c r="BF171" s="400"/>
      <c r="BG171" s="400"/>
      <c r="BH171" s="400"/>
      <c r="BI171" s="400"/>
      <c r="BJ171" s="400"/>
      <c r="BK171" s="400"/>
      <c r="BL171" s="400"/>
      <c r="BM171" s="400"/>
      <c r="BN171" s="400"/>
      <c r="BO171" s="400"/>
      <c r="BP171" s="400"/>
      <c r="BQ171" s="400"/>
      <c r="BR171" s="400"/>
      <c r="BS171" s="400"/>
      <c r="BT171" s="400"/>
      <c r="BU171" s="400"/>
    </row>
    <row r="172" spans="1:73" s="652" customFormat="1" ht="38.25" customHeight="1" thickBot="1">
      <c r="A172" s="669" t="s">
        <v>864</v>
      </c>
      <c r="B172" s="393">
        <f>94177093-385100</f>
        <v>93791993</v>
      </c>
      <c r="C172" s="399"/>
      <c r="D172" s="399"/>
      <c r="E172" s="399"/>
      <c r="F172" s="315"/>
      <c r="G172" s="651"/>
      <c r="H172" s="651"/>
      <c r="I172" s="651"/>
      <c r="J172" s="651"/>
      <c r="K172" s="651"/>
      <c r="L172" s="651"/>
      <c r="M172" s="651"/>
      <c r="N172" s="651"/>
      <c r="O172" s="651"/>
      <c r="P172" s="651"/>
      <c r="Q172" s="651"/>
      <c r="R172" s="651"/>
      <c r="S172" s="651"/>
      <c r="T172" s="651"/>
      <c r="U172" s="651"/>
      <c r="V172" s="651"/>
      <c r="W172" s="651"/>
      <c r="X172" s="651"/>
      <c r="Y172" s="651"/>
      <c r="Z172" s="651"/>
      <c r="AA172" s="651"/>
      <c r="AB172" s="651"/>
      <c r="AC172" s="651"/>
      <c r="AD172" s="651"/>
      <c r="AE172" s="651"/>
      <c r="AF172" s="651"/>
      <c r="AG172" s="651"/>
      <c r="AH172" s="651"/>
      <c r="AI172" s="651"/>
      <c r="AJ172" s="651"/>
      <c r="AK172" s="651"/>
      <c r="AL172" s="651"/>
      <c r="AM172" s="651"/>
      <c r="AN172" s="651"/>
      <c r="AO172" s="651"/>
      <c r="AP172" s="651"/>
      <c r="AQ172" s="651"/>
      <c r="AR172" s="651"/>
      <c r="AS172" s="651"/>
      <c r="AT172" s="651"/>
      <c r="AU172" s="651"/>
      <c r="AV172" s="651"/>
      <c r="AW172" s="651"/>
      <c r="AX172" s="651"/>
      <c r="AY172" s="651"/>
      <c r="AZ172" s="651"/>
      <c r="BA172" s="651"/>
      <c r="BB172" s="651"/>
      <c r="BC172" s="651"/>
      <c r="BD172" s="651"/>
      <c r="BE172" s="651"/>
      <c r="BF172" s="651"/>
      <c r="BG172" s="651"/>
      <c r="BH172" s="651"/>
      <c r="BI172" s="651"/>
      <c r="BJ172" s="651"/>
      <c r="BK172" s="651"/>
      <c r="BL172" s="651"/>
      <c r="BM172" s="651"/>
      <c r="BN172" s="651"/>
      <c r="BO172" s="651"/>
      <c r="BP172" s="651"/>
      <c r="BQ172" s="651"/>
      <c r="BR172" s="651"/>
      <c r="BS172" s="651"/>
      <c r="BT172" s="651"/>
      <c r="BU172" s="651"/>
    </row>
    <row r="173" spans="1:73" s="670" customFormat="1" ht="64.5" customHeight="1" thickBot="1">
      <c r="A173" s="638" t="s">
        <v>901</v>
      </c>
      <c r="B173" s="393">
        <f>23945785-3016366-4437637-1972826</f>
        <v>14518956</v>
      </c>
      <c r="C173" s="399"/>
      <c r="D173" s="399"/>
      <c r="E173" s="399"/>
      <c r="F173" s="315"/>
      <c r="G173" s="651"/>
      <c r="H173" s="651"/>
      <c r="I173" s="651"/>
      <c r="J173" s="651"/>
      <c r="K173" s="651"/>
      <c r="L173" s="651"/>
      <c r="M173" s="651"/>
      <c r="N173" s="651"/>
      <c r="O173" s="651"/>
      <c r="P173" s="651"/>
      <c r="Q173" s="651"/>
      <c r="R173" s="651"/>
      <c r="S173" s="651"/>
      <c r="T173" s="651"/>
      <c r="U173" s="651"/>
      <c r="V173" s="651"/>
      <c r="W173" s="651"/>
      <c r="X173" s="651"/>
      <c r="Y173" s="651"/>
      <c r="Z173" s="651"/>
      <c r="AA173" s="651"/>
      <c r="AB173" s="651"/>
      <c r="AC173" s="651"/>
      <c r="AD173" s="651"/>
      <c r="AE173" s="651"/>
      <c r="AF173" s="651"/>
      <c r="AG173" s="651"/>
      <c r="AH173" s="651"/>
      <c r="AI173" s="651"/>
      <c r="AJ173" s="651"/>
      <c r="AK173" s="651"/>
      <c r="AL173" s="651"/>
      <c r="AM173" s="651"/>
      <c r="AN173" s="651"/>
      <c r="AO173" s="651"/>
      <c r="AP173" s="651"/>
      <c r="AQ173" s="651"/>
      <c r="AR173" s="651"/>
      <c r="AS173" s="651"/>
      <c r="AT173" s="651"/>
      <c r="AU173" s="651"/>
      <c r="AV173" s="651"/>
      <c r="AW173" s="651"/>
      <c r="AX173" s="651"/>
      <c r="AY173" s="651"/>
      <c r="AZ173" s="651"/>
      <c r="BA173" s="651"/>
      <c r="BB173" s="651"/>
      <c r="BC173" s="651"/>
      <c r="BD173" s="651"/>
      <c r="BE173" s="651"/>
      <c r="BF173" s="651"/>
      <c r="BG173" s="651"/>
      <c r="BH173" s="651"/>
      <c r="BI173" s="651"/>
      <c r="BJ173" s="651"/>
      <c r="BK173" s="651"/>
      <c r="BL173" s="651"/>
      <c r="BM173" s="651"/>
      <c r="BN173" s="651"/>
      <c r="BO173" s="651"/>
      <c r="BP173" s="651"/>
      <c r="BQ173" s="651"/>
      <c r="BR173" s="651"/>
      <c r="BS173" s="651"/>
      <c r="BT173" s="651"/>
      <c r="BU173" s="651"/>
    </row>
    <row r="174" spans="1:73" s="670" customFormat="1" ht="37.5" customHeight="1" thickBot="1">
      <c r="A174" s="420" t="s">
        <v>866</v>
      </c>
      <c r="B174" s="393">
        <v>2409098</v>
      </c>
      <c r="C174" s="422"/>
      <c r="D174" s="422"/>
      <c r="E174" s="422"/>
      <c r="F174" s="424"/>
      <c r="G174" s="651"/>
      <c r="H174" s="651"/>
      <c r="I174" s="651"/>
      <c r="J174" s="651"/>
      <c r="K174" s="651"/>
      <c r="L174" s="651"/>
      <c r="M174" s="651"/>
      <c r="N174" s="651"/>
      <c r="O174" s="651"/>
      <c r="P174" s="651"/>
      <c r="Q174" s="651"/>
      <c r="R174" s="651"/>
      <c r="S174" s="651"/>
      <c r="T174" s="651"/>
      <c r="U174" s="651"/>
      <c r="V174" s="651"/>
      <c r="W174" s="651"/>
      <c r="X174" s="651"/>
      <c r="Y174" s="651"/>
      <c r="Z174" s="651"/>
      <c r="AA174" s="651"/>
      <c r="AB174" s="651"/>
      <c r="AC174" s="651"/>
      <c r="AD174" s="651"/>
      <c r="AE174" s="651"/>
      <c r="AF174" s="651"/>
      <c r="AG174" s="651"/>
      <c r="AH174" s="651"/>
      <c r="AI174" s="651"/>
      <c r="AJ174" s="651"/>
      <c r="AK174" s="651"/>
      <c r="AL174" s="651"/>
      <c r="AM174" s="651"/>
      <c r="AN174" s="651"/>
      <c r="AO174" s="651"/>
      <c r="AP174" s="651"/>
      <c r="AQ174" s="651"/>
      <c r="AR174" s="651"/>
      <c r="AS174" s="651"/>
      <c r="AT174" s="651"/>
      <c r="AU174" s="651"/>
      <c r="AV174" s="651"/>
      <c r="AW174" s="651"/>
      <c r="AX174" s="651"/>
      <c r="AY174" s="651"/>
      <c r="AZ174" s="651"/>
      <c r="BA174" s="651"/>
      <c r="BB174" s="651"/>
      <c r="BC174" s="651"/>
      <c r="BD174" s="651"/>
      <c r="BE174" s="651"/>
      <c r="BF174" s="651"/>
      <c r="BG174" s="651"/>
      <c r="BH174" s="651"/>
      <c r="BI174" s="651"/>
      <c r="BJ174" s="651"/>
      <c r="BK174" s="651"/>
      <c r="BL174" s="651"/>
      <c r="BM174" s="651"/>
      <c r="BN174" s="651"/>
      <c r="BO174" s="651"/>
      <c r="BP174" s="651"/>
      <c r="BQ174" s="651"/>
      <c r="BR174" s="651"/>
      <c r="BS174" s="651"/>
      <c r="BT174" s="651"/>
      <c r="BU174" s="651"/>
    </row>
    <row r="175" spans="1:73" s="652" customFormat="1" ht="52.5" customHeight="1" thickBot="1">
      <c r="A175" s="638" t="s">
        <v>867</v>
      </c>
      <c r="B175" s="393">
        <f>104737609-5768450</f>
        <v>98969159</v>
      </c>
      <c r="C175" s="399"/>
      <c r="D175" s="399"/>
      <c r="E175" s="399"/>
      <c r="F175" s="315"/>
      <c r="G175" s="651"/>
      <c r="H175" s="651"/>
      <c r="I175" s="651"/>
      <c r="J175" s="651"/>
      <c r="K175" s="651"/>
      <c r="L175" s="651"/>
      <c r="M175" s="651"/>
      <c r="N175" s="651"/>
      <c r="O175" s="651"/>
      <c r="P175" s="651"/>
      <c r="Q175" s="651"/>
      <c r="R175" s="651"/>
      <c r="S175" s="651"/>
      <c r="T175" s="651"/>
      <c r="U175" s="651"/>
      <c r="V175" s="651"/>
      <c r="W175" s="651"/>
      <c r="X175" s="651"/>
      <c r="Y175" s="651"/>
      <c r="Z175" s="651"/>
      <c r="AA175" s="651"/>
      <c r="AB175" s="651"/>
      <c r="AC175" s="651"/>
      <c r="AD175" s="651"/>
      <c r="AE175" s="651"/>
      <c r="AF175" s="651"/>
      <c r="AG175" s="651"/>
      <c r="AH175" s="651"/>
      <c r="AI175" s="651"/>
      <c r="AJ175" s="651"/>
      <c r="AK175" s="651"/>
      <c r="AL175" s="651"/>
      <c r="AM175" s="651"/>
      <c r="AN175" s="651"/>
      <c r="AO175" s="651"/>
      <c r="AP175" s="651"/>
      <c r="AQ175" s="651"/>
      <c r="AR175" s="651"/>
      <c r="AS175" s="651"/>
      <c r="AT175" s="651"/>
      <c r="AU175" s="651"/>
      <c r="AV175" s="651"/>
      <c r="AW175" s="651"/>
      <c r="AX175" s="651"/>
      <c r="AY175" s="651"/>
      <c r="AZ175" s="651"/>
      <c r="BA175" s="651"/>
      <c r="BB175" s="651"/>
      <c r="BC175" s="651"/>
      <c r="BD175" s="651"/>
      <c r="BE175" s="651"/>
      <c r="BF175" s="651"/>
      <c r="BG175" s="651"/>
      <c r="BH175" s="651"/>
      <c r="BI175" s="651"/>
      <c r="BJ175" s="651"/>
      <c r="BK175" s="651"/>
      <c r="BL175" s="651"/>
      <c r="BM175" s="651"/>
      <c r="BN175" s="651"/>
      <c r="BO175" s="651"/>
      <c r="BP175" s="651"/>
      <c r="BQ175" s="651"/>
      <c r="BR175" s="651"/>
      <c r="BS175" s="651"/>
      <c r="BT175" s="651"/>
      <c r="BU175" s="651"/>
    </row>
    <row r="176" spans="1:73" s="401" customFormat="1" ht="52.5" customHeight="1" thickBot="1">
      <c r="A176" s="316" t="s">
        <v>870</v>
      </c>
      <c r="B176" s="393">
        <f>3730208-50000</f>
        <v>3680208</v>
      </c>
      <c r="C176" s="399"/>
      <c r="D176" s="399"/>
      <c r="E176" s="399"/>
      <c r="F176" s="315"/>
      <c r="G176" s="400"/>
      <c r="H176" s="400"/>
      <c r="I176" s="400"/>
      <c r="J176" s="400"/>
      <c r="K176" s="400"/>
      <c r="L176" s="400"/>
      <c r="M176" s="400"/>
      <c r="N176" s="400"/>
      <c r="O176" s="400"/>
      <c r="P176" s="400"/>
      <c r="Q176" s="400"/>
      <c r="R176" s="400"/>
      <c r="S176" s="400"/>
      <c r="T176" s="400"/>
      <c r="U176" s="400"/>
      <c r="V176" s="400"/>
      <c r="W176" s="400"/>
      <c r="X176" s="400"/>
      <c r="Y176" s="400"/>
      <c r="Z176" s="400"/>
      <c r="AA176" s="400"/>
      <c r="AB176" s="400"/>
      <c r="AC176" s="400"/>
      <c r="AD176" s="400"/>
      <c r="AE176" s="400"/>
      <c r="AF176" s="400"/>
      <c r="AG176" s="400"/>
      <c r="AH176" s="400"/>
      <c r="AI176" s="400"/>
      <c r="AJ176" s="400"/>
      <c r="AK176" s="400"/>
      <c r="AL176" s="400"/>
      <c r="AM176" s="400"/>
      <c r="AN176" s="400"/>
      <c r="AO176" s="400"/>
      <c r="AP176" s="400"/>
      <c r="AQ176" s="400"/>
      <c r="AR176" s="400"/>
      <c r="AS176" s="400"/>
      <c r="AT176" s="400"/>
      <c r="AU176" s="400"/>
      <c r="AV176" s="400"/>
      <c r="AW176" s="400"/>
      <c r="AX176" s="400"/>
      <c r="AY176" s="400"/>
      <c r="AZ176" s="400"/>
      <c r="BA176" s="400"/>
      <c r="BB176" s="400"/>
      <c r="BC176" s="400"/>
      <c r="BD176" s="400"/>
      <c r="BE176" s="400"/>
      <c r="BF176" s="400"/>
      <c r="BG176" s="400"/>
      <c r="BH176" s="400"/>
      <c r="BI176" s="400"/>
      <c r="BJ176" s="400"/>
      <c r="BK176" s="400"/>
      <c r="BL176" s="400"/>
      <c r="BM176" s="400"/>
      <c r="BN176" s="400"/>
      <c r="BO176" s="400"/>
      <c r="BP176" s="400"/>
      <c r="BQ176" s="400"/>
      <c r="BR176" s="400"/>
      <c r="BS176" s="400"/>
      <c r="BT176" s="400"/>
      <c r="BU176" s="400"/>
    </row>
    <row r="177" spans="1:73" s="401" customFormat="1" ht="52.5" customHeight="1" thickBot="1">
      <c r="A177" s="316" t="s">
        <v>802</v>
      </c>
      <c r="B177" s="393">
        <v>111490000</v>
      </c>
      <c r="C177" s="399"/>
      <c r="D177" s="399"/>
      <c r="E177" s="399"/>
      <c r="F177" s="315"/>
      <c r="G177" s="400"/>
      <c r="H177" s="400"/>
      <c r="I177" s="400"/>
      <c r="J177" s="400"/>
      <c r="K177" s="400"/>
      <c r="L177" s="400"/>
      <c r="M177" s="400"/>
      <c r="N177" s="400"/>
      <c r="O177" s="400"/>
      <c r="P177" s="400"/>
      <c r="Q177" s="400"/>
      <c r="R177" s="400"/>
      <c r="S177" s="400"/>
      <c r="T177" s="400"/>
      <c r="U177" s="400"/>
      <c r="V177" s="400"/>
      <c r="W177" s="400"/>
      <c r="X177" s="400"/>
      <c r="Y177" s="400"/>
      <c r="Z177" s="400"/>
      <c r="AA177" s="400"/>
      <c r="AB177" s="400"/>
      <c r="AC177" s="400"/>
      <c r="AD177" s="400"/>
      <c r="AE177" s="400"/>
      <c r="AF177" s="400"/>
      <c r="AG177" s="400"/>
      <c r="AH177" s="400"/>
      <c r="AI177" s="400"/>
      <c r="AJ177" s="400"/>
      <c r="AK177" s="400"/>
      <c r="AL177" s="400"/>
      <c r="AM177" s="400"/>
      <c r="AN177" s="400"/>
      <c r="AO177" s="400"/>
      <c r="AP177" s="400"/>
      <c r="AQ177" s="400"/>
      <c r="AR177" s="400"/>
      <c r="AS177" s="400"/>
      <c r="AT177" s="400"/>
      <c r="AU177" s="400"/>
      <c r="AV177" s="400"/>
      <c r="AW177" s="400"/>
      <c r="AX177" s="400"/>
      <c r="AY177" s="400"/>
      <c r="AZ177" s="400"/>
      <c r="BA177" s="400"/>
      <c r="BB177" s="400"/>
      <c r="BC177" s="400"/>
      <c r="BD177" s="400"/>
      <c r="BE177" s="400"/>
      <c r="BF177" s="400"/>
      <c r="BG177" s="400"/>
      <c r="BH177" s="400"/>
      <c r="BI177" s="400"/>
      <c r="BJ177" s="400"/>
      <c r="BK177" s="400"/>
      <c r="BL177" s="400"/>
      <c r="BM177" s="400"/>
      <c r="BN177" s="400"/>
      <c r="BO177" s="400"/>
      <c r="BP177" s="400"/>
      <c r="BQ177" s="400"/>
      <c r="BR177" s="400"/>
      <c r="BS177" s="400"/>
      <c r="BT177" s="400"/>
      <c r="BU177" s="400"/>
    </row>
    <row r="178" spans="1:73" s="401" customFormat="1" ht="52.5" customHeight="1" thickBot="1">
      <c r="A178" s="316" t="s">
        <v>814</v>
      </c>
      <c r="B178" s="393">
        <v>554050000</v>
      </c>
      <c r="C178" s="399"/>
      <c r="D178" s="399"/>
      <c r="E178" s="399"/>
      <c r="F178" s="315"/>
      <c r="G178" s="400"/>
      <c r="H178" s="400"/>
      <c r="I178" s="400"/>
      <c r="J178" s="400"/>
      <c r="K178" s="400"/>
      <c r="L178" s="400"/>
      <c r="M178" s="400"/>
      <c r="N178" s="400"/>
      <c r="O178" s="400"/>
      <c r="P178" s="400"/>
      <c r="Q178" s="400"/>
      <c r="R178" s="400"/>
      <c r="S178" s="400"/>
      <c r="T178" s="400"/>
      <c r="U178" s="400"/>
      <c r="V178" s="400"/>
      <c r="W178" s="400"/>
      <c r="X178" s="400"/>
      <c r="Y178" s="400"/>
      <c r="Z178" s="400"/>
      <c r="AA178" s="400"/>
      <c r="AB178" s="400"/>
      <c r="AC178" s="400"/>
      <c r="AD178" s="400"/>
      <c r="AE178" s="400"/>
      <c r="AF178" s="400"/>
      <c r="AG178" s="400"/>
      <c r="AH178" s="400"/>
      <c r="AI178" s="400"/>
      <c r="AJ178" s="400"/>
      <c r="AK178" s="400"/>
      <c r="AL178" s="400"/>
      <c r="AM178" s="400"/>
      <c r="AN178" s="400"/>
      <c r="AO178" s="400"/>
      <c r="AP178" s="400"/>
      <c r="AQ178" s="400"/>
      <c r="AR178" s="400"/>
      <c r="AS178" s="400"/>
      <c r="AT178" s="400"/>
      <c r="AU178" s="400"/>
      <c r="AV178" s="400"/>
      <c r="AW178" s="400"/>
      <c r="AX178" s="400"/>
      <c r="AY178" s="400"/>
      <c r="AZ178" s="400"/>
      <c r="BA178" s="400"/>
      <c r="BB178" s="400"/>
      <c r="BC178" s="400"/>
      <c r="BD178" s="400"/>
      <c r="BE178" s="400"/>
      <c r="BF178" s="400"/>
      <c r="BG178" s="400"/>
      <c r="BH178" s="400"/>
      <c r="BI178" s="400"/>
      <c r="BJ178" s="400"/>
      <c r="BK178" s="400"/>
      <c r="BL178" s="400"/>
      <c r="BM178" s="400"/>
      <c r="BN178" s="400"/>
      <c r="BO178" s="400"/>
      <c r="BP178" s="400"/>
      <c r="BQ178" s="400"/>
      <c r="BR178" s="400"/>
      <c r="BS178" s="400"/>
      <c r="BT178" s="400"/>
      <c r="BU178" s="400"/>
    </row>
    <row r="179" spans="1:73" s="401" customFormat="1" ht="52.5" customHeight="1" thickBot="1">
      <c r="A179" s="316" t="s">
        <v>902</v>
      </c>
      <c r="B179" s="393">
        <v>400000000</v>
      </c>
      <c r="C179" s="399"/>
      <c r="D179" s="399"/>
      <c r="E179" s="399"/>
      <c r="F179" s="315"/>
      <c r="G179" s="400"/>
      <c r="H179" s="400"/>
      <c r="I179" s="400"/>
      <c r="J179" s="400"/>
      <c r="K179" s="400"/>
      <c r="L179" s="400"/>
      <c r="M179" s="400"/>
      <c r="N179" s="400"/>
      <c r="O179" s="400"/>
      <c r="P179" s="400"/>
      <c r="Q179" s="400"/>
      <c r="R179" s="400"/>
      <c r="S179" s="400"/>
      <c r="T179" s="400"/>
      <c r="U179" s="400"/>
      <c r="V179" s="400"/>
      <c r="W179" s="400"/>
      <c r="X179" s="400"/>
      <c r="Y179" s="400"/>
      <c r="Z179" s="400"/>
      <c r="AA179" s="400"/>
      <c r="AB179" s="400"/>
      <c r="AC179" s="400"/>
      <c r="AD179" s="400"/>
      <c r="AE179" s="400"/>
      <c r="AF179" s="400"/>
      <c r="AG179" s="400"/>
      <c r="AH179" s="400"/>
      <c r="AI179" s="400"/>
      <c r="AJ179" s="400"/>
      <c r="AK179" s="400"/>
      <c r="AL179" s="400"/>
      <c r="AM179" s="400"/>
      <c r="AN179" s="400"/>
      <c r="AO179" s="400"/>
      <c r="AP179" s="400"/>
      <c r="AQ179" s="400"/>
      <c r="AR179" s="400"/>
      <c r="AS179" s="400"/>
      <c r="AT179" s="400"/>
      <c r="AU179" s="400"/>
      <c r="AV179" s="400"/>
      <c r="AW179" s="400"/>
      <c r="AX179" s="400"/>
      <c r="AY179" s="400"/>
      <c r="AZ179" s="400"/>
      <c r="BA179" s="400"/>
      <c r="BB179" s="400"/>
      <c r="BC179" s="400"/>
      <c r="BD179" s="400"/>
      <c r="BE179" s="400"/>
      <c r="BF179" s="400"/>
      <c r="BG179" s="400"/>
      <c r="BH179" s="400"/>
      <c r="BI179" s="400"/>
      <c r="BJ179" s="400"/>
      <c r="BK179" s="400"/>
      <c r="BL179" s="400"/>
      <c r="BM179" s="400"/>
      <c r="BN179" s="400"/>
      <c r="BO179" s="400"/>
      <c r="BP179" s="400"/>
      <c r="BQ179" s="400"/>
      <c r="BR179" s="400"/>
      <c r="BS179" s="400"/>
      <c r="BT179" s="400"/>
      <c r="BU179" s="400"/>
    </row>
    <row r="180" spans="1:73" s="401" customFormat="1" ht="29.25" customHeight="1" thickBot="1">
      <c r="A180" s="638" t="s">
        <v>653</v>
      </c>
      <c r="B180" s="398"/>
      <c r="C180" s="399"/>
      <c r="D180" s="399"/>
      <c r="E180" s="399"/>
      <c r="F180" s="315"/>
      <c r="G180" s="400"/>
      <c r="H180" s="400"/>
      <c r="I180" s="400"/>
      <c r="J180" s="400"/>
      <c r="K180" s="400"/>
      <c r="L180" s="400"/>
      <c r="M180" s="400"/>
      <c r="N180" s="400"/>
      <c r="O180" s="400"/>
      <c r="P180" s="400"/>
      <c r="Q180" s="400"/>
      <c r="R180" s="400"/>
      <c r="S180" s="400"/>
      <c r="T180" s="400"/>
      <c r="U180" s="400"/>
      <c r="V180" s="400"/>
      <c r="W180" s="400"/>
      <c r="X180" s="400"/>
      <c r="Y180" s="400"/>
      <c r="Z180" s="400"/>
      <c r="AA180" s="400"/>
      <c r="AB180" s="400"/>
      <c r="AC180" s="400"/>
      <c r="AD180" s="400"/>
      <c r="AE180" s="400"/>
      <c r="AF180" s="400"/>
      <c r="AG180" s="400"/>
      <c r="AH180" s="400"/>
      <c r="AI180" s="400"/>
      <c r="AJ180" s="400"/>
      <c r="AK180" s="400"/>
      <c r="AL180" s="400"/>
      <c r="AM180" s="400"/>
      <c r="AN180" s="400"/>
      <c r="AO180" s="400"/>
      <c r="AP180" s="400"/>
      <c r="AQ180" s="400"/>
      <c r="AR180" s="400"/>
      <c r="AS180" s="400"/>
      <c r="AT180" s="400"/>
      <c r="AU180" s="400"/>
      <c r="AV180" s="400"/>
      <c r="AW180" s="400"/>
      <c r="AX180" s="400"/>
      <c r="AY180" s="400"/>
      <c r="AZ180" s="400"/>
      <c r="BA180" s="400"/>
      <c r="BB180" s="400"/>
      <c r="BC180" s="400"/>
      <c r="BD180" s="400"/>
      <c r="BE180" s="400"/>
      <c r="BF180" s="400"/>
      <c r="BG180" s="400"/>
      <c r="BH180" s="400"/>
      <c r="BI180" s="400"/>
      <c r="BJ180" s="400"/>
      <c r="BK180" s="400"/>
      <c r="BL180" s="400"/>
      <c r="BM180" s="400"/>
      <c r="BN180" s="400"/>
      <c r="BO180" s="400"/>
      <c r="BP180" s="400"/>
      <c r="BQ180" s="400"/>
      <c r="BR180" s="400"/>
      <c r="BS180" s="400"/>
      <c r="BT180" s="400"/>
      <c r="BU180" s="400"/>
    </row>
    <row r="181" spans="1:73" s="396" customFormat="1" ht="24.75" customHeight="1" thickBot="1">
      <c r="A181" s="397" t="s">
        <v>654</v>
      </c>
      <c r="B181" s="393">
        <f>1000000-1000000</f>
        <v>0</v>
      </c>
      <c r="C181" s="399"/>
      <c r="D181" s="399"/>
      <c r="E181" s="399"/>
      <c r="F181" s="315"/>
      <c r="G181" s="395"/>
      <c r="H181" s="395"/>
      <c r="I181" s="395"/>
      <c r="J181" s="395"/>
      <c r="K181" s="395"/>
      <c r="L181" s="395"/>
      <c r="M181" s="395"/>
      <c r="N181" s="395"/>
      <c r="O181" s="395"/>
      <c r="P181" s="395"/>
      <c r="Q181" s="395"/>
      <c r="R181" s="395"/>
      <c r="S181" s="395"/>
      <c r="T181" s="395"/>
      <c r="U181" s="395"/>
      <c r="V181" s="395"/>
      <c r="W181" s="395"/>
      <c r="X181" s="395"/>
      <c r="Y181" s="395"/>
      <c r="Z181" s="395"/>
      <c r="AA181" s="395"/>
      <c r="AB181" s="395"/>
      <c r="AC181" s="395"/>
      <c r="AD181" s="395"/>
      <c r="AE181" s="395"/>
      <c r="AF181" s="395"/>
      <c r="AG181" s="395"/>
      <c r="AH181" s="395"/>
      <c r="AI181" s="395"/>
      <c r="AJ181" s="395"/>
      <c r="AK181" s="395"/>
      <c r="AL181" s="395"/>
      <c r="AM181" s="395"/>
      <c r="AN181" s="395"/>
      <c r="AO181" s="395"/>
      <c r="AP181" s="395"/>
      <c r="AQ181" s="395"/>
      <c r="AR181" s="395"/>
      <c r="AS181" s="395"/>
      <c r="AT181" s="395"/>
      <c r="AU181" s="395"/>
      <c r="AV181" s="395"/>
      <c r="AW181" s="395"/>
      <c r="AX181" s="395"/>
      <c r="AY181" s="395"/>
      <c r="AZ181" s="395"/>
      <c r="BA181" s="395"/>
      <c r="BB181" s="395"/>
      <c r="BC181" s="395"/>
      <c r="BD181" s="395"/>
      <c r="BE181" s="395"/>
      <c r="BF181" s="395"/>
      <c r="BG181" s="395"/>
      <c r="BH181" s="395"/>
      <c r="BI181" s="395"/>
      <c r="BJ181" s="395"/>
      <c r="BK181" s="395"/>
      <c r="BL181" s="395"/>
      <c r="BM181" s="395"/>
      <c r="BN181" s="395"/>
      <c r="BO181" s="395"/>
      <c r="BP181" s="395"/>
      <c r="BQ181" s="395"/>
      <c r="BR181" s="395"/>
      <c r="BS181" s="395"/>
      <c r="BT181" s="395"/>
      <c r="BU181" s="395"/>
    </row>
    <row r="182" spans="1:73" s="396" customFormat="1" ht="24.75" customHeight="1" thickBot="1">
      <c r="A182" s="397" t="s">
        <v>655</v>
      </c>
      <c r="B182" s="393">
        <f>1000000-1000000</f>
        <v>0</v>
      </c>
      <c r="C182" s="399"/>
      <c r="D182" s="399"/>
      <c r="E182" s="399"/>
      <c r="F182" s="315"/>
      <c r="G182" s="395"/>
      <c r="H182" s="395"/>
      <c r="I182" s="395"/>
      <c r="J182" s="395"/>
      <c r="K182" s="395"/>
      <c r="L182" s="395"/>
      <c r="M182" s="395"/>
      <c r="N182" s="395"/>
      <c r="O182" s="395"/>
      <c r="P182" s="395"/>
      <c r="Q182" s="395"/>
      <c r="R182" s="395"/>
      <c r="S182" s="395"/>
      <c r="T182" s="395"/>
      <c r="U182" s="395"/>
      <c r="V182" s="395"/>
      <c r="W182" s="395"/>
      <c r="X182" s="395"/>
      <c r="Y182" s="395"/>
      <c r="Z182" s="395"/>
      <c r="AA182" s="395"/>
      <c r="AB182" s="395"/>
      <c r="AC182" s="395"/>
      <c r="AD182" s="395"/>
      <c r="AE182" s="395"/>
      <c r="AF182" s="395"/>
      <c r="AG182" s="395"/>
      <c r="AH182" s="395"/>
      <c r="AI182" s="395"/>
      <c r="AJ182" s="395"/>
      <c r="AK182" s="395"/>
      <c r="AL182" s="395"/>
      <c r="AM182" s="395"/>
      <c r="AN182" s="395"/>
      <c r="AO182" s="395"/>
      <c r="AP182" s="395"/>
      <c r="AQ182" s="395"/>
      <c r="AR182" s="395"/>
      <c r="AS182" s="395"/>
      <c r="AT182" s="395"/>
      <c r="AU182" s="395"/>
      <c r="AV182" s="395"/>
      <c r="AW182" s="395"/>
      <c r="AX182" s="395"/>
      <c r="AY182" s="395"/>
      <c r="AZ182" s="395"/>
      <c r="BA182" s="395"/>
      <c r="BB182" s="395"/>
      <c r="BC182" s="395"/>
      <c r="BD182" s="395"/>
      <c r="BE182" s="395"/>
      <c r="BF182" s="395"/>
      <c r="BG182" s="395"/>
      <c r="BH182" s="395"/>
      <c r="BI182" s="395"/>
      <c r="BJ182" s="395"/>
      <c r="BK182" s="395"/>
      <c r="BL182" s="395"/>
      <c r="BM182" s="395"/>
      <c r="BN182" s="395"/>
      <c r="BO182" s="395"/>
      <c r="BP182" s="395"/>
      <c r="BQ182" s="395"/>
      <c r="BR182" s="395"/>
      <c r="BS182" s="395"/>
      <c r="BT182" s="395"/>
      <c r="BU182" s="395"/>
    </row>
    <row r="183" spans="1:73" s="401" customFormat="1" ht="35.25" customHeight="1" thickBot="1">
      <c r="A183" s="669" t="s">
        <v>663</v>
      </c>
      <c r="B183" s="671">
        <f>16000000-16000000</f>
        <v>0</v>
      </c>
      <c r="C183" s="399"/>
      <c r="D183" s="399"/>
      <c r="E183" s="399"/>
      <c r="F183" s="315"/>
      <c r="G183" s="400"/>
      <c r="H183" s="400"/>
      <c r="I183" s="400"/>
      <c r="J183" s="400"/>
      <c r="K183" s="400"/>
      <c r="L183" s="400"/>
      <c r="M183" s="400"/>
      <c r="N183" s="400"/>
      <c r="O183" s="400"/>
      <c r="P183" s="400"/>
      <c r="Q183" s="400"/>
      <c r="R183" s="400"/>
      <c r="S183" s="400"/>
      <c r="T183" s="400"/>
      <c r="U183" s="400"/>
      <c r="V183" s="400"/>
      <c r="W183" s="400"/>
      <c r="X183" s="400"/>
      <c r="Y183" s="400"/>
      <c r="Z183" s="400"/>
      <c r="AA183" s="400"/>
      <c r="AB183" s="400"/>
      <c r="AC183" s="400"/>
      <c r="AD183" s="400"/>
      <c r="AE183" s="400"/>
      <c r="AF183" s="400"/>
      <c r="AG183" s="400"/>
      <c r="AH183" s="400"/>
      <c r="AI183" s="400"/>
      <c r="AJ183" s="400"/>
      <c r="AK183" s="400"/>
      <c r="AL183" s="400"/>
      <c r="AM183" s="400"/>
      <c r="AN183" s="400"/>
      <c r="AO183" s="400"/>
      <c r="AP183" s="400"/>
      <c r="AQ183" s="400"/>
      <c r="AR183" s="400"/>
      <c r="AS183" s="400"/>
      <c r="AT183" s="400"/>
      <c r="AU183" s="400"/>
      <c r="AV183" s="400"/>
      <c r="AW183" s="400"/>
      <c r="AX183" s="400"/>
      <c r="AY183" s="400"/>
      <c r="AZ183" s="400"/>
      <c r="BA183" s="400"/>
      <c r="BB183" s="400"/>
      <c r="BC183" s="400"/>
      <c r="BD183" s="400"/>
      <c r="BE183" s="400"/>
      <c r="BF183" s="400"/>
      <c r="BG183" s="400"/>
      <c r="BH183" s="400"/>
      <c r="BI183" s="400"/>
      <c r="BJ183" s="400"/>
      <c r="BK183" s="400"/>
      <c r="BL183" s="400"/>
      <c r="BM183" s="400"/>
      <c r="BN183" s="400"/>
      <c r="BO183" s="400"/>
      <c r="BP183" s="400"/>
      <c r="BQ183" s="400"/>
      <c r="BR183" s="400"/>
      <c r="BS183" s="400"/>
      <c r="BT183" s="400"/>
      <c r="BU183" s="400"/>
    </row>
    <row r="184" spans="1:73" s="401" customFormat="1" ht="29.25" hidden="1" customHeight="1" thickBot="1">
      <c r="A184" s="638"/>
      <c r="B184" s="398"/>
      <c r="C184" s="399"/>
      <c r="D184" s="399"/>
      <c r="E184" s="399"/>
      <c r="F184" s="315"/>
      <c r="G184" s="400"/>
      <c r="H184" s="400"/>
      <c r="I184" s="400"/>
      <c r="J184" s="400"/>
      <c r="K184" s="400"/>
      <c r="L184" s="400"/>
      <c r="M184" s="400"/>
      <c r="N184" s="400"/>
      <c r="O184" s="400"/>
      <c r="P184" s="400"/>
      <c r="Q184" s="400"/>
      <c r="R184" s="400"/>
      <c r="S184" s="400"/>
      <c r="T184" s="400"/>
      <c r="U184" s="400"/>
      <c r="V184" s="400"/>
      <c r="W184" s="400"/>
      <c r="X184" s="400"/>
      <c r="Y184" s="400"/>
      <c r="Z184" s="400"/>
      <c r="AA184" s="400"/>
      <c r="AB184" s="400"/>
      <c r="AC184" s="400"/>
      <c r="AD184" s="400"/>
      <c r="AE184" s="400"/>
      <c r="AF184" s="400"/>
      <c r="AG184" s="400"/>
      <c r="AH184" s="400"/>
      <c r="AI184" s="400"/>
      <c r="AJ184" s="400"/>
      <c r="AK184" s="400"/>
      <c r="AL184" s="400"/>
      <c r="AM184" s="400"/>
      <c r="AN184" s="400"/>
      <c r="AO184" s="400"/>
      <c r="AP184" s="400"/>
      <c r="AQ184" s="400"/>
      <c r="AR184" s="400"/>
      <c r="AS184" s="400"/>
      <c r="AT184" s="400"/>
      <c r="AU184" s="400"/>
      <c r="AV184" s="400"/>
      <c r="AW184" s="400"/>
      <c r="AX184" s="400"/>
      <c r="AY184" s="400"/>
      <c r="AZ184" s="400"/>
      <c r="BA184" s="400"/>
      <c r="BB184" s="400"/>
      <c r="BC184" s="400"/>
      <c r="BD184" s="400"/>
      <c r="BE184" s="400"/>
      <c r="BF184" s="400"/>
      <c r="BG184" s="400"/>
      <c r="BH184" s="400"/>
      <c r="BI184" s="400"/>
      <c r="BJ184" s="400"/>
      <c r="BK184" s="400"/>
      <c r="BL184" s="400"/>
      <c r="BM184" s="400"/>
      <c r="BN184" s="400"/>
      <c r="BO184" s="400"/>
      <c r="BP184" s="400"/>
      <c r="BQ184" s="400"/>
      <c r="BR184" s="400"/>
      <c r="BS184" s="400"/>
      <c r="BT184" s="400"/>
      <c r="BU184" s="400"/>
    </row>
    <row r="185" spans="1:73" s="396" customFormat="1" ht="24.75" hidden="1" customHeight="1" thickBot="1">
      <c r="A185" s="397"/>
      <c r="B185" s="393"/>
      <c r="C185" s="399"/>
      <c r="D185" s="399"/>
      <c r="E185" s="399"/>
      <c r="F185" s="315"/>
      <c r="G185" s="395"/>
      <c r="H185" s="395"/>
      <c r="I185" s="395"/>
      <c r="J185" s="395"/>
      <c r="K185" s="395"/>
      <c r="L185" s="395"/>
      <c r="M185" s="395"/>
      <c r="N185" s="395"/>
      <c r="O185" s="395"/>
      <c r="P185" s="395"/>
      <c r="Q185" s="395"/>
      <c r="R185" s="395"/>
      <c r="S185" s="395"/>
      <c r="T185" s="395"/>
      <c r="U185" s="395"/>
      <c r="V185" s="395"/>
      <c r="W185" s="395"/>
      <c r="X185" s="395"/>
      <c r="Y185" s="395"/>
      <c r="Z185" s="395"/>
      <c r="AA185" s="395"/>
      <c r="AB185" s="395"/>
      <c r="AC185" s="395"/>
      <c r="AD185" s="395"/>
      <c r="AE185" s="395"/>
      <c r="AF185" s="395"/>
      <c r="AG185" s="395"/>
      <c r="AH185" s="395"/>
      <c r="AI185" s="395"/>
      <c r="AJ185" s="395"/>
      <c r="AK185" s="395"/>
      <c r="AL185" s="395"/>
      <c r="AM185" s="395"/>
      <c r="AN185" s="395"/>
      <c r="AO185" s="395"/>
      <c r="AP185" s="395"/>
      <c r="AQ185" s="395"/>
      <c r="AR185" s="395"/>
      <c r="AS185" s="395"/>
      <c r="AT185" s="395"/>
      <c r="AU185" s="395"/>
      <c r="AV185" s="395"/>
      <c r="AW185" s="395"/>
      <c r="AX185" s="395"/>
      <c r="AY185" s="395"/>
      <c r="AZ185" s="395"/>
      <c r="BA185" s="395"/>
      <c r="BB185" s="395"/>
      <c r="BC185" s="395"/>
      <c r="BD185" s="395"/>
      <c r="BE185" s="395"/>
      <c r="BF185" s="395"/>
      <c r="BG185" s="395"/>
      <c r="BH185" s="395"/>
      <c r="BI185" s="395"/>
      <c r="BJ185" s="395"/>
      <c r="BK185" s="395"/>
      <c r="BL185" s="395"/>
      <c r="BM185" s="395"/>
      <c r="BN185" s="395"/>
      <c r="BO185" s="395"/>
      <c r="BP185" s="395"/>
      <c r="BQ185" s="395"/>
      <c r="BR185" s="395"/>
      <c r="BS185" s="395"/>
      <c r="BT185" s="395"/>
      <c r="BU185" s="395"/>
    </row>
    <row r="186" spans="1:73" s="396" customFormat="1" ht="24.75" hidden="1" customHeight="1" thickBot="1">
      <c r="A186" s="397"/>
      <c r="B186" s="393"/>
      <c r="C186" s="399"/>
      <c r="D186" s="399"/>
      <c r="E186" s="399"/>
      <c r="F186" s="315"/>
      <c r="G186" s="395"/>
      <c r="H186" s="395"/>
      <c r="I186" s="395"/>
      <c r="J186" s="395"/>
      <c r="K186" s="395"/>
      <c r="L186" s="395"/>
      <c r="M186" s="395"/>
      <c r="N186" s="395"/>
      <c r="O186" s="395"/>
      <c r="P186" s="395"/>
      <c r="Q186" s="395"/>
      <c r="R186" s="395"/>
      <c r="S186" s="395"/>
      <c r="T186" s="395"/>
      <c r="U186" s="395"/>
      <c r="V186" s="395"/>
      <c r="W186" s="395"/>
      <c r="X186" s="395"/>
      <c r="Y186" s="395"/>
      <c r="Z186" s="395"/>
      <c r="AA186" s="395"/>
      <c r="AB186" s="395"/>
      <c r="AC186" s="395"/>
      <c r="AD186" s="395"/>
      <c r="AE186" s="395"/>
      <c r="AF186" s="395"/>
      <c r="AG186" s="395"/>
      <c r="AH186" s="395"/>
      <c r="AI186" s="395"/>
      <c r="AJ186" s="395"/>
      <c r="AK186" s="395"/>
      <c r="AL186" s="395"/>
      <c r="AM186" s="395"/>
      <c r="AN186" s="395"/>
      <c r="AO186" s="395"/>
      <c r="AP186" s="395"/>
      <c r="AQ186" s="395"/>
      <c r="AR186" s="395"/>
      <c r="AS186" s="395"/>
      <c r="AT186" s="395"/>
      <c r="AU186" s="395"/>
      <c r="AV186" s="395"/>
      <c r="AW186" s="395"/>
      <c r="AX186" s="395"/>
      <c r="AY186" s="395"/>
      <c r="AZ186" s="395"/>
      <c r="BA186" s="395"/>
      <c r="BB186" s="395"/>
      <c r="BC186" s="395"/>
      <c r="BD186" s="395"/>
      <c r="BE186" s="395"/>
      <c r="BF186" s="395"/>
      <c r="BG186" s="395"/>
      <c r="BH186" s="395"/>
      <c r="BI186" s="395"/>
      <c r="BJ186" s="395"/>
      <c r="BK186" s="395"/>
      <c r="BL186" s="395"/>
      <c r="BM186" s="395"/>
      <c r="BN186" s="395"/>
      <c r="BO186" s="395"/>
      <c r="BP186" s="395"/>
      <c r="BQ186" s="395"/>
      <c r="BR186" s="395"/>
      <c r="BS186" s="395"/>
      <c r="BT186" s="395"/>
      <c r="BU186" s="395"/>
    </row>
    <row r="187" spans="1:73" s="413" customFormat="1" ht="52.5" customHeight="1" thickBot="1">
      <c r="A187" s="404" t="s">
        <v>504</v>
      </c>
      <c r="B187" s="648">
        <f>-1600000+2000000-400000</f>
        <v>0</v>
      </c>
      <c r="C187" s="403"/>
      <c r="D187" s="422"/>
      <c r="E187" s="422"/>
      <c r="F187" s="424"/>
      <c r="G187" s="400"/>
      <c r="H187" s="400"/>
      <c r="I187" s="400"/>
      <c r="J187" s="400"/>
      <c r="K187" s="400"/>
      <c r="L187" s="400"/>
      <c r="M187" s="400"/>
      <c r="N187" s="400"/>
      <c r="O187" s="400"/>
      <c r="P187" s="400"/>
      <c r="Q187" s="400"/>
      <c r="R187" s="400"/>
      <c r="S187" s="400"/>
      <c r="T187" s="400"/>
      <c r="U187" s="400"/>
      <c r="V187" s="400"/>
      <c r="W187" s="400"/>
      <c r="X187" s="400"/>
      <c r="Y187" s="400"/>
      <c r="Z187" s="400"/>
      <c r="AA187" s="400"/>
      <c r="AB187" s="400"/>
      <c r="AC187" s="400"/>
      <c r="AD187" s="400"/>
      <c r="AE187" s="400"/>
      <c r="AF187" s="400"/>
      <c r="AG187" s="400"/>
      <c r="AH187" s="400"/>
      <c r="AI187" s="400"/>
      <c r="AJ187" s="400"/>
      <c r="AK187" s="400"/>
      <c r="AL187" s="400"/>
      <c r="AM187" s="400"/>
      <c r="AN187" s="400"/>
      <c r="AO187" s="400"/>
      <c r="AP187" s="400"/>
      <c r="AQ187" s="400"/>
      <c r="AR187" s="400"/>
      <c r="AS187" s="400"/>
      <c r="AT187" s="400"/>
      <c r="AU187" s="400"/>
      <c r="AV187" s="400"/>
      <c r="AW187" s="400"/>
      <c r="AX187" s="400"/>
      <c r="AY187" s="400"/>
      <c r="AZ187" s="400"/>
      <c r="BA187" s="400"/>
      <c r="BB187" s="400"/>
      <c r="BC187" s="400"/>
      <c r="BD187" s="400"/>
      <c r="BE187" s="400"/>
      <c r="BF187" s="400"/>
      <c r="BG187" s="400"/>
      <c r="BH187" s="400"/>
      <c r="BI187" s="400"/>
      <c r="BJ187" s="400"/>
      <c r="BK187" s="400"/>
      <c r="BL187" s="400"/>
      <c r="BM187" s="400"/>
      <c r="BN187" s="400"/>
      <c r="BO187" s="400"/>
      <c r="BP187" s="400"/>
      <c r="BQ187" s="400"/>
      <c r="BR187" s="400"/>
      <c r="BS187" s="400"/>
      <c r="BT187" s="400"/>
      <c r="BU187" s="400"/>
    </row>
    <row r="188" spans="1:73" s="285" customFormat="1" ht="66.75" customHeight="1" thickBot="1">
      <c r="A188" s="537" t="s">
        <v>456</v>
      </c>
      <c r="B188" s="550"/>
      <c r="C188" s="539" t="s">
        <v>343</v>
      </c>
      <c r="D188" s="539" t="s">
        <v>344</v>
      </c>
      <c r="E188" s="539" t="s">
        <v>285</v>
      </c>
      <c r="F188" s="568" t="s">
        <v>286</v>
      </c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</row>
    <row r="189" spans="1:73" s="409" customFormat="1" ht="38.25" customHeight="1" thickBot="1">
      <c r="A189" s="405" t="s">
        <v>513</v>
      </c>
      <c r="B189" s="406"/>
      <c r="C189" s="407">
        <f>SUM(B190)</f>
        <v>58439181</v>
      </c>
      <c r="D189" s="407">
        <f>SUM(B190:B191)</f>
        <v>216790419</v>
      </c>
      <c r="E189" s="407">
        <f>58439181+158351238</f>
        <v>216790419</v>
      </c>
      <c r="F189" s="320">
        <f t="shared" ref="F189" si="22">SUM(D190:D191)</f>
        <v>0</v>
      </c>
      <c r="G189" s="408"/>
      <c r="H189" s="408"/>
      <c r="I189" s="408"/>
      <c r="J189" s="408"/>
      <c r="K189" s="408"/>
      <c r="L189" s="408"/>
      <c r="M189" s="408"/>
      <c r="N189" s="408"/>
      <c r="O189" s="408"/>
      <c r="P189" s="408"/>
      <c r="Q189" s="408"/>
      <c r="R189" s="408"/>
      <c r="S189" s="408"/>
      <c r="T189" s="408"/>
      <c r="U189" s="408"/>
      <c r="V189" s="408"/>
      <c r="W189" s="408"/>
      <c r="X189" s="408"/>
      <c r="Y189" s="408"/>
      <c r="Z189" s="408"/>
      <c r="AA189" s="408"/>
      <c r="AB189" s="408"/>
      <c r="AC189" s="408"/>
      <c r="AD189" s="408"/>
      <c r="AE189" s="408"/>
      <c r="AF189" s="408"/>
      <c r="AG189" s="408"/>
      <c r="AH189" s="408"/>
      <c r="AI189" s="408"/>
      <c r="AJ189" s="408"/>
      <c r="AK189" s="408"/>
      <c r="AL189" s="408"/>
      <c r="AM189" s="408"/>
      <c r="AN189" s="408"/>
      <c r="AO189" s="408"/>
      <c r="AP189" s="408"/>
      <c r="AQ189" s="408"/>
      <c r="AR189" s="408"/>
      <c r="AS189" s="408"/>
      <c r="AT189" s="408"/>
      <c r="AU189" s="408"/>
      <c r="AV189" s="408"/>
      <c r="AW189" s="408"/>
      <c r="AX189" s="408"/>
      <c r="AY189" s="408"/>
      <c r="AZ189" s="408"/>
      <c r="BA189" s="408"/>
      <c r="BB189" s="408"/>
      <c r="BC189" s="408"/>
      <c r="BD189" s="408"/>
      <c r="BE189" s="408"/>
      <c r="BF189" s="408"/>
      <c r="BG189" s="408"/>
      <c r="BH189" s="408"/>
      <c r="BI189" s="408"/>
      <c r="BJ189" s="408"/>
      <c r="BK189" s="408"/>
      <c r="BL189" s="408"/>
      <c r="BM189" s="408"/>
      <c r="BN189" s="408"/>
      <c r="BO189" s="408"/>
      <c r="BP189" s="408"/>
      <c r="BQ189" s="408"/>
      <c r="BR189" s="408"/>
      <c r="BS189" s="408"/>
      <c r="BT189" s="408"/>
      <c r="BU189" s="408"/>
    </row>
    <row r="190" spans="1:73" s="409" customFormat="1" ht="38.25" customHeight="1" thickBot="1">
      <c r="A190" s="405" t="s">
        <v>903</v>
      </c>
      <c r="B190" s="412">
        <v>58439181</v>
      </c>
      <c r="C190" s="407"/>
      <c r="D190" s="407"/>
      <c r="E190" s="407"/>
      <c r="F190" s="320"/>
      <c r="G190" s="408"/>
      <c r="H190" s="408"/>
      <c r="I190" s="408"/>
      <c r="J190" s="408"/>
      <c r="K190" s="408"/>
      <c r="L190" s="408"/>
      <c r="M190" s="408"/>
      <c r="N190" s="408"/>
      <c r="O190" s="408"/>
      <c r="P190" s="408"/>
      <c r="Q190" s="408"/>
      <c r="R190" s="408"/>
      <c r="S190" s="408"/>
      <c r="T190" s="408"/>
      <c r="U190" s="408"/>
      <c r="V190" s="408"/>
      <c r="W190" s="408"/>
      <c r="X190" s="408"/>
      <c r="Y190" s="408"/>
      <c r="Z190" s="408"/>
      <c r="AA190" s="408"/>
      <c r="AB190" s="408"/>
      <c r="AC190" s="408"/>
      <c r="AD190" s="408"/>
      <c r="AE190" s="408"/>
      <c r="AF190" s="408"/>
      <c r="AG190" s="408"/>
      <c r="AH190" s="408"/>
      <c r="AI190" s="408"/>
      <c r="AJ190" s="408"/>
      <c r="AK190" s="408"/>
      <c r="AL190" s="408"/>
      <c r="AM190" s="408"/>
      <c r="AN190" s="408"/>
      <c r="AO190" s="408"/>
      <c r="AP190" s="408"/>
      <c r="AQ190" s="408"/>
      <c r="AR190" s="408"/>
      <c r="AS190" s="408"/>
      <c r="AT190" s="408"/>
      <c r="AU190" s="408"/>
      <c r="AV190" s="408"/>
      <c r="AW190" s="408"/>
      <c r="AX190" s="408"/>
      <c r="AY190" s="408"/>
      <c r="AZ190" s="408"/>
      <c r="BA190" s="408"/>
      <c r="BB190" s="408"/>
      <c r="BC190" s="408"/>
      <c r="BD190" s="408"/>
      <c r="BE190" s="408"/>
      <c r="BF190" s="408"/>
      <c r="BG190" s="408"/>
      <c r="BH190" s="408"/>
      <c r="BI190" s="408"/>
      <c r="BJ190" s="408"/>
      <c r="BK190" s="408"/>
      <c r="BL190" s="408"/>
      <c r="BM190" s="408"/>
      <c r="BN190" s="408"/>
      <c r="BO190" s="408"/>
      <c r="BP190" s="408"/>
      <c r="BQ190" s="408"/>
      <c r="BR190" s="408"/>
      <c r="BS190" s="408"/>
      <c r="BT190" s="408"/>
      <c r="BU190" s="408"/>
    </row>
    <row r="191" spans="1:73" s="409" customFormat="1" ht="38.25" customHeight="1" thickBot="1">
      <c r="A191" s="405" t="s">
        <v>917</v>
      </c>
      <c r="B191" s="672">
        <f>100000000+58351238</f>
        <v>158351238</v>
      </c>
      <c r="C191" s="407"/>
      <c r="D191" s="650"/>
      <c r="E191" s="650"/>
      <c r="F191" s="699"/>
      <c r="G191" s="408"/>
      <c r="H191" s="408"/>
      <c r="I191" s="408"/>
      <c r="J191" s="408"/>
      <c r="K191" s="408"/>
      <c r="L191" s="408"/>
      <c r="M191" s="408"/>
      <c r="N191" s="408"/>
      <c r="O191" s="408"/>
      <c r="P191" s="408"/>
      <c r="Q191" s="408"/>
      <c r="R191" s="408"/>
      <c r="S191" s="408"/>
      <c r="T191" s="408"/>
      <c r="U191" s="408"/>
      <c r="V191" s="408"/>
      <c r="W191" s="408"/>
      <c r="X191" s="408"/>
      <c r="Y191" s="408"/>
      <c r="Z191" s="408"/>
      <c r="AA191" s="408"/>
      <c r="AB191" s="408"/>
      <c r="AC191" s="408"/>
      <c r="AD191" s="408"/>
      <c r="AE191" s="408"/>
      <c r="AF191" s="408"/>
      <c r="AG191" s="408"/>
      <c r="AH191" s="408"/>
      <c r="AI191" s="408"/>
      <c r="AJ191" s="408"/>
      <c r="AK191" s="408"/>
      <c r="AL191" s="408"/>
      <c r="AM191" s="408"/>
      <c r="AN191" s="408"/>
      <c r="AO191" s="408"/>
      <c r="AP191" s="408"/>
      <c r="AQ191" s="408"/>
      <c r="AR191" s="408"/>
      <c r="AS191" s="408"/>
      <c r="AT191" s="408"/>
      <c r="AU191" s="408"/>
      <c r="AV191" s="408"/>
      <c r="AW191" s="408"/>
      <c r="AX191" s="408"/>
      <c r="AY191" s="408"/>
      <c r="AZ191" s="408"/>
      <c r="BA191" s="408"/>
      <c r="BB191" s="408"/>
      <c r="BC191" s="408"/>
      <c r="BD191" s="408"/>
      <c r="BE191" s="408"/>
      <c r="BF191" s="408"/>
      <c r="BG191" s="408"/>
      <c r="BH191" s="408"/>
      <c r="BI191" s="408"/>
      <c r="BJ191" s="408"/>
      <c r="BK191" s="408"/>
      <c r="BL191" s="408"/>
      <c r="BM191" s="408"/>
      <c r="BN191" s="408"/>
      <c r="BO191" s="408"/>
      <c r="BP191" s="408"/>
      <c r="BQ191" s="408"/>
      <c r="BR191" s="408"/>
      <c r="BS191" s="408"/>
      <c r="BT191" s="408"/>
      <c r="BU191" s="408"/>
    </row>
    <row r="192" spans="1:73" s="291" customFormat="1" ht="33" customHeight="1" thickBot="1">
      <c r="A192" s="555" t="s">
        <v>514</v>
      </c>
      <c r="B192" s="556"/>
      <c r="C192" s="554">
        <f>SUM(C159:C189)</f>
        <v>5532282358</v>
      </c>
      <c r="D192" s="554">
        <f>SUM(D159:D189)</f>
        <v>7392353526.3199997</v>
      </c>
      <c r="E192" s="554">
        <f t="shared" ref="E192:F192" si="23">SUM(E159:E189)</f>
        <v>3553854562</v>
      </c>
      <c r="F192" s="571">
        <f t="shared" si="23"/>
        <v>1.6824672673906975</v>
      </c>
      <c r="G192" s="289"/>
      <c r="H192" s="289"/>
      <c r="I192" s="289"/>
      <c r="J192" s="289"/>
      <c r="K192" s="289"/>
      <c r="L192" s="289"/>
      <c r="M192" s="289"/>
      <c r="N192" s="289"/>
      <c r="O192" s="289"/>
      <c r="P192" s="289"/>
      <c r="Q192" s="289"/>
      <c r="R192" s="289"/>
      <c r="S192" s="289"/>
      <c r="T192" s="289"/>
      <c r="U192" s="289"/>
      <c r="V192" s="289"/>
      <c r="W192" s="289"/>
      <c r="X192" s="289"/>
      <c r="Y192" s="289"/>
      <c r="Z192" s="289"/>
      <c r="AA192" s="289"/>
      <c r="AB192" s="289"/>
      <c r="AC192" s="289"/>
      <c r="AD192" s="289"/>
      <c r="AE192" s="289"/>
      <c r="AF192" s="289"/>
      <c r="AG192" s="289"/>
      <c r="AH192" s="289"/>
      <c r="AI192" s="289"/>
      <c r="AJ192" s="289"/>
      <c r="AK192" s="289"/>
      <c r="AL192" s="289"/>
      <c r="AM192" s="289"/>
      <c r="AN192" s="289"/>
      <c r="AO192" s="289"/>
      <c r="AP192" s="289"/>
      <c r="AQ192" s="289"/>
      <c r="AR192" s="289"/>
      <c r="AS192" s="289"/>
      <c r="AT192" s="289"/>
      <c r="AU192" s="289"/>
      <c r="AV192" s="289"/>
      <c r="AW192" s="289"/>
      <c r="AX192" s="289"/>
      <c r="AY192" s="289"/>
      <c r="AZ192" s="289"/>
      <c r="BA192" s="289"/>
      <c r="BB192" s="289"/>
      <c r="BC192" s="289"/>
      <c r="BD192" s="289"/>
      <c r="BE192" s="289"/>
      <c r="BF192" s="289"/>
      <c r="BG192" s="289"/>
      <c r="BH192" s="289"/>
      <c r="BI192" s="289"/>
      <c r="BJ192" s="289"/>
      <c r="BK192" s="289"/>
      <c r="BL192" s="289"/>
      <c r="BM192" s="289"/>
      <c r="BN192" s="289"/>
      <c r="BO192" s="289"/>
      <c r="BP192" s="289"/>
      <c r="BQ192" s="289"/>
      <c r="BR192" s="289"/>
      <c r="BS192" s="289"/>
      <c r="BT192" s="289"/>
      <c r="BU192" s="289"/>
    </row>
    <row r="193" spans="1:73" s="395" customFormat="1" ht="93" customHeight="1" thickBot="1">
      <c r="A193" s="411"/>
      <c r="B193" s="411"/>
      <c r="C193" s="292"/>
      <c r="D193" s="292">
        <f>SUM(D192-'12. sz. melléklet'!D270)</f>
        <v>0.31999969482421875</v>
      </c>
      <c r="E193" s="292">
        <f>SUM(E192-'12. sz. melléklet'!E270)</f>
        <v>0</v>
      </c>
      <c r="F193" s="702"/>
    </row>
    <row r="194" spans="1:73" ht="33" customHeight="1" thickBot="1">
      <c r="A194" s="293"/>
      <c r="B194" s="294"/>
      <c r="C194" s="295"/>
      <c r="D194" s="295"/>
      <c r="E194" s="295"/>
      <c r="F194" s="572"/>
      <c r="K194" s="408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</row>
    <row r="195" spans="1:73" ht="30.75" customHeight="1" thickBot="1">
      <c r="A195" s="298"/>
      <c r="B195" s="299"/>
      <c r="C195" s="295"/>
      <c r="D195" s="295"/>
      <c r="E195" s="295"/>
      <c r="F195" s="572"/>
      <c r="K195" s="408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</row>
    <row r="196" spans="1:73" ht="34.5" customHeight="1" thickBot="1">
      <c r="A196" s="293"/>
      <c r="B196" s="300"/>
      <c r="C196" s="301"/>
      <c r="D196" s="301"/>
      <c r="E196" s="301"/>
      <c r="F196" s="566"/>
      <c r="K196" s="408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</row>
    <row r="197" spans="1:73" ht="15.75" customHeight="1" thickBot="1">
      <c r="A197" s="298"/>
      <c r="B197" s="299"/>
      <c r="C197" s="301"/>
      <c r="D197" s="301"/>
      <c r="E197" s="301"/>
      <c r="F197" s="566"/>
      <c r="K197" s="408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</row>
    <row r="198" spans="1:73" ht="15.75" customHeight="1" thickBot="1">
      <c r="A198" s="298"/>
      <c r="B198" s="299"/>
      <c r="C198" s="301"/>
      <c r="D198" s="301"/>
      <c r="E198" s="301"/>
      <c r="F198" s="566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</row>
    <row r="199" spans="1:73" ht="15.75" customHeight="1" thickBot="1">
      <c r="A199" s="298"/>
      <c r="B199" s="299"/>
      <c r="C199" s="301"/>
      <c r="D199" s="301"/>
      <c r="E199" s="301"/>
      <c r="F199" s="566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</row>
    <row r="200" spans="1:73" ht="15.75" customHeight="1" thickBot="1">
      <c r="A200" s="298"/>
      <c r="B200" s="298"/>
      <c r="C200" s="301"/>
      <c r="D200" s="301"/>
      <c r="E200" s="301"/>
      <c r="F200" s="566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</row>
    <row r="201" spans="1:73" ht="15.75" customHeight="1" thickBot="1">
      <c r="A201" s="298"/>
      <c r="B201" s="298"/>
      <c r="C201" s="301"/>
      <c r="D201" s="301"/>
      <c r="E201" s="301"/>
      <c r="F201" s="566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</row>
    <row r="202" spans="1:73" ht="15.75" customHeight="1" thickBot="1">
      <c r="A202" s="298"/>
      <c r="B202" s="298"/>
      <c r="C202" s="301"/>
      <c r="D202" s="301"/>
      <c r="E202" s="301"/>
      <c r="F202" s="566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</row>
    <row r="203" spans="1:73" ht="15.75" customHeight="1" thickBot="1">
      <c r="A203" s="298"/>
      <c r="B203" s="298"/>
      <c r="C203" s="301"/>
      <c r="D203" s="301"/>
      <c r="E203" s="301"/>
      <c r="F203" s="566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</row>
    <row r="204" spans="1:73" ht="15.75" customHeight="1" thickBot="1">
      <c r="A204" s="298"/>
      <c r="B204" s="298"/>
      <c r="C204" s="301"/>
      <c r="D204" s="301"/>
      <c r="E204" s="301"/>
      <c r="F204" s="566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</row>
    <row r="205" spans="1:73" ht="15.75" customHeight="1" thickBot="1">
      <c r="A205" s="298"/>
      <c r="B205" s="298"/>
      <c r="C205" s="301"/>
      <c r="D205" s="301"/>
      <c r="E205" s="301"/>
      <c r="F205" s="566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</row>
    <row r="206" spans="1:73" ht="15.75" customHeight="1" thickBot="1">
      <c r="A206" s="298"/>
      <c r="B206" s="298"/>
      <c r="C206" s="301"/>
      <c r="D206" s="301"/>
      <c r="E206" s="301"/>
      <c r="F206" s="566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</row>
    <row r="207" spans="1:73" ht="15.75" customHeight="1" thickBot="1">
      <c r="A207" s="298"/>
      <c r="B207" s="298"/>
      <c r="C207" s="301"/>
      <c r="D207" s="301"/>
      <c r="E207" s="301"/>
      <c r="F207" s="566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</row>
    <row r="208" spans="1:73" ht="15.75" customHeight="1" thickBot="1">
      <c r="A208" s="298"/>
      <c r="B208" s="298"/>
      <c r="C208" s="301"/>
      <c r="D208" s="301"/>
      <c r="E208" s="301"/>
      <c r="F208" s="566"/>
      <c r="AO208" s="283"/>
      <c r="AP208" s="283"/>
      <c r="AQ208" s="283"/>
      <c r="AR208" s="283"/>
      <c r="AS208" s="283"/>
      <c r="AT208" s="283"/>
      <c r="AU208" s="283"/>
      <c r="AV208" s="283"/>
      <c r="AW208" s="283"/>
      <c r="AX208" s="283"/>
      <c r="AY208" s="283"/>
      <c r="AZ208" s="283"/>
      <c r="BA208" s="283"/>
      <c r="BB208" s="283"/>
      <c r="BC208" s="283"/>
      <c r="BD208" s="283"/>
      <c r="BE208" s="283"/>
      <c r="BF208" s="283"/>
      <c r="BG208" s="283"/>
      <c r="BH208" s="283"/>
      <c r="BI208" s="283"/>
      <c r="BJ208" s="283"/>
      <c r="BK208" s="283"/>
      <c r="BL208" s="283"/>
      <c r="BM208" s="283"/>
      <c r="BN208" s="283"/>
      <c r="BO208" s="283"/>
      <c r="BP208" s="283"/>
      <c r="BQ208" s="283"/>
      <c r="BR208" s="283"/>
      <c r="BS208" s="283"/>
      <c r="BT208" s="283"/>
      <c r="BU208" s="283"/>
    </row>
    <row r="209" spans="1:73" ht="15.75" customHeight="1" thickBot="1">
      <c r="A209" s="298"/>
      <c r="B209" s="298"/>
      <c r="C209" s="301"/>
      <c r="D209" s="301"/>
      <c r="E209" s="301"/>
      <c r="F209" s="566"/>
      <c r="AO209" s="283"/>
      <c r="AP209" s="283"/>
      <c r="AQ209" s="283"/>
      <c r="AR209" s="283"/>
      <c r="AS209" s="283"/>
      <c r="AT209" s="283"/>
      <c r="AU209" s="283"/>
      <c r="AV209" s="283"/>
      <c r="AW209" s="283"/>
      <c r="AX209" s="283"/>
      <c r="AY209" s="283"/>
      <c r="AZ209" s="283"/>
      <c r="BA209" s="283"/>
      <c r="BB209" s="283"/>
      <c r="BC209" s="283"/>
      <c r="BD209" s="283"/>
      <c r="BE209" s="283"/>
      <c r="BF209" s="283"/>
      <c r="BG209" s="283"/>
      <c r="BH209" s="283"/>
      <c r="BI209" s="283"/>
      <c r="BJ209" s="283"/>
      <c r="BK209" s="283"/>
      <c r="BL209" s="283"/>
      <c r="BM209" s="283"/>
      <c r="BN209" s="283"/>
      <c r="BO209" s="283"/>
      <c r="BP209" s="283"/>
      <c r="BQ209" s="283"/>
      <c r="BR209" s="283"/>
      <c r="BS209" s="283"/>
      <c r="BT209" s="283"/>
      <c r="BU209" s="283"/>
    </row>
    <row r="210" spans="1:73" ht="15.75" customHeight="1" thickBot="1">
      <c r="A210" s="298"/>
      <c r="B210" s="298"/>
      <c r="C210" s="301"/>
      <c r="D210" s="301"/>
      <c r="E210" s="301"/>
      <c r="F210" s="566"/>
      <c r="AO210" s="283"/>
      <c r="AP210" s="283"/>
      <c r="AQ210" s="283"/>
      <c r="AR210" s="283"/>
      <c r="AS210" s="283"/>
      <c r="AT210" s="283"/>
      <c r="AU210" s="283"/>
      <c r="AV210" s="283"/>
      <c r="AW210" s="283"/>
      <c r="AX210" s="283"/>
      <c r="AY210" s="283"/>
      <c r="AZ210" s="283"/>
      <c r="BA210" s="283"/>
      <c r="BB210" s="283"/>
      <c r="BC210" s="283"/>
      <c r="BD210" s="283"/>
      <c r="BE210" s="283"/>
      <c r="BF210" s="283"/>
      <c r="BG210" s="283"/>
      <c r="BH210" s="283"/>
      <c r="BI210" s="283"/>
      <c r="BJ210" s="283"/>
      <c r="BK210" s="283"/>
      <c r="BL210" s="283"/>
      <c r="BM210" s="283"/>
      <c r="BN210" s="283"/>
      <c r="BO210" s="283"/>
      <c r="BP210" s="283"/>
      <c r="BQ210" s="283"/>
      <c r="BR210" s="283"/>
      <c r="BS210" s="283"/>
      <c r="BT210" s="283"/>
      <c r="BU210" s="283"/>
    </row>
    <row r="211" spans="1:73" ht="15.75" customHeight="1" thickBot="1">
      <c r="A211" s="298"/>
      <c r="B211" s="298"/>
      <c r="C211" s="301"/>
      <c r="D211" s="301"/>
      <c r="E211" s="301"/>
      <c r="F211" s="566"/>
      <c r="AO211" s="283"/>
      <c r="AP211" s="283"/>
      <c r="AQ211" s="283"/>
      <c r="AR211" s="283"/>
      <c r="AS211" s="283"/>
      <c r="AT211" s="283"/>
      <c r="AU211" s="283"/>
      <c r="AV211" s="283"/>
      <c r="AW211" s="283"/>
      <c r="AX211" s="283"/>
      <c r="AY211" s="283"/>
      <c r="AZ211" s="283"/>
      <c r="BA211" s="283"/>
      <c r="BB211" s="283"/>
      <c r="BC211" s="283"/>
      <c r="BD211" s="283"/>
      <c r="BE211" s="283"/>
      <c r="BF211" s="283"/>
      <c r="BG211" s="283"/>
      <c r="BH211" s="283"/>
      <c r="BI211" s="283"/>
      <c r="BJ211" s="283"/>
      <c r="BK211" s="283"/>
      <c r="BL211" s="283"/>
      <c r="BM211" s="283"/>
      <c r="BN211" s="283"/>
      <c r="BO211" s="283"/>
      <c r="BP211" s="283"/>
      <c r="BQ211" s="283"/>
      <c r="BR211" s="283"/>
      <c r="BS211" s="283"/>
      <c r="BT211" s="283"/>
      <c r="BU211" s="283"/>
    </row>
    <row r="212" spans="1:73" ht="15.75" customHeight="1" thickBot="1">
      <c r="A212" s="298"/>
      <c r="B212" s="298"/>
      <c r="C212" s="301"/>
      <c r="D212" s="301"/>
      <c r="E212" s="301"/>
      <c r="F212" s="566"/>
      <c r="AO212" s="283"/>
      <c r="AP212" s="283"/>
      <c r="AQ212" s="283"/>
      <c r="AR212" s="283"/>
      <c r="AS212" s="283"/>
      <c r="AT212" s="283"/>
      <c r="AU212" s="283"/>
      <c r="AV212" s="283"/>
      <c r="AW212" s="283"/>
      <c r="AX212" s="283"/>
      <c r="AY212" s="283"/>
      <c r="AZ212" s="283"/>
      <c r="BA212" s="283"/>
      <c r="BB212" s="283"/>
      <c r="BC212" s="283"/>
      <c r="BD212" s="283"/>
      <c r="BE212" s="283"/>
      <c r="BF212" s="283"/>
      <c r="BG212" s="283"/>
      <c r="BH212" s="283"/>
      <c r="BI212" s="283"/>
      <c r="BJ212" s="283"/>
      <c r="BK212" s="283"/>
      <c r="BL212" s="283"/>
      <c r="BM212" s="283"/>
      <c r="BN212" s="283"/>
      <c r="BO212" s="283"/>
      <c r="BP212" s="283"/>
      <c r="BQ212" s="283"/>
      <c r="BR212" s="283"/>
      <c r="BS212" s="283"/>
      <c r="BT212" s="283"/>
      <c r="BU212" s="283"/>
    </row>
    <row r="213" spans="1:73" ht="15.75" customHeight="1" thickBot="1">
      <c r="A213" s="298"/>
      <c r="B213" s="298"/>
      <c r="C213" s="301"/>
      <c r="D213" s="301"/>
      <c r="E213" s="301"/>
      <c r="F213" s="566"/>
      <c r="AO213" s="283"/>
      <c r="AP213" s="283"/>
      <c r="AQ213" s="283"/>
      <c r="AR213" s="283"/>
      <c r="AS213" s="283"/>
      <c r="AT213" s="283"/>
      <c r="AU213" s="283"/>
      <c r="AV213" s="283"/>
      <c r="AW213" s="283"/>
      <c r="AX213" s="283"/>
      <c r="AY213" s="283"/>
      <c r="AZ213" s="283"/>
      <c r="BA213" s="283"/>
      <c r="BB213" s="283"/>
      <c r="BC213" s="283"/>
      <c r="BD213" s="283"/>
      <c r="BE213" s="283"/>
      <c r="BF213" s="283"/>
      <c r="BG213" s="283"/>
      <c r="BH213" s="283"/>
      <c r="BI213" s="283"/>
      <c r="BJ213" s="283"/>
      <c r="BK213" s="283"/>
      <c r="BL213" s="283"/>
      <c r="BM213" s="283"/>
      <c r="BN213" s="283"/>
      <c r="BO213" s="283"/>
      <c r="BP213" s="283"/>
      <c r="BQ213" s="283"/>
      <c r="BR213" s="283"/>
      <c r="BS213" s="283"/>
      <c r="BT213" s="283"/>
      <c r="BU213" s="283"/>
    </row>
    <row r="214" spans="1:73" ht="15.75" customHeight="1" thickBot="1">
      <c r="A214" s="298"/>
      <c r="B214" s="298"/>
      <c r="C214" s="301"/>
      <c r="D214" s="301"/>
      <c r="E214" s="301"/>
      <c r="F214" s="566"/>
      <c r="AO214" s="283"/>
      <c r="AP214" s="283"/>
      <c r="AQ214" s="283"/>
      <c r="AR214" s="283"/>
      <c r="AS214" s="283"/>
      <c r="AT214" s="283"/>
      <c r="AU214" s="283"/>
      <c r="AV214" s="283"/>
      <c r="AW214" s="283"/>
      <c r="AX214" s="283"/>
      <c r="AY214" s="283"/>
      <c r="AZ214" s="283"/>
      <c r="BA214" s="283"/>
      <c r="BB214" s="283"/>
      <c r="BC214" s="283"/>
      <c r="BD214" s="283"/>
      <c r="BE214" s="283"/>
      <c r="BF214" s="283"/>
      <c r="BG214" s="283"/>
      <c r="BH214" s="283"/>
      <c r="BI214" s="283"/>
      <c r="BJ214" s="283"/>
      <c r="BK214" s="283"/>
      <c r="BL214" s="283"/>
      <c r="BM214" s="283"/>
      <c r="BN214" s="283"/>
      <c r="BO214" s="283"/>
      <c r="BP214" s="283"/>
      <c r="BQ214" s="283"/>
      <c r="BR214" s="283"/>
      <c r="BS214" s="283"/>
      <c r="BT214" s="283"/>
      <c r="BU214" s="283"/>
    </row>
    <row r="215" spans="1:73" ht="15.75" customHeight="1" thickBot="1">
      <c r="A215" s="298"/>
      <c r="B215" s="298"/>
      <c r="C215" s="301"/>
      <c r="D215" s="301"/>
      <c r="E215" s="301"/>
      <c r="F215" s="566"/>
      <c r="AO215" s="283"/>
      <c r="AP215" s="283"/>
      <c r="AQ215" s="283"/>
      <c r="AR215" s="283"/>
      <c r="AS215" s="283"/>
      <c r="AT215" s="283"/>
      <c r="AU215" s="283"/>
      <c r="AV215" s="283"/>
      <c r="AW215" s="283"/>
      <c r="AX215" s="283"/>
      <c r="AY215" s="283"/>
      <c r="AZ215" s="283"/>
      <c r="BA215" s="283"/>
      <c r="BB215" s="283"/>
      <c r="BC215" s="283"/>
      <c r="BD215" s="283"/>
      <c r="BE215" s="283"/>
      <c r="BF215" s="283"/>
      <c r="BG215" s="283"/>
      <c r="BH215" s="283"/>
      <c r="BI215" s="283"/>
      <c r="BJ215" s="283"/>
      <c r="BK215" s="283"/>
      <c r="BL215" s="283"/>
      <c r="BM215" s="283"/>
      <c r="BN215" s="283"/>
      <c r="BO215" s="283"/>
      <c r="BP215" s="283"/>
      <c r="BQ215" s="283"/>
      <c r="BR215" s="283"/>
      <c r="BS215" s="283"/>
      <c r="BT215" s="283"/>
      <c r="BU215" s="283"/>
    </row>
    <row r="216" spans="1:73" ht="15.75" customHeight="1" thickBot="1">
      <c r="A216" s="298"/>
      <c r="B216" s="298"/>
      <c r="C216" s="301"/>
      <c r="D216" s="301"/>
      <c r="E216" s="301"/>
      <c r="F216" s="566"/>
      <c r="AO216" s="283"/>
      <c r="AP216" s="283"/>
      <c r="AQ216" s="283"/>
      <c r="AR216" s="283"/>
      <c r="AS216" s="283"/>
      <c r="AT216" s="283"/>
      <c r="AU216" s="283"/>
      <c r="AV216" s="283"/>
      <c r="AW216" s="283"/>
      <c r="AX216" s="283"/>
      <c r="AY216" s="283"/>
      <c r="AZ216" s="283"/>
      <c r="BA216" s="283"/>
      <c r="BB216" s="283"/>
      <c r="BC216" s="283"/>
      <c r="BD216" s="283"/>
      <c r="BE216" s="283"/>
      <c r="BF216" s="283"/>
      <c r="BG216" s="283"/>
      <c r="BH216" s="283"/>
      <c r="BI216" s="283"/>
      <c r="BJ216" s="283"/>
      <c r="BK216" s="283"/>
      <c r="BL216" s="283"/>
      <c r="BM216" s="283"/>
      <c r="BN216" s="283"/>
      <c r="BO216" s="283"/>
      <c r="BP216" s="283"/>
      <c r="BQ216" s="283"/>
      <c r="BR216" s="283"/>
      <c r="BS216" s="283"/>
      <c r="BT216" s="283"/>
      <c r="BU216" s="283"/>
    </row>
    <row r="217" spans="1:73" ht="15.75" customHeight="1" thickBot="1">
      <c r="A217" s="298"/>
      <c r="B217" s="298"/>
      <c r="C217" s="301"/>
      <c r="D217" s="301"/>
      <c r="E217" s="301"/>
      <c r="F217" s="566"/>
      <c r="AO217" s="283"/>
      <c r="AP217" s="283"/>
      <c r="AQ217" s="283"/>
      <c r="AR217" s="283"/>
      <c r="AS217" s="283"/>
      <c r="AT217" s="283"/>
      <c r="AU217" s="283"/>
      <c r="AV217" s="283"/>
      <c r="AW217" s="283"/>
      <c r="AX217" s="283"/>
      <c r="AY217" s="283"/>
      <c r="AZ217" s="283"/>
      <c r="BA217" s="283"/>
      <c r="BB217" s="283"/>
      <c r="BC217" s="283"/>
      <c r="BD217" s="283"/>
      <c r="BE217" s="283"/>
      <c r="BF217" s="283"/>
      <c r="BG217" s="283"/>
      <c r="BH217" s="283"/>
      <c r="BI217" s="283"/>
      <c r="BJ217" s="283"/>
      <c r="BK217" s="283"/>
      <c r="BL217" s="283"/>
      <c r="BM217" s="283"/>
      <c r="BN217" s="283"/>
      <c r="BO217" s="283"/>
      <c r="BP217" s="283"/>
      <c r="BQ217" s="283"/>
      <c r="BR217" s="283"/>
      <c r="BS217" s="283"/>
      <c r="BT217" s="283"/>
      <c r="BU217" s="283"/>
    </row>
    <row r="218" spans="1:73" ht="15.75" customHeight="1" thickBot="1">
      <c r="A218" s="298"/>
      <c r="B218" s="298"/>
      <c r="C218" s="301"/>
      <c r="D218" s="301"/>
      <c r="E218" s="301"/>
      <c r="F218" s="566"/>
      <c r="AO218" s="283"/>
      <c r="AP218" s="283"/>
      <c r="AQ218" s="283"/>
      <c r="AR218" s="283"/>
      <c r="AS218" s="283"/>
      <c r="AT218" s="283"/>
      <c r="AU218" s="283"/>
      <c r="AV218" s="283"/>
      <c r="AW218" s="283"/>
      <c r="AX218" s="283"/>
      <c r="AY218" s="283"/>
      <c r="AZ218" s="283"/>
      <c r="BA218" s="283"/>
      <c r="BB218" s="283"/>
      <c r="BC218" s="283"/>
      <c r="BD218" s="283"/>
      <c r="BE218" s="283"/>
      <c r="BF218" s="283"/>
      <c r="BG218" s="283"/>
      <c r="BH218" s="283"/>
      <c r="BI218" s="283"/>
      <c r="BJ218" s="283"/>
      <c r="BK218" s="283"/>
      <c r="BL218" s="283"/>
      <c r="BM218" s="283"/>
      <c r="BN218" s="283"/>
      <c r="BO218" s="283"/>
      <c r="BP218" s="283"/>
      <c r="BQ218" s="283"/>
      <c r="BR218" s="283"/>
      <c r="BS218" s="283"/>
      <c r="BT218" s="283"/>
      <c r="BU218" s="283"/>
    </row>
    <row r="219" spans="1:73" ht="15.75" customHeight="1" thickBot="1">
      <c r="A219" s="298"/>
      <c r="B219" s="298"/>
      <c r="C219" s="301"/>
      <c r="D219" s="301"/>
      <c r="E219" s="301"/>
      <c r="F219" s="566"/>
      <c r="AO219" s="283"/>
      <c r="AP219" s="283"/>
      <c r="AQ219" s="283"/>
      <c r="AR219" s="283"/>
      <c r="AS219" s="283"/>
      <c r="AT219" s="283"/>
      <c r="AU219" s="283"/>
      <c r="AV219" s="283"/>
      <c r="AW219" s="283"/>
      <c r="AX219" s="283"/>
      <c r="AY219" s="283"/>
      <c r="AZ219" s="283"/>
      <c r="BA219" s="283"/>
      <c r="BB219" s="283"/>
      <c r="BC219" s="283"/>
      <c r="BD219" s="283"/>
      <c r="BE219" s="283"/>
      <c r="BF219" s="283"/>
      <c r="BG219" s="283"/>
      <c r="BH219" s="283"/>
      <c r="BI219" s="283"/>
      <c r="BJ219" s="283"/>
      <c r="BK219" s="283"/>
      <c r="BL219" s="283"/>
      <c r="BM219" s="283"/>
      <c r="BN219" s="283"/>
      <c r="BO219" s="283"/>
      <c r="BP219" s="283"/>
      <c r="BQ219" s="283"/>
      <c r="BR219" s="283"/>
      <c r="BS219" s="283"/>
      <c r="BT219" s="283"/>
      <c r="BU219" s="283"/>
    </row>
    <row r="220" spans="1:73" ht="15.75" customHeight="1" thickBot="1">
      <c r="A220" s="298"/>
      <c r="B220" s="298"/>
      <c r="C220" s="301"/>
      <c r="D220" s="301"/>
      <c r="E220" s="301"/>
      <c r="F220" s="566"/>
      <c r="AO220" s="283"/>
      <c r="AP220" s="283"/>
      <c r="AQ220" s="283"/>
      <c r="AR220" s="283"/>
      <c r="AS220" s="283"/>
      <c r="AT220" s="283"/>
      <c r="AU220" s="283"/>
      <c r="AV220" s="283"/>
      <c r="AW220" s="283"/>
      <c r="AX220" s="283"/>
      <c r="AY220" s="283"/>
      <c r="AZ220" s="283"/>
      <c r="BA220" s="283"/>
      <c r="BB220" s="283"/>
      <c r="BC220" s="283"/>
      <c r="BD220" s="283"/>
      <c r="BE220" s="283"/>
      <c r="BF220" s="283"/>
      <c r="BG220" s="283"/>
      <c r="BH220" s="283"/>
      <c r="BI220" s="283"/>
      <c r="BJ220" s="283"/>
      <c r="BK220" s="283"/>
      <c r="BL220" s="283"/>
      <c r="BM220" s="283"/>
      <c r="BN220" s="283"/>
      <c r="BO220" s="283"/>
      <c r="BP220" s="283"/>
      <c r="BQ220" s="283"/>
      <c r="BR220" s="283"/>
      <c r="BS220" s="283"/>
      <c r="BT220" s="283"/>
      <c r="BU220" s="283"/>
    </row>
    <row r="221" spans="1:73" ht="15.75" customHeight="1" thickBot="1">
      <c r="A221" s="298"/>
      <c r="B221" s="298"/>
      <c r="C221" s="301"/>
      <c r="D221" s="301"/>
      <c r="E221" s="301"/>
      <c r="F221" s="566"/>
      <c r="AO221" s="283"/>
      <c r="AP221" s="283"/>
      <c r="AQ221" s="283"/>
      <c r="AR221" s="283"/>
      <c r="AS221" s="283"/>
      <c r="AT221" s="283"/>
      <c r="AU221" s="283"/>
      <c r="AV221" s="283"/>
      <c r="AW221" s="283"/>
      <c r="AX221" s="283"/>
      <c r="AY221" s="283"/>
      <c r="AZ221" s="283"/>
      <c r="BA221" s="283"/>
      <c r="BB221" s="283"/>
      <c r="BC221" s="283"/>
      <c r="BD221" s="283"/>
      <c r="BE221" s="283"/>
      <c r="BF221" s="283"/>
      <c r="BG221" s="283"/>
      <c r="BH221" s="283"/>
      <c r="BI221" s="283"/>
      <c r="BJ221" s="283"/>
      <c r="BK221" s="283"/>
      <c r="BL221" s="283"/>
      <c r="BM221" s="283"/>
      <c r="BN221" s="283"/>
      <c r="BO221" s="283"/>
      <c r="BP221" s="283"/>
      <c r="BQ221" s="283"/>
      <c r="BR221" s="283"/>
      <c r="BS221" s="283"/>
      <c r="BT221" s="283"/>
      <c r="BU221" s="283"/>
    </row>
    <row r="222" spans="1:73" ht="15.75" customHeight="1" thickBot="1">
      <c r="A222" s="298"/>
      <c r="B222" s="298"/>
      <c r="C222" s="301"/>
      <c r="D222" s="301"/>
      <c r="E222" s="301"/>
      <c r="F222" s="566"/>
      <c r="AO222" s="283"/>
      <c r="AP222" s="283"/>
      <c r="AQ222" s="283"/>
      <c r="AR222" s="283"/>
      <c r="AS222" s="283"/>
      <c r="AT222" s="283"/>
      <c r="AU222" s="283"/>
      <c r="AV222" s="283"/>
      <c r="AW222" s="283"/>
      <c r="AX222" s="283"/>
      <c r="AY222" s="283"/>
      <c r="AZ222" s="283"/>
      <c r="BA222" s="283"/>
      <c r="BB222" s="283"/>
      <c r="BC222" s="283"/>
      <c r="BD222" s="283"/>
      <c r="BE222" s="283"/>
      <c r="BF222" s="283"/>
      <c r="BG222" s="283"/>
      <c r="BH222" s="283"/>
      <c r="BI222" s="283"/>
      <c r="BJ222" s="283"/>
      <c r="BK222" s="283"/>
      <c r="BL222" s="283"/>
      <c r="BM222" s="283"/>
      <c r="BN222" s="283"/>
      <c r="BO222" s="283"/>
      <c r="BP222" s="283"/>
      <c r="BQ222" s="283"/>
      <c r="BR222" s="283"/>
      <c r="BS222" s="283"/>
      <c r="BT222" s="283"/>
      <c r="BU222" s="283"/>
    </row>
    <row r="223" spans="1:73" ht="15.75" customHeight="1" thickBot="1">
      <c r="A223" s="298"/>
      <c r="B223" s="298"/>
      <c r="C223" s="301"/>
      <c r="D223" s="301"/>
      <c r="E223" s="301"/>
      <c r="F223" s="566"/>
      <c r="AO223" s="283"/>
      <c r="AP223" s="283"/>
      <c r="AQ223" s="283"/>
      <c r="AR223" s="283"/>
      <c r="AS223" s="283"/>
      <c r="AT223" s="283"/>
      <c r="AU223" s="283"/>
      <c r="AV223" s="283"/>
      <c r="AW223" s="283"/>
      <c r="AX223" s="283"/>
      <c r="AY223" s="283"/>
      <c r="AZ223" s="283"/>
      <c r="BA223" s="283"/>
      <c r="BB223" s="283"/>
      <c r="BC223" s="283"/>
      <c r="BD223" s="283"/>
      <c r="BE223" s="283"/>
      <c r="BF223" s="283"/>
      <c r="BG223" s="283"/>
      <c r="BH223" s="283"/>
      <c r="BI223" s="283"/>
      <c r="BJ223" s="283"/>
      <c r="BK223" s="283"/>
      <c r="BL223" s="283"/>
      <c r="BM223" s="283"/>
      <c r="BN223" s="283"/>
      <c r="BO223" s="283"/>
      <c r="BP223" s="283"/>
      <c r="BQ223" s="283"/>
      <c r="BR223" s="283"/>
      <c r="BS223" s="283"/>
      <c r="BT223" s="283"/>
      <c r="BU223" s="283"/>
    </row>
    <row r="224" spans="1:73" ht="15.75" customHeight="1" thickBot="1">
      <c r="A224" s="298"/>
      <c r="B224" s="298"/>
      <c r="C224" s="301"/>
      <c r="D224" s="301"/>
      <c r="E224" s="301"/>
      <c r="F224" s="566"/>
      <c r="AO224" s="283"/>
      <c r="AP224" s="283"/>
      <c r="AQ224" s="283"/>
      <c r="AR224" s="283"/>
      <c r="AS224" s="283"/>
      <c r="AT224" s="283"/>
      <c r="AU224" s="283"/>
      <c r="AV224" s="283"/>
      <c r="AW224" s="283"/>
      <c r="AX224" s="283"/>
      <c r="AY224" s="283"/>
      <c r="AZ224" s="283"/>
      <c r="BA224" s="283"/>
      <c r="BB224" s="283"/>
      <c r="BC224" s="283"/>
      <c r="BD224" s="283"/>
      <c r="BE224" s="283"/>
      <c r="BF224" s="283"/>
      <c r="BG224" s="283"/>
      <c r="BH224" s="283"/>
      <c r="BI224" s="283"/>
      <c r="BJ224" s="283"/>
      <c r="BK224" s="283"/>
      <c r="BL224" s="283"/>
      <c r="BM224" s="283"/>
      <c r="BN224" s="283"/>
      <c r="BO224" s="283"/>
      <c r="BP224" s="283"/>
      <c r="BQ224" s="283"/>
      <c r="BR224" s="283"/>
      <c r="BS224" s="283"/>
      <c r="BT224" s="283"/>
      <c r="BU224" s="283"/>
    </row>
    <row r="225" spans="1:73" ht="15.75" customHeight="1" thickBot="1">
      <c r="A225" s="298"/>
      <c r="B225" s="298"/>
      <c r="C225" s="301"/>
      <c r="D225" s="301"/>
      <c r="E225" s="301"/>
      <c r="F225" s="566"/>
      <c r="AO225" s="283"/>
      <c r="AP225" s="283"/>
      <c r="AQ225" s="283"/>
      <c r="AR225" s="283"/>
      <c r="AS225" s="283"/>
      <c r="AT225" s="283"/>
      <c r="AU225" s="283"/>
      <c r="AV225" s="283"/>
      <c r="AW225" s="283"/>
      <c r="AX225" s="283"/>
      <c r="AY225" s="283"/>
      <c r="AZ225" s="283"/>
      <c r="BA225" s="283"/>
      <c r="BB225" s="283"/>
      <c r="BC225" s="283"/>
      <c r="BD225" s="283"/>
      <c r="BE225" s="283"/>
      <c r="BF225" s="283"/>
      <c r="BG225" s="283"/>
      <c r="BH225" s="283"/>
      <c r="BI225" s="283"/>
      <c r="BJ225" s="283"/>
      <c r="BK225" s="283"/>
      <c r="BL225" s="283"/>
      <c r="BM225" s="283"/>
      <c r="BN225" s="283"/>
      <c r="BO225" s="283"/>
      <c r="BP225" s="283"/>
      <c r="BQ225" s="283"/>
      <c r="BR225" s="283"/>
      <c r="BS225" s="283"/>
      <c r="BT225" s="283"/>
      <c r="BU225" s="283"/>
    </row>
    <row r="226" spans="1:73" ht="15.75" customHeight="1" thickBot="1">
      <c r="A226" s="298"/>
      <c r="B226" s="298"/>
      <c r="C226" s="301"/>
      <c r="D226" s="301"/>
      <c r="E226" s="301"/>
      <c r="F226" s="566"/>
      <c r="AO226" s="283"/>
      <c r="AP226" s="283"/>
      <c r="AQ226" s="283"/>
      <c r="AR226" s="283"/>
      <c r="AS226" s="283"/>
      <c r="AT226" s="283"/>
      <c r="AU226" s="283"/>
      <c r="AV226" s="283"/>
      <c r="AW226" s="283"/>
      <c r="AX226" s="283"/>
      <c r="AY226" s="283"/>
      <c r="AZ226" s="283"/>
      <c r="BA226" s="283"/>
      <c r="BB226" s="283"/>
      <c r="BC226" s="283"/>
      <c r="BD226" s="283"/>
      <c r="BE226" s="283"/>
      <c r="BF226" s="283"/>
      <c r="BG226" s="283"/>
      <c r="BH226" s="283"/>
      <c r="BI226" s="283"/>
      <c r="BJ226" s="283"/>
      <c r="BK226" s="283"/>
      <c r="BL226" s="283"/>
      <c r="BM226" s="283"/>
      <c r="BN226" s="283"/>
      <c r="BO226" s="283"/>
      <c r="BP226" s="283"/>
      <c r="BQ226" s="283"/>
      <c r="BR226" s="283"/>
      <c r="BS226" s="283"/>
      <c r="BT226" s="283"/>
      <c r="BU226" s="283"/>
    </row>
    <row r="227" spans="1:73" ht="15.75" customHeight="1" thickBot="1">
      <c r="A227" s="298"/>
      <c r="B227" s="298"/>
      <c r="C227" s="301"/>
      <c r="D227" s="301"/>
      <c r="E227" s="301"/>
      <c r="F227" s="566"/>
      <c r="AO227" s="283"/>
      <c r="AP227" s="283"/>
      <c r="AQ227" s="283"/>
      <c r="AR227" s="283"/>
      <c r="AS227" s="283"/>
      <c r="AT227" s="283"/>
      <c r="AU227" s="283"/>
      <c r="AV227" s="283"/>
      <c r="AW227" s="283"/>
      <c r="AX227" s="283"/>
      <c r="AY227" s="283"/>
      <c r="AZ227" s="283"/>
      <c r="BA227" s="283"/>
      <c r="BB227" s="283"/>
      <c r="BC227" s="283"/>
      <c r="BD227" s="283"/>
      <c r="BE227" s="283"/>
      <c r="BF227" s="283"/>
      <c r="BG227" s="283"/>
      <c r="BH227" s="283"/>
      <c r="BI227" s="283"/>
      <c r="BJ227" s="283"/>
      <c r="BK227" s="283"/>
      <c r="BL227" s="283"/>
      <c r="BM227" s="283"/>
      <c r="BN227" s="283"/>
      <c r="BO227" s="283"/>
      <c r="BP227" s="283"/>
      <c r="BQ227" s="283"/>
      <c r="BR227" s="283"/>
      <c r="BS227" s="283"/>
      <c r="BT227" s="283"/>
      <c r="BU227" s="283"/>
    </row>
    <row r="228" spans="1:73" ht="15.75" customHeight="1" thickBot="1">
      <c r="A228" s="298"/>
      <c r="B228" s="298"/>
      <c r="C228" s="301"/>
      <c r="D228" s="301"/>
      <c r="E228" s="301"/>
      <c r="F228" s="566"/>
      <c r="AO228" s="283"/>
      <c r="AP228" s="283"/>
      <c r="AQ228" s="283"/>
      <c r="AR228" s="283"/>
      <c r="AS228" s="283"/>
      <c r="AT228" s="283"/>
      <c r="AU228" s="283"/>
      <c r="AV228" s="283"/>
      <c r="AW228" s="283"/>
      <c r="AX228" s="283"/>
      <c r="AY228" s="283"/>
      <c r="AZ228" s="283"/>
      <c r="BA228" s="283"/>
      <c r="BB228" s="283"/>
      <c r="BC228" s="283"/>
      <c r="BD228" s="283"/>
      <c r="BE228" s="283"/>
      <c r="BF228" s="283"/>
      <c r="BG228" s="283"/>
      <c r="BH228" s="283"/>
      <c r="BI228" s="283"/>
      <c r="BJ228" s="283"/>
      <c r="BK228" s="283"/>
      <c r="BL228" s="283"/>
      <c r="BM228" s="283"/>
      <c r="BN228" s="283"/>
      <c r="BO228" s="283"/>
      <c r="BP228" s="283"/>
      <c r="BQ228" s="283"/>
      <c r="BR228" s="283"/>
      <c r="BS228" s="283"/>
      <c r="BT228" s="283"/>
      <c r="BU228" s="283"/>
    </row>
    <row r="229" spans="1:73" ht="15.75" customHeight="1" thickBot="1">
      <c r="A229" s="298"/>
      <c r="B229" s="298"/>
      <c r="C229" s="301"/>
      <c r="D229" s="301"/>
      <c r="E229" s="301"/>
      <c r="F229" s="566"/>
      <c r="AO229" s="283"/>
      <c r="AP229" s="283"/>
      <c r="AQ229" s="283"/>
      <c r="AR229" s="283"/>
      <c r="AS229" s="283"/>
      <c r="AT229" s="283"/>
      <c r="AU229" s="283"/>
      <c r="AV229" s="283"/>
      <c r="AW229" s="283"/>
      <c r="AX229" s="283"/>
      <c r="AY229" s="283"/>
      <c r="AZ229" s="283"/>
      <c r="BA229" s="283"/>
      <c r="BB229" s="283"/>
      <c r="BC229" s="283"/>
      <c r="BD229" s="283"/>
      <c r="BE229" s="283"/>
      <c r="BF229" s="283"/>
      <c r="BG229" s="283"/>
      <c r="BH229" s="283"/>
      <c r="BI229" s="283"/>
      <c r="BJ229" s="283"/>
      <c r="BK229" s="283"/>
      <c r="BL229" s="283"/>
      <c r="BM229" s="283"/>
      <c r="BN229" s="283"/>
      <c r="BO229" s="283"/>
      <c r="BP229" s="283"/>
      <c r="BQ229" s="283"/>
      <c r="BR229" s="283"/>
      <c r="BS229" s="283"/>
      <c r="BT229" s="283"/>
      <c r="BU229" s="283"/>
    </row>
    <row r="230" spans="1:73" ht="15.75" customHeight="1" thickBot="1">
      <c r="A230" s="298"/>
      <c r="B230" s="298"/>
      <c r="C230" s="301"/>
      <c r="D230" s="301"/>
      <c r="E230" s="301"/>
      <c r="F230" s="566"/>
      <c r="AO230" s="283"/>
      <c r="AP230" s="283"/>
      <c r="AQ230" s="283"/>
      <c r="AR230" s="283"/>
      <c r="AS230" s="283"/>
      <c r="AT230" s="283"/>
      <c r="AU230" s="283"/>
      <c r="AV230" s="283"/>
      <c r="AW230" s="283"/>
      <c r="AX230" s="283"/>
      <c r="AY230" s="283"/>
      <c r="AZ230" s="283"/>
      <c r="BA230" s="283"/>
      <c r="BB230" s="283"/>
      <c r="BC230" s="283"/>
      <c r="BD230" s="283"/>
      <c r="BE230" s="283"/>
      <c r="BF230" s="283"/>
      <c r="BG230" s="283"/>
      <c r="BH230" s="283"/>
      <c r="BI230" s="283"/>
      <c r="BJ230" s="283"/>
      <c r="BK230" s="283"/>
      <c r="BL230" s="283"/>
      <c r="BM230" s="283"/>
      <c r="BN230" s="283"/>
      <c r="BO230" s="283"/>
      <c r="BP230" s="283"/>
      <c r="BQ230" s="283"/>
      <c r="BR230" s="283"/>
      <c r="BS230" s="283"/>
      <c r="BT230" s="283"/>
      <c r="BU230" s="283"/>
    </row>
    <row r="231" spans="1:73" ht="15.75" customHeight="1" thickBot="1">
      <c r="A231" s="298"/>
      <c r="B231" s="298"/>
      <c r="C231" s="301"/>
      <c r="D231" s="301"/>
      <c r="E231" s="301"/>
      <c r="F231" s="566"/>
      <c r="AO231" s="283"/>
      <c r="AP231" s="283"/>
      <c r="AQ231" s="283"/>
      <c r="AR231" s="283"/>
      <c r="AS231" s="283"/>
      <c r="AT231" s="283"/>
      <c r="AU231" s="283"/>
      <c r="AV231" s="283"/>
      <c r="AW231" s="283"/>
      <c r="AX231" s="283"/>
      <c r="AY231" s="283"/>
      <c r="AZ231" s="283"/>
      <c r="BA231" s="283"/>
      <c r="BB231" s="283"/>
      <c r="BC231" s="283"/>
      <c r="BD231" s="283"/>
      <c r="BE231" s="283"/>
      <c r="BF231" s="283"/>
      <c r="BG231" s="283"/>
      <c r="BH231" s="283"/>
      <c r="BI231" s="283"/>
      <c r="BJ231" s="283"/>
      <c r="BK231" s="283"/>
      <c r="BL231" s="283"/>
      <c r="BM231" s="283"/>
      <c r="BN231" s="283"/>
      <c r="BO231" s="283"/>
      <c r="BP231" s="283"/>
      <c r="BQ231" s="283"/>
      <c r="BR231" s="283"/>
      <c r="BS231" s="283"/>
      <c r="BT231" s="283"/>
      <c r="BU231" s="283"/>
    </row>
    <row r="232" spans="1:73" ht="15.75" customHeight="1" thickBot="1">
      <c r="A232" s="298"/>
      <c r="B232" s="298"/>
      <c r="C232" s="301"/>
      <c r="D232" s="301"/>
      <c r="E232" s="301"/>
      <c r="F232" s="566"/>
      <c r="AO232" s="283"/>
      <c r="AP232" s="283"/>
      <c r="AQ232" s="283"/>
      <c r="AR232" s="283"/>
      <c r="AS232" s="283"/>
      <c r="AT232" s="283"/>
      <c r="AU232" s="283"/>
      <c r="AV232" s="283"/>
      <c r="AW232" s="283"/>
      <c r="AX232" s="283"/>
      <c r="AY232" s="283"/>
      <c r="AZ232" s="283"/>
      <c r="BA232" s="283"/>
      <c r="BB232" s="283"/>
      <c r="BC232" s="283"/>
      <c r="BD232" s="283"/>
      <c r="BE232" s="283"/>
      <c r="BF232" s="283"/>
      <c r="BG232" s="283"/>
      <c r="BH232" s="283"/>
      <c r="BI232" s="283"/>
      <c r="BJ232" s="283"/>
      <c r="BK232" s="283"/>
      <c r="BL232" s="283"/>
      <c r="BM232" s="283"/>
      <c r="BN232" s="283"/>
      <c r="BO232" s="283"/>
      <c r="BP232" s="283"/>
      <c r="BQ232" s="283"/>
      <c r="BR232" s="283"/>
      <c r="BS232" s="283"/>
      <c r="BT232" s="283"/>
      <c r="BU232" s="283"/>
    </row>
    <row r="233" spans="1:73" ht="15.75" customHeight="1" thickBot="1">
      <c r="A233" s="298"/>
      <c r="B233" s="298"/>
      <c r="C233" s="301"/>
      <c r="D233" s="301"/>
      <c r="E233" s="301"/>
      <c r="F233" s="566"/>
      <c r="AO233" s="283"/>
      <c r="AP233" s="283"/>
      <c r="AQ233" s="283"/>
      <c r="AR233" s="283"/>
      <c r="AS233" s="283"/>
      <c r="AT233" s="283"/>
      <c r="AU233" s="283"/>
      <c r="AV233" s="283"/>
      <c r="AW233" s="283"/>
      <c r="AX233" s="283"/>
      <c r="AY233" s="283"/>
      <c r="AZ233" s="283"/>
      <c r="BA233" s="283"/>
      <c r="BB233" s="283"/>
      <c r="BC233" s="283"/>
      <c r="BD233" s="283"/>
      <c r="BE233" s="283"/>
      <c r="BF233" s="283"/>
      <c r="BG233" s="283"/>
      <c r="BH233" s="283"/>
      <c r="BI233" s="283"/>
      <c r="BJ233" s="283"/>
      <c r="BK233" s="283"/>
      <c r="BL233" s="283"/>
      <c r="BM233" s="283"/>
      <c r="BN233" s="283"/>
      <c r="BO233" s="283"/>
      <c r="BP233" s="283"/>
      <c r="BQ233" s="283"/>
      <c r="BR233" s="283"/>
      <c r="BS233" s="283"/>
      <c r="BT233" s="283"/>
      <c r="BU233" s="283"/>
    </row>
    <row r="234" spans="1:73" ht="15.75" customHeight="1" thickBot="1">
      <c r="A234" s="298"/>
      <c r="B234" s="298"/>
      <c r="C234" s="301"/>
      <c r="D234" s="301"/>
      <c r="E234" s="301"/>
      <c r="F234" s="566"/>
      <c r="AO234" s="283"/>
      <c r="AP234" s="283"/>
      <c r="AQ234" s="283"/>
      <c r="AR234" s="283"/>
      <c r="AS234" s="283"/>
      <c r="AT234" s="283"/>
      <c r="AU234" s="283"/>
      <c r="AV234" s="283"/>
      <c r="AW234" s="283"/>
      <c r="AX234" s="283"/>
      <c r="AY234" s="283"/>
      <c r="AZ234" s="283"/>
      <c r="BA234" s="283"/>
      <c r="BB234" s="283"/>
      <c r="BC234" s="283"/>
      <c r="BD234" s="283"/>
      <c r="BE234" s="283"/>
      <c r="BF234" s="283"/>
      <c r="BG234" s="283"/>
      <c r="BH234" s="283"/>
      <c r="BI234" s="283"/>
      <c r="BJ234" s="283"/>
      <c r="BK234" s="283"/>
      <c r="BL234" s="283"/>
      <c r="BM234" s="283"/>
      <c r="BN234" s="283"/>
      <c r="BO234" s="283"/>
      <c r="BP234" s="283"/>
      <c r="BQ234" s="283"/>
      <c r="BR234" s="283"/>
      <c r="BS234" s="283"/>
      <c r="BT234" s="283"/>
      <c r="BU234" s="283"/>
    </row>
    <row r="235" spans="1:73" ht="15.75" customHeight="1" thickBot="1">
      <c r="A235" s="298"/>
      <c r="B235" s="298"/>
      <c r="C235" s="301"/>
      <c r="D235" s="301"/>
      <c r="E235" s="301"/>
      <c r="F235" s="566"/>
      <c r="AO235" s="283"/>
      <c r="AP235" s="283"/>
      <c r="AQ235" s="283"/>
      <c r="AR235" s="283"/>
      <c r="AS235" s="283"/>
      <c r="AT235" s="283"/>
      <c r="AU235" s="283"/>
      <c r="AV235" s="283"/>
      <c r="AW235" s="283"/>
      <c r="AX235" s="283"/>
      <c r="AY235" s="283"/>
      <c r="AZ235" s="283"/>
      <c r="BA235" s="283"/>
      <c r="BB235" s="283"/>
      <c r="BC235" s="283"/>
      <c r="BD235" s="283"/>
      <c r="BE235" s="283"/>
      <c r="BF235" s="283"/>
      <c r="BG235" s="283"/>
      <c r="BH235" s="283"/>
      <c r="BI235" s="283"/>
      <c r="BJ235" s="283"/>
      <c r="BK235" s="283"/>
      <c r="BL235" s="283"/>
      <c r="BM235" s="283"/>
      <c r="BN235" s="283"/>
      <c r="BO235" s="283"/>
      <c r="BP235" s="283"/>
      <c r="BQ235" s="283"/>
      <c r="BR235" s="283"/>
      <c r="BS235" s="283"/>
      <c r="BT235" s="283"/>
      <c r="BU235" s="283"/>
    </row>
    <row r="236" spans="1:73" ht="15.75" customHeight="1" thickBot="1">
      <c r="A236" s="298"/>
      <c r="B236" s="298"/>
      <c r="C236" s="301"/>
      <c r="D236" s="301"/>
      <c r="E236" s="301"/>
      <c r="F236" s="566"/>
      <c r="AO236" s="283"/>
      <c r="AP236" s="283"/>
      <c r="AQ236" s="283"/>
      <c r="AR236" s="283"/>
      <c r="AS236" s="283"/>
      <c r="AT236" s="283"/>
      <c r="AU236" s="283"/>
      <c r="AV236" s="283"/>
      <c r="AW236" s="283"/>
      <c r="AX236" s="283"/>
      <c r="AY236" s="283"/>
      <c r="AZ236" s="283"/>
      <c r="BA236" s="283"/>
      <c r="BB236" s="283"/>
      <c r="BC236" s="283"/>
      <c r="BD236" s="283"/>
      <c r="BE236" s="283"/>
      <c r="BF236" s="283"/>
      <c r="BG236" s="283"/>
      <c r="BH236" s="283"/>
      <c r="BI236" s="283"/>
      <c r="BJ236" s="283"/>
      <c r="BK236" s="283"/>
      <c r="BL236" s="283"/>
      <c r="BM236" s="283"/>
      <c r="BN236" s="283"/>
      <c r="BO236" s="283"/>
      <c r="BP236" s="283"/>
      <c r="BQ236" s="283"/>
      <c r="BR236" s="283"/>
      <c r="BS236" s="283"/>
      <c r="BT236" s="283"/>
      <c r="BU236" s="283"/>
    </row>
    <row r="237" spans="1:73" ht="15.75" customHeight="1" thickBot="1">
      <c r="A237" s="298"/>
      <c r="B237" s="298"/>
      <c r="C237" s="301"/>
      <c r="D237" s="301"/>
      <c r="E237" s="301"/>
      <c r="F237" s="566"/>
      <c r="AO237" s="283"/>
      <c r="AP237" s="283"/>
      <c r="AQ237" s="283"/>
      <c r="AR237" s="283"/>
      <c r="AS237" s="283"/>
      <c r="AT237" s="283"/>
      <c r="AU237" s="283"/>
      <c r="AV237" s="283"/>
      <c r="AW237" s="283"/>
      <c r="AX237" s="283"/>
      <c r="AY237" s="283"/>
      <c r="AZ237" s="283"/>
      <c r="BA237" s="283"/>
      <c r="BB237" s="283"/>
      <c r="BC237" s="283"/>
      <c r="BD237" s="283"/>
      <c r="BE237" s="283"/>
      <c r="BF237" s="283"/>
      <c r="BG237" s="283"/>
      <c r="BH237" s="283"/>
      <c r="BI237" s="283"/>
      <c r="BJ237" s="283"/>
      <c r="BK237" s="283"/>
      <c r="BL237" s="283"/>
      <c r="BM237" s="283"/>
      <c r="BN237" s="283"/>
      <c r="BO237" s="283"/>
      <c r="BP237" s="283"/>
      <c r="BQ237" s="283"/>
      <c r="BR237" s="283"/>
      <c r="BS237" s="283"/>
      <c r="BT237" s="283"/>
      <c r="BU237" s="283"/>
    </row>
    <row r="238" spans="1:73" ht="15.75" customHeight="1" thickBot="1">
      <c r="A238" s="298"/>
      <c r="B238" s="298"/>
      <c r="C238" s="301"/>
      <c r="D238" s="301"/>
      <c r="E238" s="301"/>
      <c r="F238" s="566"/>
      <c r="AO238" s="283"/>
      <c r="AP238" s="283"/>
      <c r="AQ238" s="283"/>
      <c r="AR238" s="283"/>
      <c r="AS238" s="283"/>
      <c r="AT238" s="283"/>
      <c r="AU238" s="283"/>
      <c r="AV238" s="283"/>
      <c r="AW238" s="283"/>
      <c r="AX238" s="283"/>
      <c r="AY238" s="283"/>
      <c r="AZ238" s="283"/>
      <c r="BA238" s="283"/>
      <c r="BB238" s="283"/>
      <c r="BC238" s="283"/>
      <c r="BD238" s="283"/>
      <c r="BE238" s="283"/>
      <c r="BF238" s="283"/>
      <c r="BG238" s="283"/>
      <c r="BH238" s="283"/>
      <c r="BI238" s="283"/>
      <c r="BJ238" s="283"/>
      <c r="BK238" s="283"/>
      <c r="BL238" s="283"/>
      <c r="BM238" s="283"/>
      <c r="BN238" s="283"/>
      <c r="BO238" s="283"/>
      <c r="BP238" s="283"/>
      <c r="BQ238" s="283"/>
      <c r="BR238" s="283"/>
      <c r="BS238" s="283"/>
      <c r="BT238" s="283"/>
      <c r="BU238" s="283"/>
    </row>
    <row r="239" spans="1:73" ht="15.75" customHeight="1" thickBot="1">
      <c r="A239" s="298"/>
      <c r="B239" s="298"/>
      <c r="C239" s="301"/>
      <c r="D239" s="301"/>
      <c r="E239" s="301"/>
      <c r="F239" s="566"/>
      <c r="AO239" s="283"/>
      <c r="AP239" s="283"/>
      <c r="AQ239" s="283"/>
      <c r="AR239" s="283"/>
      <c r="AS239" s="283"/>
      <c r="AT239" s="283"/>
      <c r="AU239" s="283"/>
      <c r="AV239" s="283"/>
      <c r="AW239" s="283"/>
      <c r="AX239" s="283"/>
      <c r="AY239" s="283"/>
      <c r="AZ239" s="283"/>
      <c r="BA239" s="283"/>
      <c r="BB239" s="283"/>
      <c r="BC239" s="283"/>
      <c r="BD239" s="283"/>
      <c r="BE239" s="283"/>
      <c r="BF239" s="283"/>
      <c r="BG239" s="283"/>
      <c r="BH239" s="283"/>
      <c r="BI239" s="283"/>
      <c r="BJ239" s="283"/>
      <c r="BK239" s="283"/>
      <c r="BL239" s="283"/>
      <c r="BM239" s="283"/>
      <c r="BN239" s="283"/>
      <c r="BO239" s="283"/>
      <c r="BP239" s="283"/>
      <c r="BQ239" s="283"/>
      <c r="BR239" s="283"/>
      <c r="BS239" s="283"/>
      <c r="BT239" s="283"/>
      <c r="BU239" s="283"/>
    </row>
    <row r="240" spans="1:73" ht="15.75" customHeight="1" thickBot="1">
      <c r="A240" s="298"/>
      <c r="B240" s="298"/>
      <c r="C240" s="301"/>
      <c r="D240" s="301"/>
      <c r="E240" s="301"/>
      <c r="F240" s="566"/>
      <c r="AO240" s="283"/>
      <c r="AP240" s="283"/>
      <c r="AQ240" s="283"/>
      <c r="AR240" s="283"/>
      <c r="AS240" s="283"/>
      <c r="AT240" s="283"/>
      <c r="AU240" s="283"/>
      <c r="AV240" s="283"/>
      <c r="AW240" s="283"/>
      <c r="AX240" s="283"/>
      <c r="AY240" s="283"/>
      <c r="AZ240" s="283"/>
      <c r="BA240" s="283"/>
      <c r="BB240" s="283"/>
      <c r="BC240" s="283"/>
      <c r="BD240" s="283"/>
      <c r="BE240" s="283"/>
      <c r="BF240" s="283"/>
      <c r="BG240" s="283"/>
      <c r="BH240" s="283"/>
      <c r="BI240" s="283"/>
      <c r="BJ240" s="283"/>
      <c r="BK240" s="283"/>
      <c r="BL240" s="283"/>
      <c r="BM240" s="283"/>
      <c r="BN240" s="283"/>
      <c r="BO240" s="283"/>
      <c r="BP240" s="283"/>
      <c r="BQ240" s="283"/>
      <c r="BR240" s="283"/>
      <c r="BS240" s="283"/>
      <c r="BT240" s="283"/>
      <c r="BU240" s="283"/>
    </row>
    <row r="241" spans="1:73" ht="15.75" customHeight="1" thickBot="1">
      <c r="A241" s="298"/>
      <c r="B241" s="298"/>
      <c r="C241" s="301"/>
      <c r="D241" s="301"/>
      <c r="E241" s="301"/>
      <c r="F241" s="566"/>
      <c r="AO241" s="283"/>
      <c r="AP241" s="283"/>
      <c r="AQ241" s="283"/>
      <c r="AR241" s="283"/>
      <c r="AS241" s="283"/>
      <c r="AT241" s="283"/>
      <c r="AU241" s="283"/>
      <c r="AV241" s="283"/>
      <c r="AW241" s="283"/>
      <c r="AX241" s="283"/>
      <c r="AY241" s="283"/>
      <c r="AZ241" s="283"/>
      <c r="BA241" s="283"/>
      <c r="BB241" s="283"/>
      <c r="BC241" s="283"/>
      <c r="BD241" s="283"/>
      <c r="BE241" s="283"/>
      <c r="BF241" s="283"/>
      <c r="BG241" s="283"/>
      <c r="BH241" s="283"/>
      <c r="BI241" s="283"/>
      <c r="BJ241" s="283"/>
      <c r="BK241" s="283"/>
      <c r="BL241" s="283"/>
      <c r="BM241" s="283"/>
      <c r="BN241" s="283"/>
      <c r="BO241" s="283"/>
      <c r="BP241" s="283"/>
      <c r="BQ241" s="283"/>
      <c r="BR241" s="283"/>
      <c r="BS241" s="283"/>
      <c r="BT241" s="283"/>
      <c r="BU241" s="283"/>
    </row>
    <row r="242" spans="1:73" ht="15.75" customHeight="1" thickBot="1">
      <c r="A242" s="298"/>
      <c r="B242" s="298"/>
      <c r="C242" s="301"/>
      <c r="D242" s="301"/>
      <c r="E242" s="301"/>
      <c r="F242" s="566"/>
      <c r="AO242" s="283"/>
      <c r="AP242" s="283"/>
      <c r="AQ242" s="283"/>
      <c r="AR242" s="283"/>
      <c r="AS242" s="283"/>
      <c r="AT242" s="283"/>
      <c r="AU242" s="283"/>
      <c r="AV242" s="283"/>
      <c r="AW242" s="283"/>
      <c r="AX242" s="283"/>
      <c r="AY242" s="283"/>
      <c r="AZ242" s="283"/>
      <c r="BA242" s="283"/>
      <c r="BB242" s="283"/>
      <c r="BC242" s="283"/>
      <c r="BD242" s="283"/>
      <c r="BE242" s="283"/>
      <c r="BF242" s="283"/>
      <c r="BG242" s="283"/>
      <c r="BH242" s="283"/>
      <c r="BI242" s="283"/>
      <c r="BJ242" s="283"/>
      <c r="BK242" s="283"/>
      <c r="BL242" s="283"/>
      <c r="BM242" s="283"/>
      <c r="BN242" s="283"/>
      <c r="BO242" s="283"/>
      <c r="BP242" s="283"/>
      <c r="BQ242" s="283"/>
      <c r="BR242" s="283"/>
      <c r="BS242" s="283"/>
      <c r="BT242" s="283"/>
      <c r="BU242" s="283"/>
    </row>
    <row r="243" spans="1:73" ht="15.75" customHeight="1" thickBot="1">
      <c r="A243" s="298"/>
      <c r="B243" s="298"/>
      <c r="C243" s="301"/>
      <c r="D243" s="301"/>
      <c r="E243" s="301"/>
      <c r="F243" s="566"/>
      <c r="AO243" s="283"/>
      <c r="AP243" s="283"/>
      <c r="AQ243" s="283"/>
      <c r="AR243" s="283"/>
      <c r="AS243" s="283"/>
      <c r="AT243" s="283"/>
      <c r="AU243" s="283"/>
      <c r="AV243" s="283"/>
      <c r="AW243" s="283"/>
      <c r="AX243" s="283"/>
      <c r="AY243" s="283"/>
      <c r="AZ243" s="283"/>
      <c r="BA243" s="283"/>
      <c r="BB243" s="283"/>
      <c r="BC243" s="283"/>
      <c r="BD243" s="283"/>
      <c r="BE243" s="283"/>
      <c r="BF243" s="283"/>
      <c r="BG243" s="283"/>
      <c r="BH243" s="283"/>
      <c r="BI243" s="283"/>
      <c r="BJ243" s="283"/>
      <c r="BK243" s="283"/>
      <c r="BL243" s="283"/>
      <c r="BM243" s="283"/>
      <c r="BN243" s="283"/>
      <c r="BO243" s="283"/>
      <c r="BP243" s="283"/>
      <c r="BQ243" s="283"/>
      <c r="BR243" s="283"/>
      <c r="BS243" s="283"/>
      <c r="BT243" s="283"/>
      <c r="BU243" s="283"/>
    </row>
    <row r="244" spans="1:73" ht="15.75" customHeight="1" thickBot="1">
      <c r="A244" s="298"/>
      <c r="B244" s="298"/>
      <c r="C244" s="301"/>
      <c r="D244" s="301"/>
      <c r="E244" s="301"/>
      <c r="F244" s="566"/>
      <c r="AO244" s="283"/>
      <c r="AP244" s="283"/>
      <c r="AQ244" s="283"/>
      <c r="AR244" s="283"/>
      <c r="AS244" s="283"/>
      <c r="AT244" s="283"/>
      <c r="AU244" s="283"/>
      <c r="AV244" s="283"/>
      <c r="AW244" s="283"/>
      <c r="AX244" s="283"/>
      <c r="AY244" s="283"/>
      <c r="AZ244" s="283"/>
      <c r="BA244" s="283"/>
      <c r="BB244" s="283"/>
      <c r="BC244" s="283"/>
      <c r="BD244" s="283"/>
      <c r="BE244" s="283"/>
      <c r="BF244" s="283"/>
      <c r="BG244" s="283"/>
      <c r="BH244" s="283"/>
      <c r="BI244" s="283"/>
      <c r="BJ244" s="283"/>
      <c r="BK244" s="283"/>
      <c r="BL244" s="283"/>
      <c r="BM244" s="283"/>
      <c r="BN244" s="283"/>
      <c r="BO244" s="283"/>
      <c r="BP244" s="283"/>
      <c r="BQ244" s="283"/>
      <c r="BR244" s="283"/>
      <c r="BS244" s="283"/>
      <c r="BT244" s="283"/>
      <c r="BU244" s="283"/>
    </row>
    <row r="245" spans="1:73" ht="15.75" customHeight="1" thickBot="1">
      <c r="A245" s="298"/>
      <c r="B245" s="298"/>
      <c r="C245" s="301"/>
      <c r="D245" s="301"/>
      <c r="E245" s="301"/>
      <c r="F245" s="566"/>
      <c r="AO245" s="283"/>
      <c r="AP245" s="283"/>
      <c r="AQ245" s="283"/>
      <c r="AR245" s="283"/>
      <c r="AS245" s="283"/>
      <c r="AT245" s="283"/>
      <c r="AU245" s="283"/>
      <c r="AV245" s="283"/>
      <c r="AW245" s="283"/>
      <c r="AX245" s="283"/>
      <c r="AY245" s="283"/>
      <c r="AZ245" s="283"/>
      <c r="BA245" s="283"/>
      <c r="BB245" s="283"/>
      <c r="BC245" s="283"/>
      <c r="BD245" s="283"/>
      <c r="BE245" s="283"/>
      <c r="BF245" s="283"/>
      <c r="BG245" s="283"/>
      <c r="BH245" s="283"/>
      <c r="BI245" s="283"/>
      <c r="BJ245" s="283"/>
      <c r="BK245" s="283"/>
      <c r="BL245" s="283"/>
      <c r="BM245" s="283"/>
      <c r="BN245" s="283"/>
      <c r="BO245" s="283"/>
      <c r="BP245" s="283"/>
      <c r="BQ245" s="283"/>
      <c r="BR245" s="283"/>
      <c r="BS245" s="283"/>
      <c r="BT245" s="283"/>
      <c r="BU245" s="283"/>
    </row>
    <row r="246" spans="1:73" ht="15.75" customHeight="1" thickBot="1">
      <c r="A246" s="298"/>
      <c r="B246" s="298"/>
      <c r="C246" s="301"/>
      <c r="D246" s="301"/>
      <c r="E246" s="301"/>
      <c r="F246" s="566"/>
      <c r="AO246" s="283"/>
      <c r="AP246" s="283"/>
      <c r="AQ246" s="283"/>
      <c r="AR246" s="283"/>
      <c r="AS246" s="283"/>
      <c r="AT246" s="283"/>
      <c r="AU246" s="283"/>
      <c r="AV246" s="283"/>
      <c r="AW246" s="283"/>
      <c r="AX246" s="283"/>
      <c r="AY246" s="283"/>
      <c r="AZ246" s="283"/>
      <c r="BA246" s="283"/>
      <c r="BB246" s="283"/>
      <c r="BC246" s="283"/>
      <c r="BD246" s="283"/>
      <c r="BE246" s="283"/>
      <c r="BF246" s="283"/>
      <c r="BG246" s="283"/>
      <c r="BH246" s="283"/>
      <c r="BI246" s="283"/>
      <c r="BJ246" s="283"/>
      <c r="BK246" s="283"/>
      <c r="BL246" s="283"/>
      <c r="BM246" s="283"/>
      <c r="BN246" s="283"/>
      <c r="BO246" s="283"/>
      <c r="BP246" s="283"/>
      <c r="BQ246" s="283"/>
      <c r="BR246" s="283"/>
      <c r="BS246" s="283"/>
      <c r="BT246" s="283"/>
      <c r="BU246" s="283"/>
    </row>
    <row r="247" spans="1:73" ht="15.75" customHeight="1" thickBot="1">
      <c r="A247" s="298"/>
      <c r="B247" s="298"/>
      <c r="C247" s="301"/>
      <c r="D247" s="301"/>
      <c r="E247" s="301"/>
      <c r="F247" s="566"/>
      <c r="AO247" s="283"/>
      <c r="AP247" s="283"/>
      <c r="AQ247" s="283"/>
      <c r="AR247" s="283"/>
      <c r="AS247" s="283"/>
      <c r="AT247" s="283"/>
      <c r="AU247" s="283"/>
      <c r="AV247" s="283"/>
      <c r="AW247" s="283"/>
      <c r="AX247" s="283"/>
      <c r="AY247" s="283"/>
      <c r="AZ247" s="283"/>
      <c r="BA247" s="283"/>
      <c r="BB247" s="283"/>
      <c r="BC247" s="283"/>
      <c r="BD247" s="283"/>
      <c r="BE247" s="283"/>
      <c r="BF247" s="283"/>
      <c r="BG247" s="283"/>
      <c r="BH247" s="283"/>
      <c r="BI247" s="283"/>
      <c r="BJ247" s="283"/>
      <c r="BK247" s="283"/>
      <c r="BL247" s="283"/>
      <c r="BM247" s="283"/>
      <c r="BN247" s="283"/>
      <c r="BO247" s="283"/>
      <c r="BP247" s="283"/>
      <c r="BQ247" s="283"/>
      <c r="BR247" s="283"/>
      <c r="BS247" s="283"/>
      <c r="BT247" s="283"/>
      <c r="BU247" s="283"/>
    </row>
    <row r="248" spans="1:73" ht="15.75" customHeight="1" thickBot="1">
      <c r="A248" s="298"/>
      <c r="B248" s="298"/>
      <c r="C248" s="301"/>
      <c r="D248" s="301"/>
      <c r="E248" s="283"/>
      <c r="F248" s="703"/>
      <c r="AO248" s="283"/>
      <c r="AP248" s="283"/>
      <c r="AQ248" s="283"/>
      <c r="AR248" s="283"/>
      <c r="AS248" s="283"/>
      <c r="AT248" s="283"/>
      <c r="AU248" s="283"/>
      <c r="AV248" s="283"/>
      <c r="AW248" s="283"/>
      <c r="AX248" s="283"/>
      <c r="AY248" s="283"/>
      <c r="AZ248" s="283"/>
      <c r="BA248" s="283"/>
      <c r="BB248" s="283"/>
      <c r="BC248" s="283"/>
      <c r="BD248" s="283"/>
      <c r="BE248" s="283"/>
      <c r="BF248" s="283"/>
      <c r="BG248" s="283"/>
      <c r="BH248" s="283"/>
      <c r="BI248" s="283"/>
      <c r="BJ248" s="283"/>
      <c r="BK248" s="283"/>
      <c r="BL248" s="283"/>
      <c r="BM248" s="283"/>
      <c r="BN248" s="283"/>
      <c r="BO248" s="283"/>
      <c r="BP248" s="283"/>
      <c r="BQ248" s="283"/>
      <c r="BR248" s="283"/>
      <c r="BS248" s="283"/>
      <c r="BT248" s="283"/>
      <c r="BU248" s="283"/>
    </row>
    <row r="249" spans="1:73" ht="15.75" customHeight="1" thickBot="1">
      <c r="A249" s="298"/>
      <c r="B249" s="298"/>
      <c r="C249" s="301"/>
      <c r="D249" s="301"/>
      <c r="E249" s="283"/>
      <c r="F249" s="703"/>
      <c r="AO249" s="283"/>
      <c r="AP249" s="283"/>
      <c r="AQ249" s="283"/>
      <c r="AR249" s="283"/>
      <c r="AS249" s="283"/>
      <c r="AT249" s="283"/>
      <c r="AU249" s="283"/>
      <c r="AV249" s="283"/>
      <c r="AW249" s="283"/>
      <c r="AX249" s="283"/>
      <c r="AY249" s="283"/>
      <c r="AZ249" s="283"/>
      <c r="BA249" s="283"/>
      <c r="BB249" s="283"/>
      <c r="BC249" s="283"/>
      <c r="BD249" s="283"/>
      <c r="BE249" s="283"/>
      <c r="BF249" s="283"/>
      <c r="BG249" s="283"/>
      <c r="BH249" s="283"/>
      <c r="BI249" s="283"/>
      <c r="BJ249" s="283"/>
      <c r="BK249" s="283"/>
      <c r="BL249" s="283"/>
      <c r="BM249" s="283"/>
      <c r="BN249" s="283"/>
      <c r="BO249" s="283"/>
      <c r="BP249" s="283"/>
      <c r="BQ249" s="283"/>
      <c r="BR249" s="283"/>
      <c r="BS249" s="283"/>
      <c r="BT249" s="283"/>
      <c r="BU249" s="283"/>
    </row>
    <row r="250" spans="1:73" ht="15.75" customHeight="1" thickBot="1">
      <c r="A250" s="298"/>
      <c r="B250" s="298"/>
      <c r="C250" s="301"/>
      <c r="D250" s="301"/>
      <c r="E250" s="283"/>
      <c r="F250" s="703"/>
      <c r="AO250" s="283"/>
      <c r="AP250" s="283"/>
      <c r="AQ250" s="283"/>
      <c r="AR250" s="283"/>
      <c r="AS250" s="283"/>
      <c r="AT250" s="283"/>
      <c r="AU250" s="283"/>
      <c r="AV250" s="283"/>
      <c r="AW250" s="283"/>
      <c r="AX250" s="283"/>
      <c r="AY250" s="283"/>
      <c r="AZ250" s="283"/>
      <c r="BA250" s="283"/>
      <c r="BB250" s="283"/>
      <c r="BC250" s="283"/>
      <c r="BD250" s="283"/>
      <c r="BE250" s="283"/>
      <c r="BF250" s="283"/>
      <c r="BG250" s="283"/>
      <c r="BH250" s="283"/>
      <c r="BI250" s="283"/>
      <c r="BJ250" s="283"/>
      <c r="BK250" s="283"/>
      <c r="BL250" s="283"/>
      <c r="BM250" s="283"/>
      <c r="BN250" s="283"/>
      <c r="BO250" s="283"/>
      <c r="BP250" s="283"/>
      <c r="BQ250" s="283"/>
      <c r="BR250" s="283"/>
      <c r="BS250" s="283"/>
      <c r="BT250" s="283"/>
      <c r="BU250" s="283"/>
    </row>
    <row r="251" spans="1:73" ht="15.75" customHeight="1" thickBot="1">
      <c r="A251" s="298"/>
      <c r="B251" s="298"/>
      <c r="C251" s="301"/>
      <c r="D251" s="301"/>
      <c r="E251" s="283"/>
      <c r="F251" s="703"/>
      <c r="AO251" s="283"/>
      <c r="AP251" s="283"/>
      <c r="AQ251" s="283"/>
      <c r="AR251" s="283"/>
      <c r="AS251" s="283"/>
      <c r="AT251" s="283"/>
      <c r="AU251" s="283"/>
      <c r="AV251" s="283"/>
      <c r="AW251" s="283"/>
      <c r="AX251" s="283"/>
      <c r="AY251" s="283"/>
      <c r="AZ251" s="283"/>
      <c r="BA251" s="283"/>
      <c r="BB251" s="283"/>
      <c r="BC251" s="283"/>
      <c r="BD251" s="283"/>
      <c r="BE251" s="283"/>
      <c r="BF251" s="283"/>
      <c r="BG251" s="283"/>
      <c r="BH251" s="283"/>
      <c r="BI251" s="283"/>
      <c r="BJ251" s="283"/>
      <c r="BK251" s="283"/>
      <c r="BL251" s="283"/>
      <c r="BM251" s="283"/>
      <c r="BN251" s="283"/>
      <c r="BO251" s="283"/>
      <c r="BP251" s="283"/>
      <c r="BQ251" s="283"/>
      <c r="BR251" s="283"/>
      <c r="BS251" s="283"/>
      <c r="BT251" s="283"/>
      <c r="BU251" s="283"/>
    </row>
    <row r="252" spans="1:73" ht="15.75" customHeight="1" thickBot="1">
      <c r="A252" s="298"/>
      <c r="B252" s="298"/>
      <c r="C252" s="301"/>
      <c r="D252" s="301"/>
      <c r="E252" s="283"/>
      <c r="F252" s="703"/>
      <c r="AO252" s="283"/>
      <c r="AP252" s="283"/>
      <c r="AQ252" s="283"/>
      <c r="AR252" s="283"/>
      <c r="AS252" s="283"/>
      <c r="AT252" s="283"/>
      <c r="AU252" s="283"/>
      <c r="AV252" s="283"/>
      <c r="AW252" s="283"/>
      <c r="AX252" s="283"/>
      <c r="AY252" s="283"/>
      <c r="AZ252" s="283"/>
      <c r="BA252" s="283"/>
      <c r="BB252" s="283"/>
      <c r="BC252" s="283"/>
      <c r="BD252" s="283"/>
      <c r="BE252" s="283"/>
      <c r="BF252" s="283"/>
      <c r="BG252" s="283"/>
      <c r="BH252" s="283"/>
      <c r="BI252" s="283"/>
      <c r="BJ252" s="283"/>
      <c r="BK252" s="283"/>
      <c r="BL252" s="283"/>
      <c r="BM252" s="283"/>
      <c r="BN252" s="283"/>
      <c r="BO252" s="283"/>
      <c r="BP252" s="283"/>
      <c r="BQ252" s="283"/>
      <c r="BR252" s="283"/>
      <c r="BS252" s="283"/>
      <c r="BT252" s="283"/>
      <c r="BU252" s="283"/>
    </row>
    <row r="253" spans="1:73" ht="15.75" customHeight="1" thickBot="1">
      <c r="A253" s="298"/>
      <c r="B253" s="298"/>
      <c r="C253" s="301"/>
      <c r="D253" s="301"/>
      <c r="E253" s="283"/>
      <c r="F253" s="703"/>
      <c r="AO253" s="283"/>
      <c r="AP253" s="283"/>
      <c r="AQ253" s="283"/>
      <c r="AR253" s="283"/>
      <c r="AS253" s="283"/>
      <c r="AT253" s="283"/>
      <c r="AU253" s="283"/>
      <c r="AV253" s="283"/>
      <c r="AW253" s="283"/>
      <c r="AX253" s="283"/>
      <c r="AY253" s="283"/>
      <c r="AZ253" s="283"/>
      <c r="BA253" s="283"/>
      <c r="BB253" s="283"/>
      <c r="BC253" s="283"/>
      <c r="BD253" s="283"/>
      <c r="BE253" s="283"/>
      <c r="BF253" s="283"/>
      <c r="BG253" s="283"/>
      <c r="BH253" s="283"/>
      <c r="BI253" s="283"/>
      <c r="BJ253" s="283"/>
      <c r="BK253" s="283"/>
      <c r="BL253" s="283"/>
      <c r="BM253" s="283"/>
      <c r="BN253" s="283"/>
      <c r="BO253" s="283"/>
      <c r="BP253" s="283"/>
      <c r="BQ253" s="283"/>
      <c r="BR253" s="283"/>
      <c r="BS253" s="283"/>
      <c r="BT253" s="283"/>
      <c r="BU253" s="283"/>
    </row>
    <row r="254" spans="1:73" ht="15.75" customHeight="1" thickBot="1">
      <c r="A254" s="298"/>
      <c r="B254" s="298"/>
      <c r="C254" s="301"/>
      <c r="D254" s="301"/>
      <c r="E254" s="283"/>
      <c r="F254" s="703"/>
      <c r="AO254" s="283"/>
      <c r="AP254" s="283"/>
      <c r="AQ254" s="283"/>
      <c r="AR254" s="283"/>
      <c r="AS254" s="283"/>
      <c r="AT254" s="283"/>
      <c r="AU254" s="283"/>
      <c r="AV254" s="283"/>
      <c r="AW254" s="283"/>
      <c r="AX254" s="283"/>
      <c r="AY254" s="283"/>
      <c r="AZ254" s="283"/>
      <c r="BA254" s="283"/>
      <c r="BB254" s="283"/>
      <c r="BC254" s="283"/>
      <c r="BD254" s="283"/>
      <c r="BE254" s="283"/>
      <c r="BF254" s="283"/>
      <c r="BG254" s="283"/>
      <c r="BH254" s="283"/>
      <c r="BI254" s="283"/>
      <c r="BJ254" s="283"/>
      <c r="BK254" s="283"/>
      <c r="BL254" s="283"/>
      <c r="BM254" s="283"/>
      <c r="BN254" s="283"/>
      <c r="BO254" s="283"/>
      <c r="BP254" s="283"/>
      <c r="BQ254" s="283"/>
      <c r="BR254" s="283"/>
      <c r="BS254" s="283"/>
      <c r="BT254" s="283"/>
      <c r="BU254" s="283"/>
    </row>
    <row r="255" spans="1:73" ht="15.75" customHeight="1" thickBot="1">
      <c r="A255" s="298"/>
      <c r="B255" s="298"/>
      <c r="C255" s="301"/>
      <c r="D255" s="301"/>
      <c r="E255" s="283"/>
      <c r="F255" s="703"/>
      <c r="AO255" s="283"/>
      <c r="AP255" s="283"/>
      <c r="AQ255" s="283"/>
      <c r="AR255" s="283"/>
      <c r="AS255" s="283"/>
      <c r="AT255" s="283"/>
      <c r="AU255" s="283"/>
      <c r="AV255" s="283"/>
      <c r="AW255" s="283"/>
      <c r="AX255" s="283"/>
      <c r="AY255" s="283"/>
      <c r="AZ255" s="283"/>
      <c r="BA255" s="283"/>
      <c r="BB255" s="283"/>
      <c r="BC255" s="283"/>
      <c r="BD255" s="283"/>
      <c r="BE255" s="283"/>
      <c r="BF255" s="283"/>
      <c r="BG255" s="283"/>
      <c r="BH255" s="283"/>
      <c r="BI255" s="283"/>
      <c r="BJ255" s="283"/>
      <c r="BK255" s="283"/>
      <c r="BL255" s="283"/>
      <c r="BM255" s="283"/>
      <c r="BN255" s="283"/>
      <c r="BO255" s="283"/>
      <c r="BP255" s="283"/>
      <c r="BQ255" s="283"/>
      <c r="BR255" s="283"/>
      <c r="BS255" s="283"/>
      <c r="BT255" s="283"/>
      <c r="BU255" s="283"/>
    </row>
    <row r="256" spans="1:73" ht="15.75" customHeight="1" thickBot="1">
      <c r="A256" s="298"/>
      <c r="B256" s="298"/>
      <c r="C256" s="301"/>
      <c r="D256" s="301"/>
      <c r="E256" s="283"/>
      <c r="F256" s="703"/>
      <c r="AO256" s="283"/>
      <c r="AP256" s="283"/>
      <c r="AQ256" s="283"/>
      <c r="AR256" s="283"/>
      <c r="AS256" s="283"/>
      <c r="AT256" s="283"/>
      <c r="AU256" s="283"/>
      <c r="AV256" s="283"/>
      <c r="AW256" s="283"/>
      <c r="AX256" s="283"/>
      <c r="AY256" s="283"/>
      <c r="AZ256" s="283"/>
      <c r="BA256" s="283"/>
      <c r="BB256" s="283"/>
      <c r="BC256" s="283"/>
      <c r="BD256" s="283"/>
      <c r="BE256" s="283"/>
      <c r="BF256" s="283"/>
      <c r="BG256" s="283"/>
      <c r="BH256" s="283"/>
      <c r="BI256" s="283"/>
      <c r="BJ256" s="283"/>
      <c r="BK256" s="283"/>
      <c r="BL256" s="283"/>
      <c r="BM256" s="283"/>
      <c r="BN256" s="283"/>
      <c r="BO256" s="283"/>
      <c r="BP256" s="283"/>
      <c r="BQ256" s="283"/>
      <c r="BR256" s="283"/>
      <c r="BS256" s="283"/>
      <c r="BT256" s="283"/>
      <c r="BU256" s="283"/>
    </row>
    <row r="257" spans="1:73" ht="15.75" customHeight="1" thickBot="1">
      <c r="A257" s="298"/>
      <c r="B257" s="298"/>
      <c r="C257" s="301"/>
      <c r="D257" s="301"/>
      <c r="E257" s="283"/>
      <c r="F257" s="703"/>
      <c r="AO257" s="283"/>
      <c r="AP257" s="283"/>
      <c r="AQ257" s="283"/>
      <c r="AR257" s="283"/>
      <c r="AS257" s="283"/>
      <c r="AT257" s="283"/>
      <c r="AU257" s="283"/>
      <c r="AV257" s="283"/>
      <c r="AW257" s="283"/>
      <c r="AX257" s="283"/>
      <c r="AY257" s="283"/>
      <c r="AZ257" s="283"/>
      <c r="BA257" s="283"/>
      <c r="BB257" s="283"/>
      <c r="BC257" s="283"/>
      <c r="BD257" s="283"/>
      <c r="BE257" s="283"/>
      <c r="BF257" s="283"/>
      <c r="BG257" s="283"/>
      <c r="BH257" s="283"/>
      <c r="BI257" s="283"/>
      <c r="BJ257" s="283"/>
      <c r="BK257" s="283"/>
      <c r="BL257" s="283"/>
      <c r="BM257" s="283"/>
      <c r="BN257" s="283"/>
      <c r="BO257" s="283"/>
      <c r="BP257" s="283"/>
      <c r="BQ257" s="283"/>
      <c r="BR257" s="283"/>
      <c r="BS257" s="283"/>
      <c r="BT257" s="283"/>
      <c r="BU257" s="283"/>
    </row>
    <row r="258" spans="1:73" ht="15.75" customHeight="1" thickBot="1">
      <c r="A258" s="298"/>
      <c r="B258" s="298"/>
      <c r="C258" s="301"/>
      <c r="D258" s="301"/>
      <c r="E258" s="283"/>
      <c r="F258" s="703"/>
      <c r="AO258" s="283"/>
      <c r="AP258" s="283"/>
      <c r="AQ258" s="283"/>
      <c r="AR258" s="283"/>
      <c r="AS258" s="283"/>
      <c r="AT258" s="283"/>
      <c r="AU258" s="283"/>
      <c r="AV258" s="283"/>
      <c r="AW258" s="283"/>
      <c r="AX258" s="283"/>
      <c r="AY258" s="283"/>
      <c r="AZ258" s="283"/>
      <c r="BA258" s="283"/>
      <c r="BB258" s="283"/>
      <c r="BC258" s="283"/>
      <c r="BD258" s="283"/>
      <c r="BE258" s="283"/>
      <c r="BF258" s="283"/>
      <c r="BG258" s="283"/>
      <c r="BH258" s="283"/>
      <c r="BI258" s="283"/>
      <c r="BJ258" s="283"/>
      <c r="BK258" s="283"/>
      <c r="BL258" s="283"/>
      <c r="BM258" s="283"/>
      <c r="BN258" s="283"/>
      <c r="BO258" s="283"/>
      <c r="BP258" s="283"/>
      <c r="BQ258" s="283"/>
      <c r="BR258" s="283"/>
      <c r="BS258" s="283"/>
      <c r="BT258" s="283"/>
      <c r="BU258" s="283"/>
    </row>
    <row r="259" spans="1:73" ht="15.75" customHeight="1" thickBot="1">
      <c r="A259" s="298"/>
      <c r="B259" s="298"/>
      <c r="C259" s="301"/>
      <c r="D259" s="301"/>
      <c r="E259" s="283"/>
      <c r="F259" s="703"/>
      <c r="AO259" s="283"/>
      <c r="AP259" s="283"/>
      <c r="AQ259" s="283"/>
      <c r="AR259" s="283"/>
      <c r="AS259" s="283"/>
      <c r="AT259" s="283"/>
      <c r="AU259" s="283"/>
      <c r="AV259" s="283"/>
      <c r="AW259" s="283"/>
      <c r="AX259" s="283"/>
      <c r="AY259" s="283"/>
      <c r="AZ259" s="283"/>
      <c r="BA259" s="283"/>
      <c r="BB259" s="283"/>
      <c r="BC259" s="283"/>
      <c r="BD259" s="283"/>
      <c r="BE259" s="283"/>
      <c r="BF259" s="283"/>
      <c r="BG259" s="283"/>
      <c r="BH259" s="283"/>
      <c r="BI259" s="283"/>
      <c r="BJ259" s="283"/>
      <c r="BK259" s="283"/>
      <c r="BL259" s="283"/>
      <c r="BM259" s="283"/>
      <c r="BN259" s="283"/>
      <c r="BO259" s="283"/>
      <c r="BP259" s="283"/>
      <c r="BQ259" s="283"/>
      <c r="BR259" s="283"/>
      <c r="BS259" s="283"/>
      <c r="BT259" s="283"/>
      <c r="BU259" s="283"/>
    </row>
    <row r="260" spans="1:73" ht="15.75" customHeight="1" thickBot="1">
      <c r="A260" s="298"/>
      <c r="B260" s="298"/>
      <c r="C260" s="301"/>
      <c r="D260" s="301"/>
      <c r="E260" s="283"/>
      <c r="F260" s="703"/>
      <c r="AO260" s="283"/>
      <c r="AP260" s="283"/>
      <c r="AQ260" s="283"/>
      <c r="AR260" s="283"/>
      <c r="AS260" s="283"/>
      <c r="AT260" s="283"/>
      <c r="AU260" s="283"/>
      <c r="AV260" s="283"/>
      <c r="AW260" s="283"/>
      <c r="AX260" s="283"/>
      <c r="AY260" s="283"/>
      <c r="AZ260" s="283"/>
      <c r="BA260" s="283"/>
      <c r="BB260" s="283"/>
      <c r="BC260" s="283"/>
      <c r="BD260" s="283"/>
      <c r="BE260" s="283"/>
      <c r="BF260" s="283"/>
      <c r="BG260" s="283"/>
      <c r="BH260" s="283"/>
      <c r="BI260" s="283"/>
      <c r="BJ260" s="283"/>
      <c r="BK260" s="283"/>
      <c r="BL260" s="283"/>
      <c r="BM260" s="283"/>
      <c r="BN260" s="283"/>
      <c r="BO260" s="283"/>
      <c r="BP260" s="283"/>
      <c r="BQ260" s="283"/>
      <c r="BR260" s="283"/>
      <c r="BS260" s="283"/>
      <c r="BT260" s="283"/>
      <c r="BU260" s="283"/>
    </row>
    <row r="261" spans="1:73" ht="15.75" customHeight="1" thickBot="1">
      <c r="A261" s="298"/>
      <c r="B261" s="298"/>
      <c r="C261" s="301"/>
      <c r="D261" s="301"/>
      <c r="E261" s="283"/>
      <c r="F261" s="703"/>
      <c r="AO261" s="283"/>
      <c r="AP261" s="283"/>
      <c r="AQ261" s="283"/>
      <c r="AR261" s="283"/>
      <c r="AS261" s="283"/>
      <c r="AT261" s="283"/>
      <c r="AU261" s="283"/>
      <c r="AV261" s="283"/>
      <c r="AW261" s="283"/>
      <c r="AX261" s="283"/>
      <c r="AY261" s="283"/>
      <c r="AZ261" s="283"/>
      <c r="BA261" s="283"/>
      <c r="BB261" s="283"/>
      <c r="BC261" s="283"/>
      <c r="BD261" s="283"/>
      <c r="BE261" s="283"/>
      <c r="BF261" s="283"/>
      <c r="BG261" s="283"/>
      <c r="BH261" s="283"/>
      <c r="BI261" s="283"/>
      <c r="BJ261" s="283"/>
      <c r="BK261" s="283"/>
      <c r="BL261" s="283"/>
      <c r="BM261" s="283"/>
      <c r="BN261" s="283"/>
      <c r="BO261" s="283"/>
      <c r="BP261" s="283"/>
      <c r="BQ261" s="283"/>
      <c r="BR261" s="283"/>
      <c r="BS261" s="283"/>
      <c r="BT261" s="283"/>
      <c r="BU261" s="283"/>
    </row>
    <row r="262" spans="1:73" ht="15.75" customHeight="1" thickBot="1">
      <c r="A262" s="298"/>
      <c r="B262" s="298"/>
      <c r="C262" s="301"/>
      <c r="D262" s="301"/>
      <c r="E262" s="301"/>
      <c r="F262" s="566"/>
      <c r="AO262" s="283"/>
      <c r="AP262" s="283"/>
      <c r="AQ262" s="283"/>
      <c r="AR262" s="283"/>
      <c r="AS262" s="283"/>
      <c r="AT262" s="283"/>
      <c r="AU262" s="283"/>
      <c r="AV262" s="283"/>
      <c r="AW262" s="283"/>
      <c r="AX262" s="283"/>
      <c r="AY262" s="283"/>
      <c r="AZ262" s="283"/>
      <c r="BA262" s="283"/>
      <c r="BB262" s="283"/>
      <c r="BC262" s="283"/>
      <c r="BD262" s="283"/>
      <c r="BE262" s="283"/>
      <c r="BF262" s="283"/>
      <c r="BG262" s="283"/>
      <c r="BH262" s="283"/>
      <c r="BI262" s="283"/>
      <c r="BJ262" s="283"/>
      <c r="BK262" s="283"/>
      <c r="BL262" s="283"/>
      <c r="BM262" s="283"/>
      <c r="BN262" s="283"/>
      <c r="BO262" s="283"/>
      <c r="BP262" s="283"/>
      <c r="BQ262" s="283"/>
      <c r="BR262" s="283"/>
      <c r="BS262" s="283"/>
      <c r="BT262" s="283"/>
      <c r="BU262" s="283"/>
    </row>
    <row r="263" spans="1:73" ht="15.75" customHeight="1" thickBot="1">
      <c r="A263" s="298"/>
      <c r="B263" s="298"/>
      <c r="C263" s="301"/>
      <c r="D263" s="301"/>
      <c r="E263" s="301"/>
      <c r="F263" s="566"/>
      <c r="AO263" s="283"/>
      <c r="AP263" s="283"/>
      <c r="AQ263" s="283"/>
      <c r="AR263" s="283"/>
      <c r="AS263" s="283"/>
      <c r="AT263" s="283"/>
      <c r="AU263" s="283"/>
      <c r="AV263" s="283"/>
      <c r="AW263" s="283"/>
      <c r="AX263" s="283"/>
      <c r="AY263" s="283"/>
      <c r="AZ263" s="283"/>
      <c r="BA263" s="283"/>
      <c r="BB263" s="283"/>
      <c r="BC263" s="283"/>
      <c r="BD263" s="283"/>
      <c r="BE263" s="283"/>
      <c r="BF263" s="283"/>
      <c r="BG263" s="283"/>
      <c r="BH263" s="283"/>
      <c r="BI263" s="283"/>
      <c r="BJ263" s="283"/>
      <c r="BK263" s="283"/>
      <c r="BL263" s="283"/>
      <c r="BM263" s="283"/>
      <c r="BN263" s="283"/>
      <c r="BO263" s="283"/>
      <c r="BP263" s="283"/>
      <c r="BQ263" s="283"/>
      <c r="BR263" s="283"/>
      <c r="BS263" s="283"/>
      <c r="BT263" s="283"/>
      <c r="BU263" s="283"/>
    </row>
    <row r="264" spans="1:73" ht="15.75" customHeight="1" thickBot="1">
      <c r="A264" s="298"/>
      <c r="B264" s="298"/>
      <c r="C264" s="301"/>
      <c r="D264" s="301"/>
      <c r="E264" s="301"/>
      <c r="F264" s="566"/>
      <c r="AO264" s="283"/>
      <c r="AP264" s="283"/>
      <c r="AQ264" s="283"/>
      <c r="AR264" s="283"/>
      <c r="AS264" s="283"/>
      <c r="AT264" s="283"/>
      <c r="AU264" s="283"/>
      <c r="AV264" s="283"/>
      <c r="AW264" s="283"/>
      <c r="AX264" s="283"/>
      <c r="AY264" s="283"/>
      <c r="AZ264" s="283"/>
      <c r="BA264" s="283"/>
      <c r="BB264" s="283"/>
      <c r="BC264" s="283"/>
      <c r="BD264" s="283"/>
      <c r="BE264" s="283"/>
      <c r="BF264" s="283"/>
      <c r="BG264" s="283"/>
      <c r="BH264" s="283"/>
      <c r="BI264" s="283"/>
      <c r="BJ264" s="283"/>
      <c r="BK264" s="283"/>
      <c r="BL264" s="283"/>
      <c r="BM264" s="283"/>
      <c r="BN264" s="283"/>
      <c r="BO264" s="283"/>
      <c r="BP264" s="283"/>
      <c r="BQ264" s="283"/>
      <c r="BR264" s="283"/>
      <c r="BS264" s="283"/>
      <c r="BT264" s="283"/>
      <c r="BU264" s="283"/>
    </row>
    <row r="265" spans="1:73" ht="15.75" customHeight="1" thickBot="1">
      <c r="A265" s="298"/>
      <c r="B265" s="298"/>
      <c r="C265" s="301"/>
      <c r="D265" s="301"/>
      <c r="E265" s="301"/>
      <c r="F265" s="566"/>
      <c r="AO265" s="283"/>
      <c r="AP265" s="283"/>
      <c r="AQ265" s="283"/>
      <c r="AR265" s="283"/>
      <c r="AS265" s="283"/>
      <c r="AT265" s="283"/>
      <c r="AU265" s="283"/>
      <c r="AV265" s="283"/>
      <c r="AW265" s="283"/>
      <c r="AX265" s="283"/>
      <c r="AY265" s="283"/>
      <c r="AZ265" s="283"/>
      <c r="BA265" s="283"/>
      <c r="BB265" s="283"/>
      <c r="BC265" s="283"/>
      <c r="BD265" s="283"/>
      <c r="BE265" s="283"/>
      <c r="BF265" s="283"/>
      <c r="BG265" s="283"/>
      <c r="BH265" s="283"/>
      <c r="BI265" s="283"/>
      <c r="BJ265" s="283"/>
      <c r="BK265" s="283"/>
      <c r="BL265" s="283"/>
      <c r="BM265" s="283"/>
      <c r="BN265" s="283"/>
      <c r="BO265" s="283"/>
      <c r="BP265" s="283"/>
      <c r="BQ265" s="283"/>
      <c r="BR265" s="283"/>
      <c r="BS265" s="283"/>
      <c r="BT265" s="283"/>
      <c r="BU265" s="283"/>
    </row>
    <row r="266" spans="1:73" ht="15.75" customHeight="1" thickBot="1">
      <c r="A266" s="298"/>
      <c r="B266" s="298"/>
      <c r="C266" s="301"/>
      <c r="D266" s="301"/>
      <c r="E266" s="301"/>
      <c r="F266" s="566"/>
      <c r="AO266" s="283"/>
      <c r="AP266" s="283"/>
      <c r="AQ266" s="283"/>
      <c r="AR266" s="283"/>
      <c r="AS266" s="283"/>
      <c r="AT266" s="283"/>
      <c r="AU266" s="283"/>
      <c r="AV266" s="283"/>
      <c r="AW266" s="283"/>
      <c r="AX266" s="283"/>
      <c r="AY266" s="283"/>
      <c r="AZ266" s="283"/>
      <c r="BA266" s="283"/>
      <c r="BB266" s="283"/>
      <c r="BC266" s="283"/>
      <c r="BD266" s="283"/>
      <c r="BE266" s="283"/>
      <c r="BF266" s="283"/>
      <c r="BG266" s="283"/>
      <c r="BH266" s="283"/>
      <c r="BI266" s="283"/>
      <c r="BJ266" s="283"/>
      <c r="BK266" s="283"/>
      <c r="BL266" s="283"/>
      <c r="BM266" s="283"/>
      <c r="BN266" s="283"/>
      <c r="BO266" s="283"/>
      <c r="BP266" s="283"/>
      <c r="BQ266" s="283"/>
      <c r="BR266" s="283"/>
      <c r="BS266" s="283"/>
      <c r="BT266" s="283"/>
      <c r="BU266" s="283"/>
    </row>
    <row r="267" spans="1:73" ht="15.75" customHeight="1" thickBot="1">
      <c r="A267" s="298"/>
      <c r="B267" s="298"/>
      <c r="C267" s="301"/>
      <c r="D267" s="301"/>
      <c r="E267" s="301"/>
      <c r="F267" s="566"/>
      <c r="AO267" s="283"/>
      <c r="AP267" s="283"/>
      <c r="AQ267" s="283"/>
      <c r="AR267" s="283"/>
      <c r="AS267" s="283"/>
      <c r="AT267" s="283"/>
      <c r="AU267" s="283"/>
      <c r="AV267" s="283"/>
      <c r="AW267" s="283"/>
      <c r="AX267" s="283"/>
      <c r="AY267" s="283"/>
      <c r="AZ267" s="283"/>
      <c r="BA267" s="283"/>
      <c r="BB267" s="283"/>
      <c r="BC267" s="283"/>
      <c r="BD267" s="283"/>
      <c r="BE267" s="283"/>
      <c r="BF267" s="283"/>
      <c r="BG267" s="283"/>
      <c r="BH267" s="283"/>
      <c r="BI267" s="283"/>
      <c r="BJ267" s="283"/>
      <c r="BK267" s="283"/>
      <c r="BL267" s="283"/>
      <c r="BM267" s="283"/>
      <c r="BN267" s="283"/>
      <c r="BO267" s="283"/>
      <c r="BP267" s="283"/>
      <c r="BQ267" s="283"/>
      <c r="BR267" s="283"/>
      <c r="BS267" s="283"/>
      <c r="BT267" s="283"/>
      <c r="BU267" s="283"/>
    </row>
    <row r="268" spans="1:73" ht="15.75" customHeight="1" thickBot="1">
      <c r="A268" s="298"/>
      <c r="B268" s="298"/>
      <c r="C268" s="301"/>
      <c r="D268" s="301"/>
      <c r="E268" s="301"/>
      <c r="F268" s="566"/>
      <c r="AO268" s="283"/>
      <c r="AP268" s="283"/>
      <c r="AQ268" s="283"/>
      <c r="AR268" s="283"/>
      <c r="AS268" s="283"/>
      <c r="AT268" s="283"/>
      <c r="AU268" s="283"/>
      <c r="AV268" s="283"/>
      <c r="AW268" s="283"/>
      <c r="AX268" s="283"/>
      <c r="AY268" s="283"/>
      <c r="AZ268" s="283"/>
      <c r="BA268" s="283"/>
      <c r="BB268" s="283"/>
      <c r="BC268" s="283"/>
      <c r="BD268" s="283"/>
      <c r="BE268" s="283"/>
      <c r="BF268" s="283"/>
      <c r="BG268" s="283"/>
      <c r="BH268" s="283"/>
      <c r="BI268" s="283"/>
      <c r="BJ268" s="283"/>
      <c r="BK268" s="283"/>
      <c r="BL268" s="283"/>
      <c r="BM268" s="283"/>
      <c r="BN268" s="283"/>
      <c r="BO268" s="283"/>
      <c r="BP268" s="283"/>
      <c r="BQ268" s="283"/>
      <c r="BR268" s="283"/>
      <c r="BS268" s="283"/>
      <c r="BT268" s="283"/>
      <c r="BU268" s="283"/>
    </row>
    <row r="269" spans="1:73" s="559" customFormat="1" ht="15.75" customHeight="1" thickBot="1">
      <c r="A269" s="557"/>
      <c r="B269" s="557"/>
      <c r="C269" s="558"/>
      <c r="D269" s="558"/>
      <c r="E269" s="558"/>
      <c r="F269" s="573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  <c r="AA269" s="134"/>
      <c r="AB269" s="134"/>
      <c r="AC269" s="134"/>
      <c r="AD269" s="134"/>
      <c r="AE269" s="134"/>
      <c r="AF269" s="134"/>
      <c r="AG269" s="134"/>
      <c r="AH269" s="134"/>
      <c r="AI269" s="134"/>
      <c r="AJ269" s="134"/>
      <c r="AK269" s="134"/>
      <c r="AL269" s="134"/>
      <c r="AM269" s="134"/>
      <c r="AN269" s="134"/>
      <c r="AO269" s="134"/>
      <c r="AP269" s="134"/>
      <c r="AQ269" s="134"/>
      <c r="AR269" s="134"/>
      <c r="AS269" s="134"/>
      <c r="AT269" s="134"/>
      <c r="AU269" s="134"/>
      <c r="AV269" s="134"/>
      <c r="AW269" s="134"/>
      <c r="AX269" s="134"/>
      <c r="AY269" s="134"/>
      <c r="AZ269" s="134"/>
      <c r="BA269" s="134"/>
      <c r="BB269" s="134"/>
      <c r="BC269" s="134"/>
      <c r="BD269" s="134"/>
      <c r="BE269" s="134"/>
      <c r="BF269" s="134"/>
      <c r="BG269" s="134"/>
      <c r="BH269" s="134"/>
      <c r="BI269" s="134"/>
      <c r="BJ269" s="134"/>
      <c r="BK269" s="134"/>
      <c r="BL269" s="134"/>
      <c r="BM269" s="134"/>
      <c r="BN269" s="134"/>
      <c r="BO269" s="134"/>
      <c r="BP269" s="134"/>
      <c r="BQ269" s="134"/>
      <c r="BR269" s="134"/>
      <c r="BS269" s="134"/>
      <c r="BT269" s="134"/>
      <c r="BU269" s="134"/>
    </row>
    <row r="270" spans="1:73" s="559" customFormat="1" ht="15.75" customHeight="1" thickBot="1">
      <c r="A270" s="557"/>
      <c r="B270" s="557"/>
      <c r="C270" s="558"/>
      <c r="D270" s="558"/>
      <c r="E270" s="558"/>
      <c r="F270" s="573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  <c r="AA270" s="134"/>
      <c r="AB270" s="134"/>
      <c r="AC270" s="134"/>
      <c r="AD270" s="134"/>
      <c r="AE270" s="134"/>
      <c r="AF270" s="134"/>
      <c r="AG270" s="134"/>
      <c r="AH270" s="134"/>
      <c r="AI270" s="134"/>
      <c r="AJ270" s="134"/>
      <c r="AK270" s="134"/>
      <c r="AL270" s="134"/>
      <c r="AM270" s="134"/>
      <c r="AN270" s="134"/>
      <c r="AO270" s="134"/>
      <c r="AP270" s="134"/>
      <c r="AQ270" s="134"/>
      <c r="AR270" s="134"/>
      <c r="AS270" s="134"/>
      <c r="AT270" s="134"/>
      <c r="AU270" s="134"/>
      <c r="AV270" s="134"/>
      <c r="AW270" s="134"/>
      <c r="AX270" s="134"/>
      <c r="AY270" s="134"/>
      <c r="AZ270" s="134"/>
      <c r="BA270" s="134"/>
      <c r="BB270" s="134"/>
      <c r="BC270" s="134"/>
      <c r="BD270" s="134"/>
      <c r="BE270" s="134"/>
      <c r="BF270" s="134"/>
      <c r="BG270" s="134"/>
      <c r="BH270" s="134"/>
      <c r="BI270" s="134"/>
      <c r="BJ270" s="134"/>
      <c r="BK270" s="134"/>
      <c r="BL270" s="134"/>
      <c r="BM270" s="134"/>
      <c r="BN270" s="134"/>
      <c r="BO270" s="134"/>
      <c r="BP270" s="134"/>
      <c r="BQ270" s="134"/>
      <c r="BR270" s="134"/>
      <c r="BS270" s="134"/>
      <c r="BT270" s="134"/>
      <c r="BU270" s="134"/>
    </row>
    <row r="271" spans="1:73" s="559" customFormat="1" ht="15.75" customHeight="1" thickBot="1">
      <c r="A271" s="557"/>
      <c r="B271" s="557"/>
      <c r="C271" s="558"/>
      <c r="D271" s="558"/>
      <c r="E271" s="558"/>
      <c r="F271" s="573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  <c r="AF271" s="134"/>
      <c r="AG271" s="134"/>
      <c r="AH271" s="134"/>
      <c r="AI271" s="134"/>
      <c r="AJ271" s="134"/>
      <c r="AK271" s="134"/>
      <c r="AL271" s="134"/>
      <c r="AM271" s="134"/>
      <c r="AN271" s="134"/>
      <c r="AO271" s="134"/>
      <c r="AP271" s="134"/>
      <c r="AQ271" s="134"/>
      <c r="AR271" s="134"/>
      <c r="AS271" s="134"/>
      <c r="AT271" s="134"/>
      <c r="AU271" s="134"/>
      <c r="AV271" s="134"/>
      <c r="AW271" s="134"/>
      <c r="AX271" s="134"/>
      <c r="AY271" s="134"/>
      <c r="AZ271" s="134"/>
      <c r="BA271" s="134"/>
      <c r="BB271" s="134"/>
      <c r="BC271" s="134"/>
      <c r="BD271" s="134"/>
      <c r="BE271" s="134"/>
      <c r="BF271" s="134"/>
      <c r="BG271" s="134"/>
      <c r="BH271" s="134"/>
      <c r="BI271" s="134"/>
      <c r="BJ271" s="134"/>
      <c r="BK271" s="134"/>
      <c r="BL271" s="134"/>
      <c r="BM271" s="134"/>
      <c r="BN271" s="134"/>
      <c r="BO271" s="134"/>
      <c r="BP271" s="134"/>
      <c r="BQ271" s="134"/>
      <c r="BR271" s="134"/>
      <c r="BS271" s="134"/>
      <c r="BT271" s="134"/>
      <c r="BU271" s="134"/>
    </row>
    <row r="272" spans="1:73" s="559" customFormat="1" ht="15.75" customHeight="1" thickBot="1">
      <c r="A272" s="557"/>
      <c r="B272" s="557"/>
      <c r="C272" s="558"/>
      <c r="D272" s="558"/>
      <c r="E272" s="558"/>
      <c r="F272" s="573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  <c r="AF272" s="134"/>
      <c r="AG272" s="134"/>
      <c r="AH272" s="134"/>
      <c r="AI272" s="134"/>
      <c r="AJ272" s="134"/>
      <c r="AK272" s="134"/>
      <c r="AL272" s="134"/>
      <c r="AM272" s="134"/>
      <c r="AN272" s="134"/>
      <c r="AO272" s="134"/>
      <c r="AP272" s="134"/>
      <c r="AQ272" s="134"/>
      <c r="AR272" s="134"/>
      <c r="AS272" s="134"/>
      <c r="AT272" s="134"/>
      <c r="AU272" s="134"/>
      <c r="AV272" s="134"/>
      <c r="AW272" s="134"/>
      <c r="AX272" s="134"/>
      <c r="AY272" s="134"/>
      <c r="AZ272" s="134"/>
      <c r="BA272" s="134"/>
      <c r="BB272" s="134"/>
      <c r="BC272" s="134"/>
      <c r="BD272" s="134"/>
      <c r="BE272" s="134"/>
      <c r="BF272" s="134"/>
      <c r="BG272" s="134"/>
      <c r="BH272" s="134"/>
      <c r="BI272" s="134"/>
      <c r="BJ272" s="134"/>
      <c r="BK272" s="134"/>
      <c r="BL272" s="134"/>
      <c r="BM272" s="134"/>
      <c r="BN272" s="134"/>
      <c r="BO272" s="134"/>
      <c r="BP272" s="134"/>
      <c r="BQ272" s="134"/>
      <c r="BR272" s="134"/>
      <c r="BS272" s="134"/>
      <c r="BT272" s="134"/>
      <c r="BU272" s="134"/>
    </row>
    <row r="273" spans="1:73" s="559" customFormat="1" ht="15.75" customHeight="1" thickBot="1">
      <c r="A273" s="557"/>
      <c r="B273" s="557"/>
      <c r="C273" s="558"/>
      <c r="D273" s="558"/>
      <c r="E273" s="558"/>
      <c r="F273" s="573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  <c r="AA273" s="134"/>
      <c r="AB273" s="134"/>
      <c r="AC273" s="134"/>
      <c r="AD273" s="134"/>
      <c r="AE273" s="134"/>
      <c r="AF273" s="134"/>
      <c r="AG273" s="134"/>
      <c r="AH273" s="134"/>
      <c r="AI273" s="134"/>
      <c r="AJ273" s="134"/>
      <c r="AK273" s="134"/>
      <c r="AL273" s="134"/>
      <c r="AM273" s="134"/>
      <c r="AN273" s="134"/>
      <c r="AO273" s="134"/>
      <c r="AP273" s="134"/>
      <c r="AQ273" s="134"/>
      <c r="AR273" s="134"/>
      <c r="AS273" s="134"/>
      <c r="AT273" s="134"/>
      <c r="AU273" s="134"/>
      <c r="AV273" s="134"/>
      <c r="AW273" s="134"/>
      <c r="AX273" s="134"/>
      <c r="AY273" s="134"/>
      <c r="AZ273" s="134"/>
      <c r="BA273" s="134"/>
      <c r="BB273" s="134"/>
      <c r="BC273" s="134"/>
      <c r="BD273" s="134"/>
      <c r="BE273" s="134"/>
      <c r="BF273" s="134"/>
      <c r="BG273" s="134"/>
      <c r="BH273" s="134"/>
      <c r="BI273" s="134"/>
      <c r="BJ273" s="134"/>
      <c r="BK273" s="134"/>
      <c r="BL273" s="134"/>
      <c r="BM273" s="134"/>
      <c r="BN273" s="134"/>
      <c r="BO273" s="134"/>
      <c r="BP273" s="134"/>
      <c r="BQ273" s="134"/>
      <c r="BR273" s="134"/>
      <c r="BS273" s="134"/>
      <c r="BT273" s="134"/>
      <c r="BU273" s="134"/>
    </row>
    <row r="274" spans="1:73" s="559" customFormat="1" ht="15.75" customHeight="1" thickBot="1">
      <c r="A274" s="557"/>
      <c r="B274" s="557"/>
      <c r="C274" s="558"/>
      <c r="D274" s="558"/>
      <c r="E274" s="558"/>
      <c r="F274" s="573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  <c r="AA274" s="134"/>
      <c r="AB274" s="134"/>
      <c r="AC274" s="134"/>
      <c r="AD274" s="134"/>
      <c r="AE274" s="134"/>
      <c r="AF274" s="134"/>
      <c r="AG274" s="134"/>
      <c r="AH274" s="134"/>
      <c r="AI274" s="134"/>
      <c r="AJ274" s="134"/>
      <c r="AK274" s="134"/>
      <c r="AL274" s="134"/>
      <c r="AM274" s="134"/>
      <c r="AN274" s="134"/>
      <c r="AO274" s="134"/>
      <c r="AP274" s="134"/>
      <c r="AQ274" s="134"/>
      <c r="AR274" s="134"/>
      <c r="AS274" s="134"/>
      <c r="AT274" s="134"/>
      <c r="AU274" s="134"/>
      <c r="AV274" s="134"/>
      <c r="AW274" s="134"/>
      <c r="AX274" s="134"/>
      <c r="AY274" s="134"/>
      <c r="AZ274" s="134"/>
      <c r="BA274" s="134"/>
      <c r="BB274" s="134"/>
      <c r="BC274" s="134"/>
      <c r="BD274" s="134"/>
      <c r="BE274" s="134"/>
      <c r="BF274" s="134"/>
      <c r="BG274" s="134"/>
      <c r="BH274" s="134"/>
      <c r="BI274" s="134"/>
      <c r="BJ274" s="134"/>
      <c r="BK274" s="134"/>
      <c r="BL274" s="134"/>
      <c r="BM274" s="134"/>
      <c r="BN274" s="134"/>
      <c r="BO274" s="134"/>
      <c r="BP274" s="134"/>
      <c r="BQ274" s="134"/>
      <c r="BR274" s="134"/>
      <c r="BS274" s="134"/>
      <c r="BT274" s="134"/>
      <c r="BU274" s="134"/>
    </row>
    <row r="275" spans="1:73" s="559" customFormat="1" ht="15.75" customHeight="1" thickBot="1">
      <c r="A275" s="557"/>
      <c r="B275" s="557"/>
      <c r="C275" s="558"/>
      <c r="D275" s="558"/>
      <c r="E275" s="558"/>
      <c r="F275" s="573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  <c r="AA275" s="134"/>
      <c r="AB275" s="134"/>
      <c r="AC275" s="134"/>
      <c r="AD275" s="134"/>
      <c r="AE275" s="134"/>
      <c r="AF275" s="134"/>
      <c r="AG275" s="134"/>
      <c r="AH275" s="134"/>
      <c r="AI275" s="134"/>
      <c r="AJ275" s="134"/>
      <c r="AK275" s="134"/>
      <c r="AL275" s="134"/>
      <c r="AM275" s="134"/>
      <c r="AN275" s="134"/>
      <c r="AO275" s="134"/>
      <c r="AP275" s="134"/>
      <c r="AQ275" s="134"/>
      <c r="AR275" s="134"/>
      <c r="AS275" s="134"/>
      <c r="AT275" s="134"/>
      <c r="AU275" s="134"/>
      <c r="AV275" s="134"/>
      <c r="AW275" s="134"/>
      <c r="AX275" s="134"/>
      <c r="AY275" s="134"/>
      <c r="AZ275" s="134"/>
      <c r="BA275" s="134"/>
      <c r="BB275" s="134"/>
      <c r="BC275" s="134"/>
      <c r="BD275" s="134"/>
      <c r="BE275" s="134"/>
      <c r="BF275" s="134"/>
      <c r="BG275" s="134"/>
      <c r="BH275" s="134"/>
      <c r="BI275" s="134"/>
      <c r="BJ275" s="134"/>
      <c r="BK275" s="134"/>
      <c r="BL275" s="134"/>
      <c r="BM275" s="134"/>
      <c r="BN275" s="134"/>
      <c r="BO275" s="134"/>
      <c r="BP275" s="134"/>
      <c r="BQ275" s="134"/>
      <c r="BR275" s="134"/>
      <c r="BS275" s="134"/>
      <c r="BT275" s="134"/>
      <c r="BU275" s="134"/>
    </row>
    <row r="276" spans="1:73" s="559" customFormat="1" ht="15.75" customHeight="1" thickBot="1">
      <c r="A276" s="557"/>
      <c r="B276" s="557"/>
      <c r="C276" s="558"/>
      <c r="D276" s="558"/>
      <c r="E276" s="558"/>
      <c r="F276" s="573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34"/>
      <c r="AF276" s="134"/>
      <c r="AG276" s="134"/>
      <c r="AH276" s="134"/>
      <c r="AI276" s="134"/>
      <c r="AJ276" s="134"/>
      <c r="AK276" s="134"/>
      <c r="AL276" s="134"/>
      <c r="AM276" s="134"/>
      <c r="AN276" s="134"/>
      <c r="AO276" s="134"/>
      <c r="AP276" s="134"/>
      <c r="AQ276" s="134"/>
      <c r="AR276" s="134"/>
      <c r="AS276" s="134"/>
      <c r="AT276" s="134"/>
      <c r="AU276" s="134"/>
      <c r="AV276" s="134"/>
      <c r="AW276" s="134"/>
      <c r="AX276" s="134"/>
      <c r="AY276" s="134"/>
      <c r="AZ276" s="134"/>
      <c r="BA276" s="134"/>
      <c r="BB276" s="134"/>
      <c r="BC276" s="134"/>
      <c r="BD276" s="134"/>
      <c r="BE276" s="134"/>
      <c r="BF276" s="134"/>
      <c r="BG276" s="134"/>
      <c r="BH276" s="134"/>
      <c r="BI276" s="134"/>
      <c r="BJ276" s="134"/>
      <c r="BK276" s="134"/>
      <c r="BL276" s="134"/>
      <c r="BM276" s="134"/>
      <c r="BN276" s="134"/>
      <c r="BO276" s="134"/>
      <c r="BP276" s="134"/>
      <c r="BQ276" s="134"/>
      <c r="BR276" s="134"/>
      <c r="BS276" s="134"/>
      <c r="BT276" s="134"/>
      <c r="BU276" s="134"/>
    </row>
    <row r="277" spans="1:73" s="559" customFormat="1" ht="15.75" customHeight="1" thickBot="1">
      <c r="A277" s="557"/>
      <c r="B277" s="557"/>
      <c r="C277" s="558"/>
      <c r="D277" s="558"/>
      <c r="E277" s="558"/>
      <c r="F277" s="573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  <c r="AA277" s="134"/>
      <c r="AB277" s="134"/>
      <c r="AC277" s="134"/>
      <c r="AD277" s="134"/>
      <c r="AE277" s="134"/>
      <c r="AF277" s="134"/>
      <c r="AG277" s="134"/>
      <c r="AH277" s="134"/>
      <c r="AI277" s="134"/>
      <c r="AJ277" s="134"/>
      <c r="AK277" s="134"/>
      <c r="AL277" s="134"/>
      <c r="AM277" s="134"/>
      <c r="AN277" s="134"/>
      <c r="AO277" s="134"/>
      <c r="AP277" s="134"/>
      <c r="AQ277" s="134"/>
      <c r="AR277" s="134"/>
      <c r="AS277" s="134"/>
      <c r="AT277" s="134"/>
      <c r="AU277" s="134"/>
      <c r="AV277" s="134"/>
      <c r="AW277" s="134"/>
      <c r="AX277" s="134"/>
      <c r="AY277" s="134"/>
      <c r="AZ277" s="134"/>
      <c r="BA277" s="134"/>
      <c r="BB277" s="134"/>
      <c r="BC277" s="134"/>
      <c r="BD277" s="134"/>
      <c r="BE277" s="134"/>
      <c r="BF277" s="134"/>
      <c r="BG277" s="134"/>
      <c r="BH277" s="134"/>
      <c r="BI277" s="134"/>
      <c r="BJ277" s="134"/>
      <c r="BK277" s="134"/>
      <c r="BL277" s="134"/>
      <c r="BM277" s="134"/>
      <c r="BN277" s="134"/>
      <c r="BO277" s="134"/>
      <c r="BP277" s="134"/>
      <c r="BQ277" s="134"/>
      <c r="BR277" s="134"/>
      <c r="BS277" s="134"/>
      <c r="BT277" s="134"/>
      <c r="BU277" s="134"/>
    </row>
    <row r="278" spans="1:73" s="559" customFormat="1" ht="15.75" customHeight="1" thickBot="1">
      <c r="A278" s="557"/>
      <c r="B278" s="557"/>
      <c r="C278" s="558"/>
      <c r="D278" s="558"/>
      <c r="E278" s="558"/>
      <c r="F278" s="573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4"/>
      <c r="AD278" s="134"/>
      <c r="AE278" s="134"/>
      <c r="AF278" s="134"/>
      <c r="AG278" s="134"/>
      <c r="AH278" s="134"/>
      <c r="AI278" s="134"/>
      <c r="AJ278" s="134"/>
      <c r="AK278" s="134"/>
      <c r="AL278" s="134"/>
      <c r="AM278" s="134"/>
      <c r="AN278" s="134"/>
      <c r="AO278" s="134"/>
      <c r="AP278" s="134"/>
      <c r="AQ278" s="134"/>
      <c r="AR278" s="134"/>
      <c r="AS278" s="134"/>
      <c r="AT278" s="134"/>
      <c r="AU278" s="134"/>
      <c r="AV278" s="134"/>
      <c r="AW278" s="134"/>
      <c r="AX278" s="134"/>
      <c r="AY278" s="134"/>
      <c r="AZ278" s="134"/>
      <c r="BA278" s="134"/>
      <c r="BB278" s="134"/>
      <c r="BC278" s="134"/>
      <c r="BD278" s="134"/>
      <c r="BE278" s="134"/>
      <c r="BF278" s="134"/>
      <c r="BG278" s="134"/>
      <c r="BH278" s="134"/>
      <c r="BI278" s="134"/>
      <c r="BJ278" s="134"/>
      <c r="BK278" s="134"/>
      <c r="BL278" s="134"/>
      <c r="BM278" s="134"/>
      <c r="BN278" s="134"/>
      <c r="BO278" s="134"/>
      <c r="BP278" s="134"/>
      <c r="BQ278" s="134"/>
      <c r="BR278" s="134"/>
      <c r="BS278" s="134"/>
      <c r="BT278" s="134"/>
      <c r="BU278" s="134"/>
    </row>
    <row r="279" spans="1:73" s="559" customFormat="1" ht="15.75" customHeight="1" thickBot="1">
      <c r="A279" s="557"/>
      <c r="B279" s="557"/>
      <c r="C279" s="558"/>
      <c r="D279" s="558"/>
      <c r="E279" s="558"/>
      <c r="F279" s="573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  <c r="AA279" s="134"/>
      <c r="AB279" s="134"/>
      <c r="AC279" s="134"/>
      <c r="AD279" s="134"/>
      <c r="AE279" s="134"/>
      <c r="AF279" s="134"/>
      <c r="AG279" s="134"/>
      <c r="AH279" s="134"/>
      <c r="AI279" s="134"/>
      <c r="AJ279" s="134"/>
      <c r="AK279" s="134"/>
      <c r="AL279" s="134"/>
      <c r="AM279" s="134"/>
      <c r="AN279" s="134"/>
      <c r="AO279" s="134"/>
      <c r="AP279" s="134"/>
      <c r="AQ279" s="134"/>
      <c r="AR279" s="134"/>
      <c r="AS279" s="134"/>
      <c r="AT279" s="134"/>
      <c r="AU279" s="134"/>
      <c r="AV279" s="134"/>
      <c r="AW279" s="134"/>
      <c r="AX279" s="134"/>
      <c r="AY279" s="134"/>
      <c r="AZ279" s="134"/>
      <c r="BA279" s="134"/>
      <c r="BB279" s="134"/>
      <c r="BC279" s="134"/>
      <c r="BD279" s="134"/>
      <c r="BE279" s="134"/>
      <c r="BF279" s="134"/>
      <c r="BG279" s="134"/>
      <c r="BH279" s="134"/>
      <c r="BI279" s="134"/>
      <c r="BJ279" s="134"/>
      <c r="BK279" s="134"/>
      <c r="BL279" s="134"/>
      <c r="BM279" s="134"/>
      <c r="BN279" s="134"/>
      <c r="BO279" s="134"/>
      <c r="BP279" s="134"/>
      <c r="BQ279" s="134"/>
      <c r="BR279" s="134"/>
      <c r="BS279" s="134"/>
      <c r="BT279" s="134"/>
      <c r="BU279" s="134"/>
    </row>
    <row r="280" spans="1:73" s="559" customFormat="1" ht="15.75" customHeight="1" thickBot="1">
      <c r="A280" s="557"/>
      <c r="B280" s="557"/>
      <c r="C280" s="558"/>
      <c r="D280" s="558"/>
      <c r="E280" s="558"/>
      <c r="F280" s="573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  <c r="AA280" s="134"/>
      <c r="AB280" s="134"/>
      <c r="AC280" s="134"/>
      <c r="AD280" s="134"/>
      <c r="AE280" s="134"/>
      <c r="AF280" s="134"/>
      <c r="AG280" s="134"/>
      <c r="AH280" s="134"/>
      <c r="AI280" s="134"/>
      <c r="AJ280" s="134"/>
      <c r="AK280" s="134"/>
      <c r="AL280" s="134"/>
      <c r="AM280" s="134"/>
      <c r="AN280" s="134"/>
      <c r="AO280" s="134"/>
      <c r="AP280" s="134"/>
      <c r="AQ280" s="134"/>
      <c r="AR280" s="134"/>
      <c r="AS280" s="134"/>
      <c r="AT280" s="134"/>
      <c r="AU280" s="134"/>
      <c r="AV280" s="134"/>
      <c r="AW280" s="134"/>
      <c r="AX280" s="134"/>
      <c r="AY280" s="134"/>
      <c r="AZ280" s="134"/>
      <c r="BA280" s="134"/>
      <c r="BB280" s="134"/>
      <c r="BC280" s="134"/>
      <c r="BD280" s="134"/>
      <c r="BE280" s="134"/>
      <c r="BF280" s="134"/>
      <c r="BG280" s="134"/>
      <c r="BH280" s="134"/>
      <c r="BI280" s="134"/>
      <c r="BJ280" s="134"/>
      <c r="BK280" s="134"/>
      <c r="BL280" s="134"/>
      <c r="BM280" s="134"/>
      <c r="BN280" s="134"/>
      <c r="BO280" s="134"/>
      <c r="BP280" s="134"/>
      <c r="BQ280" s="134"/>
      <c r="BR280" s="134"/>
      <c r="BS280" s="134"/>
      <c r="BT280" s="134"/>
      <c r="BU280" s="134"/>
    </row>
    <row r="281" spans="1:73" s="559" customFormat="1" ht="15.75" customHeight="1" thickBot="1">
      <c r="A281" s="557"/>
      <c r="B281" s="557"/>
      <c r="C281" s="558"/>
      <c r="D281" s="558"/>
      <c r="E281" s="558"/>
      <c r="F281" s="573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4"/>
      <c r="AB281" s="134"/>
      <c r="AC281" s="134"/>
      <c r="AD281" s="134"/>
      <c r="AE281" s="134"/>
      <c r="AF281" s="134"/>
      <c r="AG281" s="134"/>
      <c r="AH281" s="134"/>
      <c r="AI281" s="134"/>
      <c r="AJ281" s="134"/>
      <c r="AK281" s="134"/>
      <c r="AL281" s="134"/>
      <c r="AM281" s="134"/>
      <c r="AN281" s="134"/>
      <c r="AO281" s="134"/>
      <c r="AP281" s="134"/>
      <c r="AQ281" s="134"/>
      <c r="AR281" s="134"/>
      <c r="AS281" s="134"/>
      <c r="AT281" s="134"/>
      <c r="AU281" s="134"/>
      <c r="AV281" s="134"/>
      <c r="AW281" s="134"/>
      <c r="AX281" s="134"/>
      <c r="AY281" s="134"/>
      <c r="AZ281" s="134"/>
      <c r="BA281" s="134"/>
      <c r="BB281" s="134"/>
      <c r="BC281" s="134"/>
      <c r="BD281" s="134"/>
      <c r="BE281" s="134"/>
      <c r="BF281" s="134"/>
      <c r="BG281" s="134"/>
      <c r="BH281" s="134"/>
      <c r="BI281" s="134"/>
      <c r="BJ281" s="134"/>
      <c r="BK281" s="134"/>
      <c r="BL281" s="134"/>
      <c r="BM281" s="134"/>
      <c r="BN281" s="134"/>
      <c r="BO281" s="134"/>
      <c r="BP281" s="134"/>
      <c r="BQ281" s="134"/>
      <c r="BR281" s="134"/>
      <c r="BS281" s="134"/>
      <c r="BT281" s="134"/>
      <c r="BU281" s="134"/>
    </row>
    <row r="282" spans="1:73" s="559" customFormat="1" ht="15.75" customHeight="1" thickBot="1">
      <c r="A282" s="557"/>
      <c r="B282" s="557"/>
      <c r="C282" s="558"/>
      <c r="D282" s="558"/>
      <c r="E282" s="558"/>
      <c r="F282" s="573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  <c r="AA282" s="134"/>
      <c r="AB282" s="134"/>
      <c r="AC282" s="134"/>
      <c r="AD282" s="134"/>
      <c r="AE282" s="134"/>
      <c r="AF282" s="134"/>
      <c r="AG282" s="134"/>
      <c r="AH282" s="134"/>
      <c r="AI282" s="134"/>
      <c r="AJ282" s="134"/>
      <c r="AK282" s="134"/>
      <c r="AL282" s="134"/>
      <c r="AM282" s="134"/>
      <c r="AN282" s="134"/>
      <c r="AO282" s="134"/>
      <c r="AP282" s="134"/>
      <c r="AQ282" s="134"/>
      <c r="AR282" s="134"/>
      <c r="AS282" s="134"/>
      <c r="AT282" s="134"/>
      <c r="AU282" s="134"/>
      <c r="AV282" s="134"/>
      <c r="AW282" s="134"/>
      <c r="AX282" s="134"/>
      <c r="AY282" s="134"/>
      <c r="AZ282" s="134"/>
      <c r="BA282" s="134"/>
      <c r="BB282" s="134"/>
      <c r="BC282" s="134"/>
      <c r="BD282" s="134"/>
      <c r="BE282" s="134"/>
      <c r="BF282" s="134"/>
      <c r="BG282" s="134"/>
      <c r="BH282" s="134"/>
      <c r="BI282" s="134"/>
      <c r="BJ282" s="134"/>
      <c r="BK282" s="134"/>
      <c r="BL282" s="134"/>
      <c r="BM282" s="134"/>
      <c r="BN282" s="134"/>
      <c r="BO282" s="134"/>
      <c r="BP282" s="134"/>
      <c r="BQ282" s="134"/>
      <c r="BR282" s="134"/>
      <c r="BS282" s="134"/>
      <c r="BT282" s="134"/>
      <c r="BU282" s="134"/>
    </row>
    <row r="283" spans="1:73" s="559" customFormat="1" ht="15.75" customHeight="1" thickBot="1">
      <c r="A283" s="557"/>
      <c r="B283" s="557"/>
      <c r="C283" s="558"/>
      <c r="D283" s="558"/>
      <c r="E283" s="558"/>
      <c r="F283" s="573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134"/>
      <c r="AK283" s="134"/>
      <c r="AL283" s="134"/>
      <c r="AM283" s="134"/>
      <c r="AN283" s="134"/>
      <c r="AO283" s="134"/>
      <c r="AP283" s="134"/>
      <c r="AQ283" s="134"/>
      <c r="AR283" s="134"/>
      <c r="AS283" s="134"/>
      <c r="AT283" s="134"/>
      <c r="AU283" s="134"/>
      <c r="AV283" s="134"/>
      <c r="AW283" s="134"/>
      <c r="AX283" s="134"/>
      <c r="AY283" s="134"/>
      <c r="AZ283" s="134"/>
      <c r="BA283" s="134"/>
      <c r="BB283" s="134"/>
      <c r="BC283" s="134"/>
      <c r="BD283" s="134"/>
      <c r="BE283" s="134"/>
      <c r="BF283" s="134"/>
      <c r="BG283" s="134"/>
      <c r="BH283" s="134"/>
      <c r="BI283" s="134"/>
      <c r="BJ283" s="134"/>
      <c r="BK283" s="134"/>
      <c r="BL283" s="134"/>
      <c r="BM283" s="134"/>
      <c r="BN283" s="134"/>
      <c r="BO283" s="134"/>
      <c r="BP283" s="134"/>
      <c r="BQ283" s="134"/>
      <c r="BR283" s="134"/>
      <c r="BS283" s="134"/>
      <c r="BT283" s="134"/>
      <c r="BU283" s="134"/>
    </row>
    <row r="284" spans="1:73" s="559" customFormat="1" ht="15.75" customHeight="1" thickBot="1">
      <c r="A284" s="557"/>
      <c r="B284" s="557"/>
      <c r="C284" s="558"/>
      <c r="D284" s="558"/>
      <c r="E284" s="558"/>
      <c r="F284" s="573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  <c r="AA284" s="134"/>
      <c r="AB284" s="134"/>
      <c r="AC284" s="134"/>
      <c r="AD284" s="134"/>
      <c r="AE284" s="134"/>
      <c r="AF284" s="134"/>
      <c r="AG284" s="134"/>
      <c r="AH284" s="134"/>
      <c r="AI284" s="134"/>
      <c r="AJ284" s="134"/>
      <c r="AK284" s="134"/>
      <c r="AL284" s="134"/>
      <c r="AM284" s="134"/>
      <c r="AN284" s="134"/>
      <c r="AO284" s="134"/>
      <c r="AP284" s="134"/>
      <c r="AQ284" s="134"/>
      <c r="AR284" s="134"/>
      <c r="AS284" s="134"/>
      <c r="AT284" s="134"/>
      <c r="AU284" s="134"/>
      <c r="AV284" s="134"/>
      <c r="AW284" s="134"/>
      <c r="AX284" s="134"/>
      <c r="AY284" s="134"/>
      <c r="AZ284" s="134"/>
      <c r="BA284" s="134"/>
      <c r="BB284" s="134"/>
      <c r="BC284" s="134"/>
      <c r="BD284" s="134"/>
      <c r="BE284" s="134"/>
      <c r="BF284" s="134"/>
      <c r="BG284" s="134"/>
      <c r="BH284" s="134"/>
      <c r="BI284" s="134"/>
      <c r="BJ284" s="134"/>
      <c r="BK284" s="134"/>
      <c r="BL284" s="134"/>
      <c r="BM284" s="134"/>
      <c r="BN284" s="134"/>
      <c r="BO284" s="134"/>
      <c r="BP284" s="134"/>
      <c r="BQ284" s="134"/>
      <c r="BR284" s="134"/>
      <c r="BS284" s="134"/>
      <c r="BT284" s="134"/>
      <c r="BU284" s="134"/>
    </row>
    <row r="285" spans="1:73" s="559" customFormat="1" ht="15.75" customHeight="1" thickBot="1">
      <c r="A285" s="557"/>
      <c r="B285" s="557"/>
      <c r="C285" s="558"/>
      <c r="D285" s="558"/>
      <c r="E285" s="558"/>
      <c r="F285" s="573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  <c r="AA285" s="134"/>
      <c r="AB285" s="134"/>
      <c r="AC285" s="134"/>
      <c r="AD285" s="134"/>
      <c r="AE285" s="134"/>
      <c r="AF285" s="134"/>
      <c r="AG285" s="134"/>
      <c r="AH285" s="134"/>
      <c r="AI285" s="134"/>
      <c r="AJ285" s="134"/>
      <c r="AK285" s="134"/>
      <c r="AL285" s="134"/>
      <c r="AM285" s="134"/>
      <c r="AN285" s="134"/>
      <c r="AO285" s="134"/>
      <c r="AP285" s="134"/>
      <c r="AQ285" s="134"/>
      <c r="AR285" s="134"/>
      <c r="AS285" s="134"/>
      <c r="AT285" s="134"/>
      <c r="AU285" s="134"/>
      <c r="AV285" s="134"/>
      <c r="AW285" s="134"/>
      <c r="AX285" s="134"/>
      <c r="AY285" s="134"/>
      <c r="AZ285" s="134"/>
      <c r="BA285" s="134"/>
      <c r="BB285" s="134"/>
      <c r="BC285" s="134"/>
      <c r="BD285" s="134"/>
      <c r="BE285" s="134"/>
      <c r="BF285" s="134"/>
      <c r="BG285" s="134"/>
      <c r="BH285" s="134"/>
      <c r="BI285" s="134"/>
      <c r="BJ285" s="134"/>
      <c r="BK285" s="134"/>
      <c r="BL285" s="134"/>
      <c r="BM285" s="134"/>
      <c r="BN285" s="134"/>
      <c r="BO285" s="134"/>
      <c r="BP285" s="134"/>
      <c r="BQ285" s="134"/>
      <c r="BR285" s="134"/>
      <c r="BS285" s="134"/>
      <c r="BT285" s="134"/>
      <c r="BU285" s="134"/>
    </row>
    <row r="286" spans="1:73" s="559" customFormat="1" ht="15.75" customHeight="1" thickBot="1">
      <c r="A286" s="557"/>
      <c r="B286" s="557"/>
      <c r="C286" s="558"/>
      <c r="D286" s="558"/>
      <c r="E286" s="558"/>
      <c r="F286" s="573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  <c r="AA286" s="134"/>
      <c r="AB286" s="134"/>
      <c r="AC286" s="134"/>
      <c r="AD286" s="134"/>
      <c r="AE286" s="134"/>
      <c r="AF286" s="134"/>
      <c r="AG286" s="134"/>
      <c r="AH286" s="134"/>
      <c r="AI286" s="134"/>
      <c r="AJ286" s="134"/>
      <c r="AK286" s="134"/>
      <c r="AL286" s="134"/>
      <c r="AM286" s="134"/>
      <c r="AN286" s="134"/>
      <c r="AO286" s="134"/>
      <c r="AP286" s="134"/>
      <c r="AQ286" s="134"/>
      <c r="AR286" s="134"/>
      <c r="AS286" s="134"/>
      <c r="AT286" s="134"/>
      <c r="AU286" s="134"/>
      <c r="AV286" s="134"/>
      <c r="AW286" s="134"/>
      <c r="AX286" s="134"/>
      <c r="AY286" s="134"/>
      <c r="AZ286" s="134"/>
      <c r="BA286" s="134"/>
      <c r="BB286" s="134"/>
      <c r="BC286" s="134"/>
      <c r="BD286" s="134"/>
      <c r="BE286" s="134"/>
      <c r="BF286" s="134"/>
      <c r="BG286" s="134"/>
      <c r="BH286" s="134"/>
      <c r="BI286" s="134"/>
      <c r="BJ286" s="134"/>
      <c r="BK286" s="134"/>
      <c r="BL286" s="134"/>
      <c r="BM286" s="134"/>
      <c r="BN286" s="134"/>
      <c r="BO286" s="134"/>
      <c r="BP286" s="134"/>
      <c r="BQ286" s="134"/>
      <c r="BR286" s="134"/>
      <c r="BS286" s="134"/>
      <c r="BT286" s="134"/>
      <c r="BU286" s="134"/>
    </row>
    <row r="287" spans="1:73" s="559" customFormat="1" ht="15.75" customHeight="1" thickBot="1">
      <c r="A287" s="557"/>
      <c r="B287" s="557"/>
      <c r="C287" s="558"/>
      <c r="D287" s="558"/>
      <c r="E287" s="558"/>
      <c r="F287" s="573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  <c r="AA287" s="134"/>
      <c r="AB287" s="134"/>
      <c r="AC287" s="134"/>
      <c r="AD287" s="134"/>
      <c r="AE287" s="134"/>
      <c r="AF287" s="134"/>
      <c r="AG287" s="134"/>
      <c r="AH287" s="134"/>
      <c r="AI287" s="134"/>
      <c r="AJ287" s="134"/>
      <c r="AK287" s="134"/>
      <c r="AL287" s="134"/>
      <c r="AM287" s="134"/>
      <c r="AN287" s="134"/>
      <c r="AO287" s="134"/>
      <c r="AP287" s="134"/>
      <c r="AQ287" s="134"/>
      <c r="AR287" s="134"/>
      <c r="AS287" s="134"/>
      <c r="AT287" s="134"/>
      <c r="AU287" s="134"/>
      <c r="AV287" s="134"/>
      <c r="AW287" s="134"/>
      <c r="AX287" s="134"/>
      <c r="AY287" s="134"/>
      <c r="AZ287" s="134"/>
      <c r="BA287" s="134"/>
      <c r="BB287" s="134"/>
      <c r="BC287" s="134"/>
      <c r="BD287" s="134"/>
      <c r="BE287" s="134"/>
      <c r="BF287" s="134"/>
      <c r="BG287" s="134"/>
      <c r="BH287" s="134"/>
      <c r="BI287" s="134"/>
      <c r="BJ287" s="134"/>
      <c r="BK287" s="134"/>
      <c r="BL287" s="134"/>
      <c r="BM287" s="134"/>
      <c r="BN287" s="134"/>
      <c r="BO287" s="134"/>
      <c r="BP287" s="134"/>
      <c r="BQ287" s="134"/>
      <c r="BR287" s="134"/>
      <c r="BS287" s="134"/>
      <c r="BT287" s="134"/>
      <c r="BU287" s="134"/>
    </row>
    <row r="288" spans="1:73" s="559" customFormat="1" ht="15.75" customHeight="1" thickBot="1">
      <c r="A288" s="557"/>
      <c r="B288" s="557"/>
      <c r="C288" s="558"/>
      <c r="D288" s="558"/>
      <c r="E288" s="558"/>
      <c r="F288" s="573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  <c r="AA288" s="134"/>
      <c r="AB288" s="134"/>
      <c r="AC288" s="134"/>
      <c r="AD288" s="134"/>
      <c r="AE288" s="134"/>
      <c r="AF288" s="134"/>
      <c r="AG288" s="134"/>
      <c r="AH288" s="134"/>
      <c r="AI288" s="134"/>
      <c r="AJ288" s="134"/>
      <c r="AK288" s="134"/>
      <c r="AL288" s="134"/>
      <c r="AM288" s="134"/>
      <c r="AN288" s="134"/>
      <c r="AO288" s="134"/>
      <c r="AP288" s="134"/>
      <c r="AQ288" s="134"/>
      <c r="AR288" s="134"/>
      <c r="AS288" s="134"/>
      <c r="AT288" s="134"/>
      <c r="AU288" s="134"/>
      <c r="AV288" s="134"/>
      <c r="AW288" s="134"/>
      <c r="AX288" s="134"/>
      <c r="AY288" s="134"/>
      <c r="AZ288" s="134"/>
      <c r="BA288" s="134"/>
      <c r="BB288" s="134"/>
      <c r="BC288" s="134"/>
      <c r="BD288" s="134"/>
      <c r="BE288" s="134"/>
      <c r="BF288" s="134"/>
      <c r="BG288" s="134"/>
      <c r="BH288" s="134"/>
      <c r="BI288" s="134"/>
      <c r="BJ288" s="134"/>
      <c r="BK288" s="134"/>
      <c r="BL288" s="134"/>
      <c r="BM288" s="134"/>
      <c r="BN288" s="134"/>
      <c r="BO288" s="134"/>
      <c r="BP288" s="134"/>
      <c r="BQ288" s="134"/>
      <c r="BR288" s="134"/>
      <c r="BS288" s="134"/>
      <c r="BT288" s="134"/>
      <c r="BU288" s="134"/>
    </row>
    <row r="289" spans="1:73" s="559" customFormat="1" ht="15.75" customHeight="1" thickBot="1">
      <c r="A289" s="557"/>
      <c r="B289" s="557"/>
      <c r="C289" s="558"/>
      <c r="D289" s="558"/>
      <c r="E289" s="558"/>
      <c r="F289" s="573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34"/>
      <c r="AF289" s="134"/>
      <c r="AG289" s="134"/>
      <c r="AH289" s="134"/>
      <c r="AI289" s="134"/>
      <c r="AJ289" s="134"/>
      <c r="AK289" s="134"/>
      <c r="AL289" s="134"/>
      <c r="AM289" s="134"/>
      <c r="AN289" s="134"/>
      <c r="AO289" s="134"/>
      <c r="AP289" s="134"/>
      <c r="AQ289" s="134"/>
      <c r="AR289" s="134"/>
      <c r="AS289" s="134"/>
      <c r="AT289" s="134"/>
      <c r="AU289" s="134"/>
      <c r="AV289" s="134"/>
      <c r="AW289" s="134"/>
      <c r="AX289" s="134"/>
      <c r="AY289" s="134"/>
      <c r="AZ289" s="134"/>
      <c r="BA289" s="134"/>
      <c r="BB289" s="134"/>
      <c r="BC289" s="134"/>
      <c r="BD289" s="134"/>
      <c r="BE289" s="134"/>
      <c r="BF289" s="134"/>
      <c r="BG289" s="134"/>
      <c r="BH289" s="134"/>
      <c r="BI289" s="134"/>
      <c r="BJ289" s="134"/>
      <c r="BK289" s="134"/>
      <c r="BL289" s="134"/>
      <c r="BM289" s="134"/>
      <c r="BN289" s="134"/>
      <c r="BO289" s="134"/>
      <c r="BP289" s="134"/>
      <c r="BQ289" s="134"/>
      <c r="BR289" s="134"/>
      <c r="BS289" s="134"/>
      <c r="BT289" s="134"/>
      <c r="BU289" s="134"/>
    </row>
    <row r="290" spans="1:73" thickBot="1">
      <c r="A290" s="298"/>
      <c r="B290" s="298"/>
      <c r="C290" s="282"/>
      <c r="D290" s="282"/>
      <c r="E290" s="282"/>
      <c r="F290" s="566"/>
    </row>
    <row r="291" spans="1:73" thickBot="1">
      <c r="A291" s="298"/>
      <c r="B291" s="298"/>
      <c r="C291" s="282"/>
      <c r="D291" s="282"/>
      <c r="E291" s="282"/>
      <c r="F291" s="566"/>
    </row>
    <row r="292" spans="1:73" thickBot="1">
      <c r="A292" s="298"/>
      <c r="B292" s="298"/>
      <c r="C292" s="282"/>
      <c r="D292" s="282"/>
      <c r="E292" s="282"/>
      <c r="F292" s="566"/>
    </row>
    <row r="293" spans="1:73" thickBot="1">
      <c r="A293" s="298"/>
      <c r="B293" s="298"/>
      <c r="C293" s="282"/>
      <c r="D293" s="282"/>
      <c r="E293" s="282"/>
      <c r="F293" s="566"/>
    </row>
    <row r="294" spans="1:73" thickBot="1">
      <c r="A294" s="298"/>
      <c r="B294" s="298"/>
      <c r="C294" s="282"/>
      <c r="D294" s="282"/>
      <c r="E294" s="282"/>
      <c r="F294" s="566"/>
    </row>
    <row r="295" spans="1:73" thickBot="1">
      <c r="A295" s="298"/>
      <c r="B295" s="298"/>
      <c r="C295" s="282"/>
      <c r="D295" s="282"/>
      <c r="E295" s="282"/>
      <c r="F295" s="566"/>
    </row>
    <row r="296" spans="1:73" thickBot="1">
      <c r="A296" s="298"/>
      <c r="B296" s="298"/>
      <c r="C296" s="282"/>
      <c r="D296" s="282"/>
      <c r="E296" s="282"/>
      <c r="F296" s="566"/>
    </row>
    <row r="297" spans="1:73" thickBot="1">
      <c r="A297" s="298"/>
      <c r="B297" s="298"/>
      <c r="C297" s="282"/>
      <c r="D297" s="282"/>
      <c r="E297" s="282"/>
      <c r="F297" s="566"/>
    </row>
    <row r="298" spans="1:73" thickBot="1">
      <c r="A298" s="298"/>
      <c r="B298" s="298"/>
      <c r="C298" s="282"/>
      <c r="D298" s="282"/>
      <c r="E298" s="282"/>
      <c r="F298" s="566"/>
    </row>
    <row r="299" spans="1:73" thickBot="1">
      <c r="A299" s="298"/>
      <c r="B299" s="298"/>
      <c r="C299" s="282"/>
      <c r="D299" s="282"/>
      <c r="E299" s="282"/>
      <c r="F299" s="566"/>
    </row>
    <row r="300" spans="1:73" thickBot="1">
      <c r="A300" s="298"/>
      <c r="B300" s="298"/>
      <c r="C300" s="282"/>
      <c r="D300" s="282"/>
      <c r="E300" s="282"/>
      <c r="F300" s="566"/>
    </row>
    <row r="301" spans="1:73" thickBot="1">
      <c r="A301" s="298"/>
      <c r="B301" s="298"/>
      <c r="C301" s="282"/>
      <c r="D301" s="282"/>
      <c r="E301" s="282"/>
      <c r="F301" s="566"/>
    </row>
    <row r="302" spans="1:73" thickBot="1">
      <c r="A302" s="298"/>
      <c r="B302" s="298"/>
      <c r="C302" s="282"/>
      <c r="D302" s="282"/>
      <c r="E302" s="282"/>
      <c r="F302" s="566"/>
    </row>
    <row r="303" spans="1:73" thickBot="1">
      <c r="A303" s="298"/>
      <c r="B303" s="298"/>
      <c r="C303" s="282"/>
      <c r="D303" s="282"/>
      <c r="E303" s="282"/>
      <c r="F303" s="566"/>
    </row>
    <row r="304" spans="1:73" thickBot="1">
      <c r="A304" s="298"/>
      <c r="B304" s="298"/>
      <c r="C304" s="282"/>
      <c r="D304" s="282"/>
      <c r="E304" s="282"/>
      <c r="F304" s="566"/>
    </row>
    <row r="305" spans="1:6" s="297" customFormat="1" thickBot="1">
      <c r="A305" s="298"/>
      <c r="B305" s="298"/>
      <c r="C305" s="282"/>
      <c r="D305" s="282"/>
      <c r="E305" s="282"/>
      <c r="F305" s="566"/>
    </row>
    <row r="306" spans="1:6" s="297" customFormat="1" thickBot="1">
      <c r="A306" s="298"/>
      <c r="B306" s="298"/>
      <c r="C306" s="282"/>
      <c r="D306" s="282"/>
      <c r="E306" s="282"/>
      <c r="F306" s="566"/>
    </row>
    <row r="307" spans="1:6" s="297" customFormat="1" thickBot="1">
      <c r="A307" s="298"/>
      <c r="B307" s="298"/>
      <c r="C307" s="282"/>
      <c r="D307" s="282"/>
      <c r="E307" s="282"/>
      <c r="F307" s="566"/>
    </row>
    <row r="308" spans="1:6" s="297" customFormat="1" thickBot="1">
      <c r="A308" s="298"/>
      <c r="B308" s="298"/>
      <c r="C308" s="282"/>
      <c r="D308" s="282"/>
      <c r="E308" s="282"/>
      <c r="F308" s="566"/>
    </row>
    <row r="309" spans="1:6" s="297" customFormat="1" thickBot="1">
      <c r="A309" s="298"/>
      <c r="B309" s="298"/>
      <c r="C309" s="282"/>
      <c r="D309" s="282"/>
      <c r="E309" s="282"/>
      <c r="F309" s="566"/>
    </row>
    <row r="310" spans="1:6" s="297" customFormat="1" thickBot="1">
      <c r="A310" s="298"/>
      <c r="B310" s="298"/>
      <c r="C310" s="282"/>
      <c r="D310" s="282"/>
      <c r="E310" s="282"/>
      <c r="F310" s="566"/>
    </row>
    <row r="311" spans="1:6" s="297" customFormat="1" thickBot="1">
      <c r="A311" s="298"/>
      <c r="B311" s="298"/>
      <c r="C311" s="282"/>
      <c r="D311" s="282"/>
      <c r="E311" s="282"/>
      <c r="F311" s="566"/>
    </row>
    <row r="312" spans="1:6" s="297" customFormat="1" thickBot="1">
      <c r="A312" s="298"/>
      <c r="B312" s="298"/>
      <c r="C312" s="282"/>
      <c r="D312" s="282"/>
      <c r="E312" s="282"/>
      <c r="F312" s="566"/>
    </row>
    <row r="313" spans="1:6" s="297" customFormat="1" thickBot="1">
      <c r="A313" s="298"/>
      <c r="B313" s="298"/>
      <c r="C313" s="282"/>
      <c r="D313" s="282"/>
      <c r="E313" s="282"/>
      <c r="F313" s="566"/>
    </row>
    <row r="314" spans="1:6" s="297" customFormat="1" thickBot="1">
      <c r="A314" s="298"/>
      <c r="B314" s="298"/>
      <c r="C314" s="282"/>
      <c r="D314" s="282"/>
      <c r="E314" s="282"/>
      <c r="F314" s="566"/>
    </row>
    <row r="315" spans="1:6" s="297" customFormat="1" thickBot="1">
      <c r="A315" s="298"/>
      <c r="B315" s="298"/>
      <c r="C315" s="282"/>
      <c r="D315" s="282"/>
      <c r="E315" s="282"/>
      <c r="F315" s="566"/>
    </row>
    <row r="316" spans="1:6" s="297" customFormat="1" thickBot="1">
      <c r="A316" s="298"/>
      <c r="B316" s="298"/>
      <c r="C316" s="282"/>
      <c r="D316" s="282"/>
      <c r="E316" s="282"/>
      <c r="F316" s="566"/>
    </row>
    <row r="317" spans="1:6" s="297" customFormat="1" thickBot="1">
      <c r="A317" s="298"/>
      <c r="B317" s="298"/>
      <c r="C317" s="282"/>
      <c r="D317" s="282"/>
      <c r="E317" s="282"/>
      <c r="F317" s="566"/>
    </row>
    <row r="318" spans="1:6" s="297" customFormat="1" thickBot="1">
      <c r="A318" s="298"/>
      <c r="B318" s="298"/>
      <c r="C318" s="282"/>
      <c r="D318" s="282"/>
      <c r="E318" s="282"/>
      <c r="F318" s="566"/>
    </row>
    <row r="319" spans="1:6" s="297" customFormat="1" thickBot="1">
      <c r="A319" s="298"/>
      <c r="B319" s="298"/>
      <c r="C319" s="282"/>
      <c r="D319" s="282"/>
      <c r="E319" s="282"/>
      <c r="F319" s="566"/>
    </row>
    <row r="320" spans="1:6" s="297" customFormat="1" thickBot="1">
      <c r="A320" s="298"/>
      <c r="B320" s="298"/>
      <c r="C320" s="282"/>
      <c r="D320" s="282"/>
      <c r="E320" s="282"/>
      <c r="F320" s="566"/>
    </row>
    <row r="321" spans="1:6" s="297" customFormat="1" thickBot="1">
      <c r="A321" s="298"/>
      <c r="B321" s="298"/>
      <c r="C321" s="282"/>
      <c r="D321" s="282"/>
      <c r="E321" s="282"/>
      <c r="F321" s="566"/>
    </row>
    <row r="322" spans="1:6" s="297" customFormat="1" thickBot="1">
      <c r="A322" s="298"/>
      <c r="B322" s="298"/>
      <c r="C322" s="282"/>
      <c r="D322" s="282"/>
      <c r="E322" s="282"/>
      <c r="F322" s="566"/>
    </row>
    <row r="323" spans="1:6" s="297" customFormat="1" thickBot="1">
      <c r="A323" s="298"/>
      <c r="B323" s="298"/>
      <c r="C323" s="282"/>
      <c r="D323" s="282"/>
      <c r="E323" s="282"/>
      <c r="F323" s="566"/>
    </row>
    <row r="324" spans="1:6" s="297" customFormat="1" thickBot="1">
      <c r="A324" s="298"/>
      <c r="B324" s="298"/>
      <c r="C324" s="282"/>
      <c r="D324" s="282"/>
      <c r="E324" s="282"/>
      <c r="F324" s="566"/>
    </row>
    <row r="325" spans="1:6" s="297" customFormat="1" thickBot="1">
      <c r="A325" s="298"/>
      <c r="B325" s="298"/>
      <c r="C325" s="282"/>
      <c r="D325" s="282"/>
      <c r="E325" s="282"/>
      <c r="F325" s="566"/>
    </row>
    <row r="326" spans="1:6" s="297" customFormat="1" thickBot="1">
      <c r="A326" s="298"/>
      <c r="B326" s="298"/>
      <c r="C326" s="282"/>
      <c r="D326" s="282"/>
      <c r="E326" s="282"/>
      <c r="F326" s="566"/>
    </row>
    <row r="327" spans="1:6" s="297" customFormat="1" thickBot="1">
      <c r="A327" s="298"/>
      <c r="B327" s="298"/>
      <c r="C327" s="282"/>
      <c r="D327" s="282"/>
      <c r="E327" s="282"/>
      <c r="F327" s="566"/>
    </row>
    <row r="328" spans="1:6" s="297" customFormat="1" thickBot="1">
      <c r="A328" s="298"/>
      <c r="B328" s="298"/>
      <c r="C328" s="282"/>
      <c r="D328" s="282"/>
      <c r="E328" s="282"/>
      <c r="F328" s="566"/>
    </row>
    <row r="329" spans="1:6" s="297" customFormat="1" thickBot="1">
      <c r="A329" s="298"/>
      <c r="B329" s="298"/>
      <c r="C329" s="282"/>
      <c r="D329" s="282"/>
      <c r="E329" s="282"/>
      <c r="F329" s="566"/>
    </row>
    <row r="330" spans="1:6" s="297" customFormat="1" thickBot="1">
      <c r="A330" s="298"/>
      <c r="B330" s="298"/>
      <c r="C330" s="282"/>
      <c r="D330" s="282"/>
      <c r="E330" s="282"/>
      <c r="F330" s="566"/>
    </row>
    <row r="331" spans="1:6" s="297" customFormat="1" thickBot="1">
      <c r="A331" s="298"/>
      <c r="B331" s="298"/>
      <c r="C331" s="282"/>
      <c r="D331" s="282"/>
      <c r="E331" s="282"/>
      <c r="F331" s="566"/>
    </row>
    <row r="332" spans="1:6" s="297" customFormat="1" thickBot="1">
      <c r="A332" s="298"/>
      <c r="B332" s="298"/>
      <c r="C332" s="282"/>
      <c r="D332" s="282"/>
      <c r="E332" s="282"/>
      <c r="F332" s="566"/>
    </row>
    <row r="333" spans="1:6" s="297" customFormat="1" thickBot="1">
      <c r="A333" s="298"/>
      <c r="B333" s="298"/>
      <c r="C333" s="282"/>
      <c r="D333" s="282"/>
      <c r="E333" s="282"/>
      <c r="F333" s="566"/>
    </row>
    <row r="334" spans="1:6" s="297" customFormat="1" thickBot="1">
      <c r="A334" s="298"/>
      <c r="B334" s="298"/>
      <c r="C334" s="282"/>
      <c r="D334" s="282"/>
      <c r="E334" s="282"/>
      <c r="F334" s="566"/>
    </row>
    <row r="335" spans="1:6" s="297" customFormat="1" thickBot="1">
      <c r="A335" s="298"/>
      <c r="B335" s="298"/>
      <c r="C335" s="282"/>
      <c r="D335" s="282"/>
      <c r="E335" s="282"/>
      <c r="F335" s="566"/>
    </row>
    <row r="336" spans="1:6" s="297" customFormat="1" thickBot="1">
      <c r="A336" s="298"/>
      <c r="B336" s="298"/>
      <c r="C336" s="282"/>
      <c r="D336" s="282"/>
      <c r="E336" s="282"/>
      <c r="F336" s="566"/>
    </row>
    <row r="337" spans="1:6" s="297" customFormat="1" thickBot="1">
      <c r="A337" s="298"/>
      <c r="B337" s="298"/>
      <c r="C337" s="282"/>
      <c r="D337" s="282"/>
      <c r="E337" s="282"/>
      <c r="F337" s="566"/>
    </row>
    <row r="338" spans="1:6" s="297" customFormat="1" thickBot="1">
      <c r="A338" s="298"/>
      <c r="B338" s="298"/>
      <c r="C338" s="282"/>
      <c r="D338" s="282"/>
      <c r="E338" s="282"/>
      <c r="F338" s="566"/>
    </row>
    <row r="339" spans="1:6" s="297" customFormat="1" thickBot="1">
      <c r="A339" s="298"/>
      <c r="B339" s="298"/>
      <c r="C339" s="282"/>
      <c r="D339" s="282"/>
      <c r="E339" s="282"/>
      <c r="F339" s="566"/>
    </row>
    <row r="340" spans="1:6" s="297" customFormat="1" thickBot="1">
      <c r="A340" s="298"/>
      <c r="B340" s="298"/>
      <c r="C340" s="282"/>
      <c r="D340" s="282"/>
      <c r="E340" s="282"/>
      <c r="F340" s="566"/>
    </row>
    <row r="341" spans="1:6" s="297" customFormat="1" thickBot="1">
      <c r="A341" s="298"/>
      <c r="B341" s="298"/>
      <c r="C341" s="282"/>
      <c r="D341" s="282"/>
      <c r="E341" s="282"/>
      <c r="F341" s="566"/>
    </row>
    <row r="342" spans="1:6" s="297" customFormat="1" thickBot="1">
      <c r="A342" s="298"/>
      <c r="B342" s="298"/>
      <c r="C342" s="282"/>
      <c r="D342" s="282"/>
      <c r="E342" s="282"/>
      <c r="F342" s="566"/>
    </row>
    <row r="343" spans="1:6" s="297" customFormat="1" thickBot="1">
      <c r="A343" s="298"/>
      <c r="B343" s="298"/>
      <c r="C343" s="282"/>
      <c r="D343" s="282"/>
      <c r="E343" s="282"/>
      <c r="F343" s="566"/>
    </row>
    <row r="344" spans="1:6" s="297" customFormat="1" thickBot="1">
      <c r="A344" s="298"/>
      <c r="B344" s="298"/>
      <c r="C344" s="282"/>
      <c r="D344" s="282"/>
      <c r="E344" s="282"/>
      <c r="F344" s="566"/>
    </row>
    <row r="345" spans="1:6" s="297" customFormat="1" thickBot="1">
      <c r="A345" s="298"/>
      <c r="B345" s="298"/>
      <c r="C345" s="282"/>
      <c r="D345" s="282"/>
      <c r="E345" s="282"/>
      <c r="F345" s="566"/>
    </row>
    <row r="346" spans="1:6" s="297" customFormat="1" thickBot="1">
      <c r="A346" s="298"/>
      <c r="B346" s="298"/>
      <c r="C346" s="282"/>
      <c r="D346" s="282"/>
      <c r="E346" s="282"/>
      <c r="F346" s="566"/>
    </row>
    <row r="347" spans="1:6" s="297" customFormat="1" thickBot="1">
      <c r="A347" s="298"/>
      <c r="B347" s="298"/>
      <c r="C347" s="282"/>
      <c r="D347" s="282"/>
      <c r="E347" s="282"/>
      <c r="F347" s="566"/>
    </row>
    <row r="348" spans="1:6" s="297" customFormat="1" thickBot="1">
      <c r="A348" s="298"/>
      <c r="B348" s="298"/>
      <c r="C348" s="282"/>
      <c r="D348" s="282"/>
      <c r="E348" s="282"/>
      <c r="F348" s="566"/>
    </row>
    <row r="349" spans="1:6" s="297" customFormat="1" thickBot="1">
      <c r="A349" s="298"/>
      <c r="B349" s="298"/>
      <c r="C349" s="282"/>
      <c r="D349" s="282"/>
      <c r="E349" s="282"/>
      <c r="F349" s="566"/>
    </row>
    <row r="350" spans="1:6" s="297" customFormat="1" thickBot="1">
      <c r="A350" s="298"/>
      <c r="B350" s="298"/>
      <c r="C350" s="282"/>
      <c r="D350" s="282"/>
      <c r="E350" s="282"/>
      <c r="F350" s="566"/>
    </row>
    <row r="351" spans="1:6" s="297" customFormat="1" thickBot="1">
      <c r="A351" s="298"/>
      <c r="B351" s="298"/>
      <c r="C351" s="282"/>
      <c r="D351" s="282"/>
      <c r="E351" s="282"/>
      <c r="F351" s="566"/>
    </row>
    <row r="352" spans="1:6" s="297" customFormat="1" thickBot="1">
      <c r="A352" s="298"/>
      <c r="B352" s="298"/>
      <c r="C352" s="282"/>
      <c r="D352" s="282"/>
      <c r="E352" s="282"/>
      <c r="F352" s="566"/>
    </row>
    <row r="353" spans="1:6" s="297" customFormat="1" thickBot="1">
      <c r="A353" s="298"/>
      <c r="B353" s="298"/>
      <c r="C353" s="282"/>
      <c r="D353" s="282"/>
      <c r="E353" s="282"/>
      <c r="F353" s="566"/>
    </row>
    <row r="354" spans="1:6" s="297" customFormat="1" thickBot="1">
      <c r="A354" s="298"/>
      <c r="B354" s="298"/>
      <c r="C354" s="282"/>
      <c r="D354" s="282"/>
      <c r="E354" s="282"/>
      <c r="F354" s="566"/>
    </row>
    <row r="355" spans="1:6" s="297" customFormat="1" thickBot="1">
      <c r="A355" s="298"/>
      <c r="B355" s="298"/>
      <c r="C355" s="282"/>
      <c r="D355" s="282"/>
      <c r="E355" s="282"/>
      <c r="F355" s="566"/>
    </row>
    <row r="356" spans="1:6" s="297" customFormat="1" thickBot="1">
      <c r="A356" s="298"/>
      <c r="B356" s="298"/>
      <c r="C356" s="282"/>
      <c r="D356" s="282"/>
      <c r="E356" s="282"/>
      <c r="F356" s="566"/>
    </row>
    <row r="357" spans="1:6" s="297" customFormat="1" thickBot="1">
      <c r="A357" s="298"/>
      <c r="B357" s="298"/>
      <c r="C357" s="282"/>
      <c r="D357" s="282"/>
      <c r="E357" s="282"/>
      <c r="F357" s="566"/>
    </row>
    <row r="358" spans="1:6" s="297" customFormat="1" thickBot="1">
      <c r="A358" s="298"/>
      <c r="B358" s="298"/>
      <c r="C358" s="282"/>
      <c r="D358" s="282"/>
      <c r="E358" s="282"/>
      <c r="F358" s="566"/>
    </row>
    <row r="359" spans="1:6" s="297" customFormat="1" thickBot="1">
      <c r="A359" s="298"/>
      <c r="B359" s="298"/>
      <c r="C359" s="282"/>
      <c r="D359" s="282"/>
      <c r="E359" s="282"/>
      <c r="F359" s="566"/>
    </row>
    <row r="360" spans="1:6" s="297" customFormat="1" thickBot="1">
      <c r="A360" s="298"/>
      <c r="B360" s="298"/>
      <c r="C360" s="282"/>
      <c r="D360" s="282"/>
      <c r="E360" s="282"/>
      <c r="F360" s="566"/>
    </row>
    <row r="361" spans="1:6" s="297" customFormat="1" thickBot="1">
      <c r="A361" s="298"/>
      <c r="B361" s="298"/>
      <c r="C361" s="282"/>
      <c r="D361" s="282"/>
      <c r="E361" s="282"/>
      <c r="F361" s="566"/>
    </row>
    <row r="362" spans="1:6" s="297" customFormat="1" thickBot="1">
      <c r="A362" s="298"/>
      <c r="B362" s="298"/>
      <c r="C362" s="282"/>
      <c r="D362" s="282"/>
      <c r="E362" s="282"/>
      <c r="F362" s="566"/>
    </row>
    <row r="363" spans="1:6" s="297" customFormat="1" thickBot="1">
      <c r="A363" s="298"/>
      <c r="B363" s="298"/>
      <c r="C363" s="282"/>
      <c r="D363" s="282"/>
      <c r="E363" s="282"/>
      <c r="F363" s="566"/>
    </row>
    <row r="364" spans="1:6" s="297" customFormat="1" thickBot="1">
      <c r="A364" s="298"/>
      <c r="B364" s="298"/>
      <c r="C364" s="282"/>
      <c r="D364" s="282"/>
      <c r="E364" s="282"/>
      <c r="F364" s="566"/>
    </row>
    <row r="365" spans="1:6" s="297" customFormat="1" thickBot="1">
      <c r="A365" s="298"/>
      <c r="B365" s="298"/>
      <c r="C365" s="282"/>
      <c r="D365" s="282"/>
      <c r="E365" s="282"/>
      <c r="F365" s="566"/>
    </row>
    <row r="366" spans="1:6" s="297" customFormat="1" thickBot="1">
      <c r="A366" s="298"/>
      <c r="B366" s="298"/>
      <c r="C366" s="282"/>
      <c r="D366" s="282"/>
      <c r="E366" s="282"/>
      <c r="F366" s="566"/>
    </row>
    <row r="367" spans="1:6" s="297" customFormat="1" thickBot="1">
      <c r="A367" s="298"/>
      <c r="B367" s="298"/>
      <c r="C367" s="282"/>
      <c r="D367" s="282"/>
      <c r="E367" s="282"/>
      <c r="F367" s="566"/>
    </row>
    <row r="368" spans="1:6" s="297" customFormat="1" thickBot="1">
      <c r="A368" s="298"/>
      <c r="B368" s="298"/>
      <c r="C368" s="282"/>
      <c r="D368" s="282"/>
      <c r="E368" s="282"/>
      <c r="F368" s="566"/>
    </row>
    <row r="369" spans="1:6" s="297" customFormat="1" thickBot="1">
      <c r="A369" s="298"/>
      <c r="B369" s="298"/>
      <c r="C369" s="282"/>
      <c r="D369" s="282"/>
      <c r="E369" s="282"/>
      <c r="F369" s="566"/>
    </row>
    <row r="370" spans="1:6" s="297" customFormat="1" thickBot="1">
      <c r="A370" s="298"/>
      <c r="B370" s="298"/>
      <c r="C370" s="282"/>
      <c r="D370" s="282"/>
      <c r="E370" s="282"/>
      <c r="F370" s="566"/>
    </row>
    <row r="371" spans="1:6" s="297" customFormat="1" thickBot="1">
      <c r="A371" s="298"/>
      <c r="B371" s="298"/>
      <c r="C371" s="282"/>
      <c r="D371" s="282"/>
      <c r="E371" s="282"/>
      <c r="F371" s="566"/>
    </row>
    <row r="372" spans="1:6" s="297" customFormat="1" thickBot="1">
      <c r="A372" s="298"/>
      <c r="B372" s="298"/>
      <c r="C372" s="282"/>
      <c r="D372" s="282"/>
      <c r="E372" s="282"/>
      <c r="F372" s="566"/>
    </row>
    <row r="373" spans="1:6" s="297" customFormat="1" thickBot="1">
      <c r="A373" s="298"/>
      <c r="B373" s="298"/>
      <c r="C373" s="282"/>
      <c r="D373" s="282"/>
      <c r="E373" s="282"/>
      <c r="F373" s="566"/>
    </row>
    <row r="374" spans="1:6" s="297" customFormat="1" thickBot="1">
      <c r="A374" s="298"/>
      <c r="B374" s="298"/>
      <c r="C374" s="282"/>
      <c r="D374" s="282"/>
      <c r="E374" s="282"/>
      <c r="F374" s="566"/>
    </row>
    <row r="375" spans="1:6" s="297" customFormat="1" thickBot="1">
      <c r="A375" s="298"/>
      <c r="B375" s="298"/>
      <c r="C375" s="282"/>
      <c r="D375" s="282"/>
      <c r="E375" s="282"/>
      <c r="F375" s="566"/>
    </row>
    <row r="376" spans="1:6" s="297" customFormat="1" thickBot="1">
      <c r="A376" s="298"/>
      <c r="B376" s="298"/>
      <c r="C376" s="282"/>
      <c r="D376" s="282"/>
      <c r="E376" s="282"/>
      <c r="F376" s="566"/>
    </row>
    <row r="377" spans="1:6" s="297" customFormat="1" thickBot="1">
      <c r="A377" s="298"/>
      <c r="B377" s="298"/>
      <c r="C377" s="282"/>
      <c r="D377" s="282"/>
      <c r="E377" s="282"/>
      <c r="F377" s="566"/>
    </row>
    <row r="378" spans="1:6" s="297" customFormat="1" thickBot="1">
      <c r="A378" s="298"/>
      <c r="B378" s="298"/>
      <c r="C378" s="282"/>
      <c r="D378" s="282"/>
      <c r="E378" s="282"/>
      <c r="F378" s="566"/>
    </row>
    <row r="379" spans="1:6" s="297" customFormat="1" thickBot="1">
      <c r="A379" s="298"/>
      <c r="B379" s="298"/>
      <c r="C379" s="282"/>
      <c r="D379" s="282"/>
      <c r="E379" s="282"/>
      <c r="F379" s="566"/>
    </row>
    <row r="380" spans="1:6" s="297" customFormat="1" thickBot="1">
      <c r="A380" s="298"/>
      <c r="B380" s="298"/>
      <c r="C380" s="282"/>
      <c r="D380" s="282"/>
      <c r="E380" s="282"/>
      <c r="F380" s="566"/>
    </row>
    <row r="381" spans="1:6" s="297" customFormat="1" thickBot="1">
      <c r="A381" s="298"/>
      <c r="B381" s="298"/>
      <c r="C381" s="282"/>
      <c r="D381" s="282"/>
      <c r="E381" s="282"/>
      <c r="F381" s="566"/>
    </row>
    <row r="382" spans="1:6" s="297" customFormat="1" thickBot="1">
      <c r="A382" s="298"/>
      <c r="B382" s="298"/>
      <c r="C382" s="282"/>
      <c r="D382" s="282"/>
      <c r="E382" s="282"/>
      <c r="F382" s="566"/>
    </row>
    <row r="383" spans="1:6" s="297" customFormat="1" thickBot="1">
      <c r="A383" s="298"/>
      <c r="B383" s="298"/>
      <c r="C383" s="282"/>
      <c r="D383" s="282"/>
      <c r="E383" s="282"/>
      <c r="F383" s="566"/>
    </row>
    <row r="384" spans="1:6" s="297" customFormat="1" thickBot="1">
      <c r="A384" s="298"/>
      <c r="B384" s="298"/>
      <c r="C384" s="282"/>
      <c r="D384" s="282"/>
      <c r="E384" s="282"/>
      <c r="F384" s="566"/>
    </row>
    <row r="385" spans="1:6" s="297" customFormat="1" thickBot="1">
      <c r="A385" s="298"/>
      <c r="B385" s="298"/>
      <c r="C385" s="282"/>
      <c r="D385" s="282"/>
      <c r="E385" s="282"/>
      <c r="F385" s="566"/>
    </row>
    <row r="386" spans="1:6" s="297" customFormat="1" thickBot="1">
      <c r="A386" s="298"/>
      <c r="B386" s="298"/>
      <c r="C386" s="282"/>
      <c r="D386" s="282"/>
      <c r="E386" s="282"/>
      <c r="F386" s="566"/>
    </row>
    <row r="387" spans="1:6" s="297" customFormat="1" thickBot="1">
      <c r="A387" s="298"/>
      <c r="B387" s="298"/>
      <c r="C387" s="282"/>
      <c r="D387" s="282"/>
      <c r="E387" s="282"/>
      <c r="F387" s="566"/>
    </row>
    <row r="388" spans="1:6" s="297" customFormat="1" thickBot="1">
      <c r="A388" s="298"/>
      <c r="B388" s="298"/>
      <c r="C388" s="282"/>
      <c r="D388" s="282"/>
      <c r="E388" s="282"/>
      <c r="F388" s="566"/>
    </row>
    <row r="389" spans="1:6" s="297" customFormat="1" thickBot="1">
      <c r="A389" s="298"/>
      <c r="B389" s="298"/>
      <c r="C389" s="282"/>
      <c r="D389" s="282"/>
      <c r="E389" s="282"/>
      <c r="F389" s="566"/>
    </row>
    <row r="390" spans="1:6" s="297" customFormat="1" thickBot="1">
      <c r="A390" s="298"/>
      <c r="B390" s="298"/>
      <c r="C390" s="282"/>
      <c r="D390" s="282"/>
      <c r="E390" s="282"/>
      <c r="F390" s="566"/>
    </row>
    <row r="391" spans="1:6" s="297" customFormat="1" thickBot="1">
      <c r="A391" s="298"/>
      <c r="B391" s="298"/>
      <c r="C391" s="282"/>
      <c r="D391" s="282"/>
      <c r="E391" s="282"/>
      <c r="F391" s="566"/>
    </row>
    <row r="392" spans="1:6" s="297" customFormat="1" thickBot="1">
      <c r="A392" s="298"/>
      <c r="B392" s="298"/>
      <c r="C392" s="282"/>
      <c r="D392" s="282"/>
      <c r="E392" s="282"/>
      <c r="F392" s="566"/>
    </row>
    <row r="393" spans="1:6" s="297" customFormat="1" thickBot="1">
      <c r="A393" s="298"/>
      <c r="B393" s="298"/>
      <c r="C393" s="282"/>
      <c r="D393" s="282"/>
      <c r="E393" s="282"/>
      <c r="F393" s="566"/>
    </row>
    <row r="394" spans="1:6" s="297" customFormat="1" thickBot="1">
      <c r="A394" s="298"/>
      <c r="B394" s="298"/>
      <c r="C394" s="282"/>
      <c r="D394" s="282"/>
      <c r="E394" s="282"/>
      <c r="F394" s="566"/>
    </row>
    <row r="395" spans="1:6" s="297" customFormat="1" thickBot="1">
      <c r="A395" s="298"/>
      <c r="B395" s="298"/>
      <c r="C395" s="282"/>
      <c r="D395" s="282"/>
      <c r="E395" s="282"/>
      <c r="F395" s="566"/>
    </row>
    <row r="396" spans="1:6" s="297" customFormat="1" thickBot="1">
      <c r="A396" s="298"/>
      <c r="B396" s="298"/>
      <c r="C396" s="282"/>
      <c r="D396" s="282"/>
      <c r="E396" s="282"/>
      <c r="F396" s="566"/>
    </row>
    <row r="397" spans="1:6" s="297" customFormat="1" thickBot="1">
      <c r="A397" s="298"/>
      <c r="B397" s="298"/>
      <c r="C397" s="282"/>
      <c r="D397" s="282"/>
      <c r="E397" s="282"/>
      <c r="F397" s="566"/>
    </row>
    <row r="398" spans="1:6" s="297" customFormat="1" thickBot="1">
      <c r="A398" s="298"/>
      <c r="B398" s="298"/>
      <c r="C398" s="282"/>
      <c r="D398" s="282"/>
      <c r="E398" s="282"/>
      <c r="F398" s="566"/>
    </row>
    <row r="399" spans="1:6" s="297" customFormat="1" thickBot="1">
      <c r="A399" s="298"/>
      <c r="B399" s="298"/>
      <c r="C399" s="282"/>
      <c r="D399" s="282"/>
      <c r="E399" s="282"/>
      <c r="F399" s="566"/>
    </row>
    <row r="400" spans="1:6" s="297" customFormat="1" thickBot="1">
      <c r="A400" s="298"/>
      <c r="B400" s="298"/>
      <c r="C400" s="282"/>
      <c r="D400" s="282"/>
      <c r="E400" s="282"/>
      <c r="F400" s="566"/>
    </row>
    <row r="401" spans="1:6" s="297" customFormat="1" thickBot="1">
      <c r="A401" s="298"/>
      <c r="B401" s="298"/>
      <c r="C401" s="282"/>
      <c r="D401" s="282"/>
      <c r="E401" s="282"/>
      <c r="F401" s="566"/>
    </row>
    <row r="402" spans="1:6" s="297" customFormat="1" thickBot="1">
      <c r="A402" s="298"/>
      <c r="B402" s="298"/>
      <c r="C402" s="282"/>
      <c r="D402" s="282"/>
      <c r="E402" s="282"/>
      <c r="F402" s="566"/>
    </row>
    <row r="403" spans="1:6" s="297" customFormat="1" thickBot="1">
      <c r="A403" s="298"/>
      <c r="B403" s="298"/>
      <c r="C403" s="282"/>
      <c r="D403" s="282"/>
      <c r="E403" s="282"/>
      <c r="F403" s="566"/>
    </row>
    <row r="404" spans="1:6" s="297" customFormat="1" thickBot="1">
      <c r="A404" s="298"/>
      <c r="B404" s="298"/>
      <c r="C404" s="282"/>
      <c r="D404" s="282"/>
      <c r="E404" s="282"/>
      <c r="F404" s="566"/>
    </row>
    <row r="405" spans="1:6" s="297" customFormat="1" thickBot="1">
      <c r="A405" s="298"/>
      <c r="B405" s="298"/>
      <c r="C405" s="282"/>
      <c r="D405" s="282"/>
      <c r="E405" s="282"/>
      <c r="F405" s="566"/>
    </row>
    <row r="406" spans="1:6" s="297" customFormat="1" thickBot="1">
      <c r="A406" s="298"/>
      <c r="B406" s="298"/>
      <c r="C406" s="282"/>
      <c r="D406" s="282"/>
      <c r="E406" s="282"/>
      <c r="F406" s="566"/>
    </row>
    <row r="407" spans="1:6" s="297" customFormat="1" thickBot="1">
      <c r="A407" s="298"/>
      <c r="B407" s="298"/>
      <c r="C407" s="282"/>
      <c r="D407" s="282"/>
      <c r="E407" s="282"/>
      <c r="F407" s="566"/>
    </row>
    <row r="408" spans="1:6" s="297" customFormat="1" thickBot="1">
      <c r="A408" s="298"/>
      <c r="B408" s="298"/>
      <c r="C408" s="282"/>
      <c r="D408" s="282"/>
      <c r="E408" s="282"/>
      <c r="F408" s="566"/>
    </row>
    <row r="409" spans="1:6" s="297" customFormat="1" thickBot="1">
      <c r="A409" s="298"/>
      <c r="B409" s="298"/>
      <c r="C409" s="282"/>
      <c r="D409" s="282"/>
      <c r="E409" s="282"/>
      <c r="F409" s="566"/>
    </row>
    <row r="410" spans="1:6" s="297" customFormat="1" thickBot="1">
      <c r="A410" s="298"/>
      <c r="B410" s="298"/>
      <c r="C410" s="282"/>
      <c r="D410" s="282"/>
      <c r="E410" s="282"/>
      <c r="F410" s="566"/>
    </row>
    <row r="411" spans="1:6" s="297" customFormat="1" thickBot="1">
      <c r="A411" s="298"/>
      <c r="B411" s="298"/>
      <c r="C411" s="282"/>
      <c r="D411" s="282"/>
      <c r="E411" s="282"/>
      <c r="F411" s="566"/>
    </row>
    <row r="412" spans="1:6" s="297" customFormat="1" thickBot="1">
      <c r="A412" s="298"/>
      <c r="B412" s="298"/>
      <c r="C412" s="282"/>
      <c r="D412" s="282"/>
      <c r="E412" s="282"/>
      <c r="F412" s="566"/>
    </row>
    <row r="413" spans="1:6" s="297" customFormat="1" thickBot="1">
      <c r="A413" s="298"/>
      <c r="B413" s="298"/>
      <c r="C413" s="282"/>
      <c r="D413" s="282"/>
      <c r="E413" s="282"/>
      <c r="F413" s="566"/>
    </row>
    <row r="414" spans="1:6" s="297" customFormat="1" thickBot="1">
      <c r="A414" s="298"/>
      <c r="B414" s="298"/>
      <c r="C414" s="282"/>
      <c r="D414" s="282"/>
      <c r="E414" s="282"/>
      <c r="F414" s="566"/>
    </row>
    <row r="415" spans="1:6" s="297" customFormat="1" thickBot="1">
      <c r="A415" s="298"/>
      <c r="B415" s="298"/>
      <c r="C415" s="282"/>
      <c r="D415" s="282"/>
      <c r="E415" s="282"/>
      <c r="F415" s="566"/>
    </row>
    <row r="416" spans="1:6" s="297" customFormat="1" thickBot="1">
      <c r="A416" s="298"/>
      <c r="B416" s="298"/>
      <c r="C416" s="282"/>
      <c r="D416" s="282"/>
      <c r="E416" s="282"/>
      <c r="F416" s="566"/>
    </row>
    <row r="417" spans="1:6" s="297" customFormat="1" thickBot="1">
      <c r="A417" s="298"/>
      <c r="B417" s="298"/>
      <c r="C417" s="282"/>
      <c r="D417" s="282"/>
      <c r="E417" s="282"/>
      <c r="F417" s="566"/>
    </row>
    <row r="418" spans="1:6" s="297" customFormat="1" thickBot="1">
      <c r="A418" s="298"/>
      <c r="B418" s="298"/>
      <c r="C418" s="282"/>
      <c r="D418" s="282"/>
      <c r="E418" s="282"/>
      <c r="F418" s="566"/>
    </row>
    <row r="419" spans="1:6" s="297" customFormat="1" thickBot="1">
      <c r="A419" s="298"/>
      <c r="B419" s="298"/>
      <c r="C419" s="282"/>
      <c r="D419" s="282"/>
      <c r="E419" s="282"/>
      <c r="F419" s="566"/>
    </row>
    <row r="420" spans="1:6" s="297" customFormat="1" thickBot="1">
      <c r="A420" s="298"/>
      <c r="B420" s="298"/>
      <c r="C420" s="282"/>
      <c r="D420" s="282"/>
      <c r="E420" s="282"/>
      <c r="F420" s="566"/>
    </row>
    <row r="421" spans="1:6" s="297" customFormat="1" thickBot="1">
      <c r="A421" s="298"/>
      <c r="B421" s="298"/>
      <c r="C421" s="282"/>
      <c r="D421" s="282"/>
      <c r="E421" s="282"/>
      <c r="F421" s="566"/>
    </row>
    <row r="422" spans="1:6" s="297" customFormat="1" thickBot="1">
      <c r="A422" s="298"/>
      <c r="B422" s="298"/>
      <c r="C422" s="282"/>
      <c r="D422" s="282"/>
      <c r="E422" s="282"/>
      <c r="F422" s="566"/>
    </row>
    <row r="423" spans="1:6" s="297" customFormat="1" thickBot="1">
      <c r="A423" s="298"/>
      <c r="B423" s="298"/>
      <c r="C423" s="282"/>
      <c r="D423" s="282"/>
      <c r="E423" s="282"/>
      <c r="F423" s="566"/>
    </row>
    <row r="424" spans="1:6" s="297" customFormat="1" thickBot="1">
      <c r="A424" s="298"/>
      <c r="B424" s="298"/>
      <c r="C424" s="282"/>
      <c r="D424" s="282"/>
      <c r="E424" s="282"/>
      <c r="F424" s="566"/>
    </row>
    <row r="425" spans="1:6" s="297" customFormat="1" thickBot="1">
      <c r="A425" s="298"/>
      <c r="B425" s="298"/>
      <c r="C425" s="282"/>
      <c r="D425" s="282"/>
      <c r="E425" s="282"/>
      <c r="F425" s="566"/>
    </row>
    <row r="426" spans="1:6" s="297" customFormat="1" thickBot="1">
      <c r="A426" s="298"/>
      <c r="B426" s="298"/>
      <c r="C426" s="282"/>
      <c r="D426" s="282"/>
      <c r="E426" s="282"/>
      <c r="F426" s="566"/>
    </row>
    <row r="427" spans="1:6" s="297" customFormat="1" thickBot="1">
      <c r="A427" s="298"/>
      <c r="B427" s="298"/>
      <c r="C427" s="282"/>
      <c r="D427" s="282"/>
      <c r="E427" s="282"/>
      <c r="F427" s="566"/>
    </row>
    <row r="428" spans="1:6" s="297" customFormat="1" thickBot="1">
      <c r="A428" s="298"/>
      <c r="B428" s="298"/>
      <c r="C428" s="282"/>
      <c r="D428" s="282"/>
      <c r="E428" s="282"/>
      <c r="F428" s="566"/>
    </row>
    <row r="429" spans="1:6" s="297" customFormat="1" thickBot="1">
      <c r="A429" s="298"/>
      <c r="B429" s="298"/>
      <c r="C429" s="282"/>
      <c r="D429" s="282"/>
      <c r="E429" s="282"/>
      <c r="F429" s="566"/>
    </row>
    <row r="430" spans="1:6" s="297" customFormat="1" thickBot="1">
      <c r="A430" s="298"/>
      <c r="B430" s="298"/>
      <c r="C430" s="282"/>
      <c r="D430" s="282"/>
      <c r="E430" s="282"/>
      <c r="F430" s="566"/>
    </row>
    <row r="431" spans="1:6" s="297" customFormat="1" thickBot="1">
      <c r="A431" s="298"/>
      <c r="B431" s="298"/>
      <c r="C431" s="282"/>
      <c r="D431" s="282"/>
      <c r="E431" s="282"/>
      <c r="F431" s="566"/>
    </row>
    <row r="432" spans="1:6" s="297" customFormat="1" thickBot="1">
      <c r="A432" s="298"/>
      <c r="B432" s="298"/>
      <c r="C432" s="282"/>
      <c r="D432" s="282"/>
      <c r="E432" s="282"/>
      <c r="F432" s="566"/>
    </row>
    <row r="433" spans="1:6" s="297" customFormat="1" thickBot="1">
      <c r="A433" s="298"/>
      <c r="B433" s="298"/>
      <c r="C433" s="282"/>
      <c r="D433" s="282"/>
      <c r="E433" s="282"/>
      <c r="F433" s="566"/>
    </row>
    <row r="434" spans="1:6" s="297" customFormat="1" thickBot="1">
      <c r="A434" s="298"/>
      <c r="B434" s="298"/>
      <c r="C434" s="282"/>
      <c r="D434" s="282"/>
      <c r="E434" s="282"/>
      <c r="F434" s="566"/>
    </row>
    <row r="435" spans="1:6" s="297" customFormat="1" thickBot="1">
      <c r="A435" s="298"/>
      <c r="B435" s="298"/>
      <c r="C435" s="282"/>
      <c r="D435" s="282"/>
      <c r="E435" s="282"/>
      <c r="F435" s="566"/>
    </row>
    <row r="436" spans="1:6" s="297" customFormat="1" thickBot="1">
      <c r="A436" s="298"/>
      <c r="B436" s="298"/>
      <c r="C436" s="282"/>
      <c r="D436" s="282"/>
      <c r="E436" s="282"/>
      <c r="F436" s="566"/>
    </row>
    <row r="437" spans="1:6" s="297" customFormat="1" thickBot="1">
      <c r="A437" s="298"/>
      <c r="B437" s="298"/>
      <c r="C437" s="282"/>
      <c r="D437" s="282"/>
      <c r="E437" s="282"/>
      <c r="F437" s="566"/>
    </row>
    <row r="438" spans="1:6" s="297" customFormat="1" thickBot="1">
      <c r="A438" s="298"/>
      <c r="B438" s="298"/>
      <c r="C438" s="282"/>
      <c r="D438" s="282"/>
      <c r="E438" s="282"/>
      <c r="F438" s="566"/>
    </row>
    <row r="439" spans="1:6" s="297" customFormat="1" thickBot="1">
      <c r="A439" s="298"/>
      <c r="B439" s="298"/>
      <c r="C439" s="282"/>
      <c r="D439" s="282"/>
      <c r="E439" s="282"/>
      <c r="F439" s="566"/>
    </row>
    <row r="440" spans="1:6" s="297" customFormat="1" thickBot="1">
      <c r="A440" s="298"/>
      <c r="B440" s="298"/>
      <c r="C440" s="282"/>
      <c r="D440" s="282"/>
      <c r="E440" s="282"/>
      <c r="F440" s="566"/>
    </row>
    <row r="441" spans="1:6" s="297" customFormat="1" thickBot="1">
      <c r="A441" s="298"/>
      <c r="B441" s="298"/>
      <c r="C441" s="282"/>
      <c r="D441" s="282"/>
      <c r="E441" s="282"/>
      <c r="F441" s="566"/>
    </row>
    <row r="442" spans="1:6" s="297" customFormat="1" thickBot="1">
      <c r="A442" s="298"/>
      <c r="B442" s="298"/>
      <c r="C442" s="282"/>
      <c r="D442" s="282"/>
      <c r="E442" s="282"/>
      <c r="F442" s="566"/>
    </row>
    <row r="443" spans="1:6" s="297" customFormat="1" thickBot="1">
      <c r="A443" s="298"/>
      <c r="B443" s="298"/>
      <c r="C443" s="282"/>
      <c r="D443" s="282"/>
      <c r="E443" s="282"/>
      <c r="F443" s="566"/>
    </row>
    <row r="444" spans="1:6" s="297" customFormat="1" thickBot="1">
      <c r="A444" s="298"/>
      <c r="B444" s="298"/>
      <c r="C444" s="282"/>
      <c r="D444" s="282"/>
      <c r="E444" s="282"/>
      <c r="F444" s="566"/>
    </row>
    <row r="445" spans="1:6" s="297" customFormat="1" thickBot="1">
      <c r="A445" s="298"/>
      <c r="B445" s="298"/>
      <c r="C445" s="282"/>
      <c r="D445" s="282"/>
      <c r="E445" s="282"/>
      <c r="F445" s="566"/>
    </row>
    <row r="446" spans="1:6" s="297" customFormat="1" thickBot="1">
      <c r="A446" s="298"/>
      <c r="B446" s="298"/>
      <c r="C446" s="282"/>
      <c r="D446" s="282"/>
      <c r="E446" s="282"/>
      <c r="F446" s="566"/>
    </row>
    <row r="447" spans="1:6" s="297" customFormat="1" thickBot="1">
      <c r="A447" s="298"/>
      <c r="B447" s="298"/>
      <c r="C447" s="282"/>
      <c r="D447" s="282"/>
      <c r="E447" s="282"/>
      <c r="F447" s="566"/>
    </row>
    <row r="448" spans="1:6" s="297" customFormat="1" thickBot="1">
      <c r="A448" s="298"/>
      <c r="B448" s="298"/>
      <c r="C448" s="282"/>
      <c r="D448" s="282"/>
      <c r="E448" s="282"/>
      <c r="F448" s="566"/>
    </row>
    <row r="449" spans="1:6" s="297" customFormat="1" thickBot="1">
      <c r="A449" s="298"/>
      <c r="B449" s="298"/>
      <c r="C449" s="282"/>
      <c r="D449" s="282"/>
      <c r="E449" s="282"/>
      <c r="F449" s="566"/>
    </row>
    <row r="450" spans="1:6" s="297" customFormat="1" thickBot="1">
      <c r="A450" s="298"/>
      <c r="B450" s="298"/>
      <c r="C450" s="282"/>
      <c r="D450" s="282"/>
      <c r="E450" s="282"/>
      <c r="F450" s="566"/>
    </row>
    <row r="451" spans="1:6" s="297" customFormat="1" thickBot="1">
      <c r="A451" s="298"/>
      <c r="B451" s="298"/>
      <c r="C451" s="282"/>
      <c r="D451" s="282"/>
      <c r="E451" s="282"/>
      <c r="F451" s="566"/>
    </row>
    <row r="452" spans="1:6" s="297" customFormat="1" thickBot="1">
      <c r="A452" s="298"/>
      <c r="B452" s="298"/>
      <c r="C452" s="282"/>
      <c r="D452" s="282"/>
      <c r="E452" s="282"/>
      <c r="F452" s="566"/>
    </row>
    <row r="453" spans="1:6" s="297" customFormat="1" thickBot="1">
      <c r="A453" s="298"/>
      <c r="B453" s="298"/>
      <c r="C453" s="282"/>
      <c r="D453" s="282"/>
      <c r="E453" s="282"/>
      <c r="F453" s="566"/>
    </row>
    <row r="454" spans="1:6" s="297" customFormat="1" thickBot="1">
      <c r="A454" s="298"/>
      <c r="B454" s="298"/>
      <c r="C454" s="282"/>
      <c r="D454" s="282"/>
      <c r="E454" s="282"/>
      <c r="F454" s="566"/>
    </row>
    <row r="455" spans="1:6" s="297" customFormat="1" thickBot="1">
      <c r="A455" s="298"/>
      <c r="B455" s="298"/>
      <c r="C455" s="282"/>
      <c r="D455" s="282"/>
      <c r="E455" s="282"/>
      <c r="F455" s="566"/>
    </row>
    <row r="456" spans="1:6" s="297" customFormat="1" thickBot="1">
      <c r="A456" s="298"/>
      <c r="B456" s="298"/>
      <c r="C456" s="282"/>
      <c r="D456" s="282"/>
      <c r="E456" s="282"/>
      <c r="F456" s="566"/>
    </row>
    <row r="457" spans="1:6" s="297" customFormat="1" thickBot="1">
      <c r="A457" s="298"/>
      <c r="B457" s="298"/>
      <c r="C457" s="282"/>
      <c r="D457" s="282"/>
      <c r="E457" s="282"/>
      <c r="F457" s="566"/>
    </row>
    <row r="458" spans="1:6" s="297" customFormat="1" thickBot="1">
      <c r="A458" s="298"/>
      <c r="B458" s="298"/>
      <c r="C458" s="282"/>
      <c r="D458" s="282"/>
      <c r="E458" s="282"/>
      <c r="F458" s="566"/>
    </row>
    <row r="459" spans="1:6" s="297" customFormat="1" thickBot="1">
      <c r="A459" s="298"/>
      <c r="B459" s="298"/>
      <c r="C459" s="282"/>
      <c r="D459" s="282"/>
      <c r="E459" s="282"/>
      <c r="F459" s="566"/>
    </row>
    <row r="460" spans="1:6" s="297" customFormat="1" thickBot="1">
      <c r="A460" s="298"/>
      <c r="B460" s="298"/>
      <c r="C460" s="282"/>
      <c r="D460" s="282"/>
      <c r="E460" s="282"/>
      <c r="F460" s="566"/>
    </row>
    <row r="461" spans="1:6" s="297" customFormat="1" thickBot="1">
      <c r="A461" s="298"/>
      <c r="B461" s="298"/>
      <c r="C461" s="282"/>
      <c r="D461" s="282"/>
      <c r="E461" s="282"/>
      <c r="F461" s="566"/>
    </row>
    <row r="462" spans="1:6" s="297" customFormat="1" thickBot="1">
      <c r="A462" s="298"/>
      <c r="B462" s="298"/>
      <c r="C462" s="282"/>
      <c r="D462" s="282"/>
      <c r="E462" s="282"/>
      <c r="F462" s="566"/>
    </row>
    <row r="463" spans="1:6" s="297" customFormat="1" thickBot="1">
      <c r="A463" s="298"/>
      <c r="B463" s="298"/>
      <c r="C463" s="282"/>
      <c r="D463" s="282"/>
      <c r="E463" s="282"/>
      <c r="F463" s="566"/>
    </row>
    <row r="464" spans="1:6" s="297" customFormat="1" thickBot="1">
      <c r="A464" s="298"/>
      <c r="B464" s="298"/>
      <c r="C464" s="282"/>
      <c r="D464" s="282"/>
      <c r="E464" s="282"/>
      <c r="F464" s="566"/>
    </row>
    <row r="465" spans="1:6" s="297" customFormat="1" thickBot="1">
      <c r="A465" s="298"/>
      <c r="B465" s="298"/>
      <c r="C465" s="282"/>
      <c r="D465" s="282"/>
      <c r="E465" s="282"/>
      <c r="F465" s="566"/>
    </row>
    <row r="466" spans="1:6" s="297" customFormat="1" thickBot="1">
      <c r="A466" s="298"/>
      <c r="B466" s="298"/>
      <c r="C466" s="282"/>
      <c r="D466" s="282"/>
      <c r="E466" s="282"/>
      <c r="F466" s="566"/>
    </row>
    <row r="467" spans="1:6" s="297" customFormat="1" thickBot="1">
      <c r="A467" s="298"/>
      <c r="B467" s="298"/>
      <c r="C467" s="282"/>
      <c r="D467" s="282"/>
      <c r="E467" s="282"/>
      <c r="F467" s="566"/>
    </row>
    <row r="468" spans="1:6" s="297" customFormat="1" thickBot="1">
      <c r="A468" s="298"/>
      <c r="B468" s="298"/>
      <c r="C468" s="282"/>
      <c r="D468" s="282"/>
      <c r="E468" s="282"/>
      <c r="F468" s="566"/>
    </row>
    <row r="469" spans="1:6" s="297" customFormat="1" thickBot="1">
      <c r="A469" s="298"/>
      <c r="B469" s="298"/>
      <c r="C469" s="282"/>
      <c r="D469" s="282"/>
      <c r="E469" s="282"/>
      <c r="F469" s="566"/>
    </row>
    <row r="470" spans="1:6" s="297" customFormat="1" thickBot="1">
      <c r="A470" s="298"/>
      <c r="B470" s="298"/>
      <c r="C470" s="282"/>
      <c r="D470" s="282"/>
      <c r="E470" s="282"/>
      <c r="F470" s="566"/>
    </row>
    <row r="471" spans="1:6" s="297" customFormat="1" thickBot="1">
      <c r="A471" s="298"/>
      <c r="B471" s="298"/>
      <c r="C471" s="282"/>
      <c r="D471" s="282"/>
      <c r="E471" s="282"/>
      <c r="F471" s="566"/>
    </row>
    <row r="472" spans="1:6" s="297" customFormat="1" thickBot="1">
      <c r="A472" s="298"/>
      <c r="B472" s="298"/>
      <c r="C472" s="282"/>
      <c r="D472" s="282"/>
      <c r="E472" s="282"/>
      <c r="F472" s="566"/>
    </row>
    <row r="473" spans="1:6" s="297" customFormat="1" thickBot="1">
      <c r="A473" s="298"/>
      <c r="B473" s="298"/>
      <c r="C473" s="282"/>
      <c r="D473" s="282"/>
      <c r="E473" s="282"/>
      <c r="F473" s="566"/>
    </row>
    <row r="474" spans="1:6" s="297" customFormat="1" thickBot="1">
      <c r="A474" s="298"/>
      <c r="B474" s="298"/>
      <c r="C474" s="282"/>
      <c r="D474" s="282"/>
      <c r="E474" s="282"/>
      <c r="F474" s="566"/>
    </row>
    <row r="475" spans="1:6" s="297" customFormat="1" thickBot="1">
      <c r="A475" s="298"/>
      <c r="B475" s="298"/>
      <c r="C475" s="282"/>
      <c r="D475" s="282"/>
      <c r="E475" s="282"/>
      <c r="F475" s="566"/>
    </row>
    <row r="476" spans="1:6" s="297" customFormat="1" thickBot="1">
      <c r="A476" s="298"/>
      <c r="B476" s="298"/>
      <c r="C476" s="282"/>
      <c r="D476" s="282"/>
      <c r="E476" s="282"/>
      <c r="F476" s="566"/>
    </row>
    <row r="477" spans="1:6" s="297" customFormat="1" thickBot="1">
      <c r="A477" s="298"/>
      <c r="B477" s="298"/>
      <c r="C477" s="282"/>
      <c r="D477" s="282"/>
      <c r="E477" s="282"/>
      <c r="F477" s="566"/>
    </row>
    <row r="478" spans="1:6" s="297" customFormat="1" thickBot="1">
      <c r="A478" s="298"/>
      <c r="B478" s="298"/>
      <c r="C478" s="282"/>
      <c r="D478" s="282"/>
      <c r="E478" s="282"/>
      <c r="F478" s="566"/>
    </row>
    <row r="479" spans="1:6" s="297" customFormat="1" thickBot="1">
      <c r="A479" s="298"/>
      <c r="B479" s="298"/>
      <c r="C479" s="282"/>
      <c r="D479" s="282"/>
      <c r="E479" s="282"/>
      <c r="F479" s="566"/>
    </row>
    <row r="480" spans="1:6" s="297" customFormat="1" thickBot="1">
      <c r="A480" s="298"/>
      <c r="B480" s="298"/>
      <c r="C480" s="282"/>
      <c r="D480" s="282"/>
      <c r="E480" s="282"/>
      <c r="F480" s="566"/>
    </row>
    <row r="481" spans="1:6" s="297" customFormat="1" thickBot="1">
      <c r="A481" s="298"/>
      <c r="B481" s="298"/>
      <c r="C481" s="282"/>
      <c r="D481" s="282"/>
      <c r="E481" s="282"/>
      <c r="F481" s="566"/>
    </row>
    <row r="482" spans="1:6" s="297" customFormat="1" thickBot="1">
      <c r="A482" s="298"/>
      <c r="B482" s="298"/>
      <c r="C482" s="282"/>
      <c r="D482" s="282"/>
      <c r="E482" s="282"/>
      <c r="F482" s="566"/>
    </row>
    <row r="483" spans="1:6" s="297" customFormat="1" thickBot="1">
      <c r="A483" s="298"/>
      <c r="B483" s="298"/>
      <c r="C483" s="282"/>
      <c r="D483" s="282"/>
      <c r="E483" s="282"/>
      <c r="F483" s="566"/>
    </row>
    <row r="484" spans="1:6" s="297" customFormat="1" thickBot="1">
      <c r="A484" s="298"/>
      <c r="B484" s="298"/>
      <c r="C484" s="282"/>
      <c r="D484" s="282"/>
      <c r="E484" s="282"/>
      <c r="F484" s="566"/>
    </row>
    <row r="485" spans="1:6" s="297" customFormat="1" thickBot="1">
      <c r="A485" s="298"/>
      <c r="B485" s="298"/>
      <c r="C485" s="282"/>
      <c r="D485" s="282"/>
      <c r="E485" s="282"/>
      <c r="F485" s="566"/>
    </row>
    <row r="486" spans="1:6" s="297" customFormat="1" thickBot="1">
      <c r="A486" s="298"/>
      <c r="B486" s="298"/>
      <c r="C486" s="282"/>
      <c r="D486" s="282"/>
      <c r="E486" s="282"/>
      <c r="F486" s="566"/>
    </row>
    <row r="487" spans="1:6" s="297" customFormat="1" thickBot="1">
      <c r="A487" s="298"/>
      <c r="B487" s="298"/>
      <c r="C487" s="282"/>
      <c r="D487" s="282"/>
      <c r="E487" s="282"/>
      <c r="F487" s="566"/>
    </row>
    <row r="488" spans="1:6" s="297" customFormat="1" thickBot="1">
      <c r="A488" s="298"/>
      <c r="B488" s="298"/>
      <c r="C488" s="282"/>
      <c r="D488" s="282"/>
      <c r="E488" s="282"/>
      <c r="F488" s="566"/>
    </row>
    <row r="489" spans="1:6" s="297" customFormat="1" thickBot="1">
      <c r="A489" s="298"/>
      <c r="B489" s="298"/>
      <c r="C489" s="282"/>
      <c r="D489" s="282"/>
      <c r="E489" s="282"/>
      <c r="F489" s="566"/>
    </row>
    <row r="490" spans="1:6" s="297" customFormat="1" thickBot="1">
      <c r="A490" s="298"/>
      <c r="B490" s="298"/>
      <c r="C490" s="282"/>
      <c r="D490" s="282"/>
      <c r="E490" s="282"/>
      <c r="F490" s="566"/>
    </row>
    <row r="491" spans="1:6" s="297" customFormat="1" thickBot="1">
      <c r="A491" s="298"/>
      <c r="B491" s="298"/>
      <c r="C491" s="282"/>
      <c r="D491" s="282"/>
      <c r="E491" s="282"/>
      <c r="F491" s="566"/>
    </row>
    <row r="492" spans="1:6" s="297" customFormat="1" thickBot="1">
      <c r="A492" s="298"/>
      <c r="B492" s="298"/>
      <c r="C492" s="282"/>
      <c r="D492" s="282"/>
      <c r="E492" s="282"/>
      <c r="F492" s="566"/>
    </row>
    <row r="493" spans="1:6" s="297" customFormat="1" thickBot="1">
      <c r="A493" s="298"/>
      <c r="B493" s="298"/>
      <c r="C493" s="282"/>
      <c r="D493" s="282"/>
      <c r="E493" s="282"/>
      <c r="F493" s="566"/>
    </row>
    <row r="494" spans="1:6" s="297" customFormat="1" thickBot="1">
      <c r="A494" s="298"/>
      <c r="B494" s="298"/>
      <c r="C494" s="282"/>
      <c r="D494" s="282"/>
      <c r="E494" s="282"/>
      <c r="F494" s="566"/>
    </row>
    <row r="495" spans="1:6" s="297" customFormat="1" thickBot="1">
      <c r="A495" s="298"/>
      <c r="B495" s="298"/>
      <c r="C495" s="282"/>
      <c r="D495" s="282"/>
      <c r="E495" s="282"/>
      <c r="F495" s="566"/>
    </row>
    <row r="496" spans="1:6" s="297" customFormat="1" thickBot="1">
      <c r="A496" s="298"/>
      <c r="B496" s="298"/>
      <c r="C496" s="282"/>
      <c r="D496" s="282"/>
      <c r="E496" s="282"/>
      <c r="F496" s="566"/>
    </row>
    <row r="497" spans="1:6" s="297" customFormat="1" thickBot="1">
      <c r="A497" s="298"/>
      <c r="B497" s="298"/>
      <c r="C497" s="282"/>
      <c r="D497" s="282"/>
      <c r="E497" s="282"/>
      <c r="F497" s="566"/>
    </row>
    <row r="498" spans="1:6" s="297" customFormat="1" thickBot="1">
      <c r="A498" s="298"/>
      <c r="B498" s="298"/>
      <c r="C498" s="282"/>
      <c r="D498" s="282"/>
      <c r="E498" s="282"/>
      <c r="F498" s="566"/>
    </row>
    <row r="499" spans="1:6" s="297" customFormat="1" thickBot="1">
      <c r="A499" s="298"/>
      <c r="B499" s="298"/>
      <c r="C499" s="282"/>
      <c r="D499" s="282"/>
      <c r="E499" s="282"/>
      <c r="F499" s="566"/>
    </row>
    <row r="500" spans="1:6" s="297" customFormat="1" thickBot="1">
      <c r="A500" s="298"/>
      <c r="B500" s="298"/>
      <c r="C500" s="282"/>
      <c r="D500" s="282"/>
      <c r="E500" s="282"/>
      <c r="F500" s="566"/>
    </row>
    <row r="501" spans="1:6" s="297" customFormat="1" thickBot="1">
      <c r="A501" s="298"/>
      <c r="B501" s="298"/>
      <c r="C501" s="282"/>
      <c r="D501" s="282"/>
      <c r="E501" s="282"/>
      <c r="F501" s="566"/>
    </row>
    <row r="502" spans="1:6" s="297" customFormat="1" thickBot="1">
      <c r="A502" s="298"/>
      <c r="B502" s="298"/>
      <c r="C502" s="282"/>
      <c r="D502" s="282"/>
      <c r="E502" s="282"/>
      <c r="F502" s="566"/>
    </row>
    <row r="503" spans="1:6" s="297" customFormat="1" thickBot="1">
      <c r="A503" s="298"/>
      <c r="B503" s="298"/>
      <c r="C503" s="282"/>
      <c r="D503" s="282"/>
      <c r="E503" s="282"/>
      <c r="F503" s="566"/>
    </row>
    <row r="504" spans="1:6" s="297" customFormat="1" thickBot="1">
      <c r="A504" s="298"/>
      <c r="B504" s="298"/>
      <c r="C504" s="282"/>
      <c r="D504" s="282"/>
      <c r="E504" s="282"/>
      <c r="F504" s="566"/>
    </row>
    <row r="505" spans="1:6" s="297" customFormat="1" thickBot="1">
      <c r="A505" s="298"/>
      <c r="B505" s="298"/>
      <c r="C505" s="282"/>
      <c r="D505" s="282"/>
      <c r="E505" s="282"/>
      <c r="F505" s="566"/>
    </row>
    <row r="506" spans="1:6" s="297" customFormat="1" thickBot="1">
      <c r="A506" s="298"/>
      <c r="B506" s="298"/>
      <c r="C506" s="282"/>
      <c r="D506" s="282"/>
      <c r="E506" s="282"/>
      <c r="F506" s="566"/>
    </row>
    <row r="507" spans="1:6" s="297" customFormat="1" thickBot="1">
      <c r="A507" s="298"/>
      <c r="B507" s="298"/>
      <c r="C507" s="282"/>
      <c r="D507" s="282"/>
      <c r="E507" s="282"/>
      <c r="F507" s="566"/>
    </row>
    <row r="508" spans="1:6" s="297" customFormat="1" thickBot="1">
      <c r="A508" s="298"/>
      <c r="B508" s="298"/>
      <c r="C508" s="282"/>
      <c r="D508" s="282"/>
      <c r="E508" s="282"/>
      <c r="F508" s="566"/>
    </row>
    <row r="509" spans="1:6" s="297" customFormat="1" thickBot="1">
      <c r="A509" s="298"/>
      <c r="B509" s="298"/>
      <c r="C509" s="282"/>
      <c r="D509" s="282"/>
      <c r="E509" s="282"/>
      <c r="F509" s="566"/>
    </row>
    <row r="510" spans="1:6" s="297" customFormat="1" thickBot="1">
      <c r="A510" s="298"/>
      <c r="B510" s="298"/>
      <c r="C510" s="282"/>
      <c r="D510" s="282"/>
      <c r="E510" s="282"/>
      <c r="F510" s="566"/>
    </row>
    <row r="511" spans="1:6" s="297" customFormat="1" thickBot="1">
      <c r="A511" s="298"/>
      <c r="B511" s="298"/>
      <c r="C511" s="282"/>
      <c r="D511" s="282"/>
      <c r="E511" s="282"/>
      <c r="F511" s="566"/>
    </row>
    <row r="512" spans="1:6" s="297" customFormat="1" thickBot="1">
      <c r="A512" s="298"/>
      <c r="B512" s="298"/>
      <c r="C512" s="282"/>
      <c r="D512" s="282"/>
      <c r="E512" s="282"/>
      <c r="F512" s="566"/>
    </row>
    <row r="513" spans="1:6" s="297" customFormat="1" thickBot="1">
      <c r="A513" s="298"/>
      <c r="B513" s="298"/>
      <c r="C513" s="282"/>
      <c r="D513" s="282"/>
      <c r="E513" s="282"/>
      <c r="F513" s="566"/>
    </row>
    <row r="514" spans="1:6" s="297" customFormat="1" thickBot="1">
      <c r="A514" s="298"/>
      <c r="B514" s="298"/>
      <c r="C514" s="282"/>
      <c r="D514" s="282"/>
      <c r="E514" s="282"/>
      <c r="F514" s="566"/>
    </row>
    <row r="515" spans="1:6" s="297" customFormat="1" thickBot="1">
      <c r="A515" s="298"/>
      <c r="B515" s="298"/>
      <c r="C515" s="282"/>
      <c r="D515" s="282"/>
      <c r="E515" s="282"/>
      <c r="F515" s="566"/>
    </row>
    <row r="516" spans="1:6" s="297" customFormat="1" thickBot="1">
      <c r="A516" s="298"/>
      <c r="B516" s="298"/>
      <c r="C516" s="282"/>
      <c r="D516" s="282"/>
      <c r="E516" s="282"/>
      <c r="F516" s="566"/>
    </row>
    <row r="517" spans="1:6" s="297" customFormat="1" thickBot="1">
      <c r="A517" s="298"/>
      <c r="B517" s="298"/>
      <c r="C517" s="282"/>
      <c r="D517" s="282"/>
      <c r="E517" s="282"/>
      <c r="F517" s="566"/>
    </row>
    <row r="518" spans="1:6" s="297" customFormat="1" thickBot="1">
      <c r="A518" s="298"/>
      <c r="B518" s="298"/>
      <c r="C518" s="282"/>
      <c r="D518" s="282"/>
      <c r="E518" s="282"/>
      <c r="F518" s="566"/>
    </row>
    <row r="519" spans="1:6" s="297" customFormat="1" thickBot="1">
      <c r="A519" s="298"/>
      <c r="B519" s="298"/>
      <c r="C519" s="282"/>
      <c r="D519" s="282"/>
      <c r="E519" s="282"/>
      <c r="F519" s="566"/>
    </row>
    <row r="520" spans="1:6" s="297" customFormat="1" thickBot="1">
      <c r="A520" s="298"/>
      <c r="B520" s="298"/>
      <c r="C520" s="282"/>
      <c r="D520" s="282"/>
      <c r="E520" s="282"/>
      <c r="F520" s="566"/>
    </row>
    <row r="521" spans="1:6" s="297" customFormat="1" thickBot="1">
      <c r="A521" s="298"/>
      <c r="B521" s="298"/>
      <c r="C521" s="282"/>
      <c r="D521" s="282"/>
      <c r="E521" s="282"/>
      <c r="F521" s="566"/>
    </row>
    <row r="522" spans="1:6" s="297" customFormat="1" thickBot="1">
      <c r="A522" s="298"/>
      <c r="B522" s="298"/>
      <c r="C522" s="282"/>
      <c r="D522" s="282"/>
      <c r="E522" s="282"/>
      <c r="F522" s="566"/>
    </row>
    <row r="523" spans="1:6" s="297" customFormat="1" thickBot="1">
      <c r="A523" s="298"/>
      <c r="B523" s="298"/>
      <c r="C523" s="282"/>
      <c r="D523" s="282"/>
      <c r="E523" s="282"/>
      <c r="F523" s="566"/>
    </row>
    <row r="524" spans="1:6" s="297" customFormat="1" thickBot="1">
      <c r="A524" s="298"/>
      <c r="B524" s="298"/>
      <c r="C524" s="282"/>
      <c r="D524" s="282"/>
      <c r="E524" s="282"/>
      <c r="F524" s="566"/>
    </row>
    <row r="525" spans="1:6" s="297" customFormat="1" thickBot="1">
      <c r="A525" s="298"/>
      <c r="B525" s="298"/>
      <c r="C525" s="282"/>
      <c r="D525" s="282"/>
      <c r="E525" s="282"/>
      <c r="F525" s="566"/>
    </row>
    <row r="526" spans="1:6" s="297" customFormat="1" thickBot="1">
      <c r="A526" s="298"/>
      <c r="B526" s="298"/>
      <c r="C526" s="282"/>
      <c r="D526" s="282"/>
      <c r="E526" s="282"/>
      <c r="F526" s="566"/>
    </row>
    <row r="527" spans="1:6" s="297" customFormat="1" thickBot="1">
      <c r="A527" s="298"/>
      <c r="B527" s="298"/>
      <c r="C527" s="282"/>
      <c r="D527" s="282"/>
      <c r="E527" s="282"/>
      <c r="F527" s="566"/>
    </row>
    <row r="528" spans="1:6" s="297" customFormat="1" thickBot="1">
      <c r="A528" s="298"/>
      <c r="B528" s="298"/>
      <c r="C528" s="282"/>
      <c r="D528" s="282"/>
      <c r="E528" s="282"/>
      <c r="F528" s="566"/>
    </row>
    <row r="529" spans="1:6" s="297" customFormat="1" thickBot="1">
      <c r="A529" s="298"/>
      <c r="B529" s="298"/>
      <c r="C529" s="282"/>
      <c r="D529" s="282"/>
      <c r="E529" s="282"/>
      <c r="F529" s="566"/>
    </row>
    <row r="530" spans="1:6" s="297" customFormat="1" thickBot="1">
      <c r="A530" s="298"/>
      <c r="B530" s="298"/>
      <c r="C530" s="282"/>
      <c r="D530" s="282"/>
      <c r="E530" s="282"/>
      <c r="F530" s="566"/>
    </row>
    <row r="531" spans="1:6" s="297" customFormat="1" thickBot="1">
      <c r="A531" s="298"/>
      <c r="B531" s="298"/>
      <c r="C531" s="282"/>
      <c r="D531" s="282"/>
      <c r="E531" s="282"/>
      <c r="F531" s="566"/>
    </row>
    <row r="532" spans="1:6" s="297" customFormat="1" thickBot="1">
      <c r="A532" s="298"/>
      <c r="B532" s="298"/>
      <c r="C532" s="282"/>
      <c r="D532" s="282"/>
      <c r="E532" s="282"/>
      <c r="F532" s="566"/>
    </row>
    <row r="533" spans="1:6" s="297" customFormat="1" thickBot="1">
      <c r="A533" s="298"/>
      <c r="B533" s="298"/>
      <c r="C533" s="282"/>
      <c r="D533" s="282"/>
      <c r="E533" s="282"/>
      <c r="F533" s="566"/>
    </row>
    <row r="534" spans="1:6" s="297" customFormat="1" thickBot="1">
      <c r="A534" s="298"/>
      <c r="B534" s="298"/>
      <c r="C534" s="282"/>
      <c r="D534" s="282"/>
      <c r="E534" s="282"/>
      <c r="F534" s="566"/>
    </row>
    <row r="535" spans="1:6" s="297" customFormat="1" thickBot="1">
      <c r="A535" s="298"/>
      <c r="B535" s="298"/>
      <c r="C535" s="282"/>
      <c r="D535" s="282"/>
      <c r="E535" s="282"/>
      <c r="F535" s="566"/>
    </row>
    <row r="536" spans="1:6" s="297" customFormat="1" thickBot="1">
      <c r="A536" s="298"/>
      <c r="B536" s="298"/>
      <c r="C536" s="282"/>
      <c r="D536" s="282"/>
      <c r="E536" s="282"/>
      <c r="F536" s="566"/>
    </row>
    <row r="537" spans="1:6" s="297" customFormat="1" thickBot="1">
      <c r="A537" s="298"/>
      <c r="B537" s="298"/>
      <c r="C537" s="282"/>
      <c r="D537" s="282"/>
      <c r="E537" s="282"/>
      <c r="F537" s="566"/>
    </row>
    <row r="538" spans="1:6" s="297" customFormat="1" thickBot="1">
      <c r="A538" s="298"/>
      <c r="B538" s="298"/>
      <c r="C538" s="282"/>
      <c r="D538" s="282"/>
      <c r="E538" s="282"/>
      <c r="F538" s="566"/>
    </row>
    <row r="539" spans="1:6" s="297" customFormat="1" thickBot="1">
      <c r="A539" s="298"/>
      <c r="B539" s="298"/>
      <c r="C539" s="282"/>
      <c r="D539" s="282"/>
      <c r="E539" s="282"/>
      <c r="F539" s="566"/>
    </row>
    <row r="540" spans="1:6" s="297" customFormat="1" thickBot="1">
      <c r="A540" s="298"/>
      <c r="B540" s="298"/>
      <c r="C540" s="282"/>
      <c r="D540" s="282"/>
      <c r="E540" s="282"/>
      <c r="F540" s="566"/>
    </row>
    <row r="541" spans="1:6" s="297" customFormat="1" thickBot="1">
      <c r="A541" s="298"/>
      <c r="B541" s="298"/>
      <c r="C541" s="282"/>
      <c r="D541" s="282"/>
      <c r="E541" s="282"/>
      <c r="F541" s="566"/>
    </row>
    <row r="542" spans="1:6" s="297" customFormat="1" thickBot="1">
      <c r="A542" s="298"/>
      <c r="B542" s="298"/>
      <c r="C542" s="282"/>
      <c r="D542" s="282"/>
      <c r="E542" s="282"/>
      <c r="F542" s="566"/>
    </row>
    <row r="543" spans="1:6" s="297" customFormat="1" thickBot="1">
      <c r="A543" s="298"/>
      <c r="B543" s="298"/>
      <c r="C543" s="282"/>
      <c r="D543" s="282"/>
      <c r="E543" s="282"/>
      <c r="F543" s="566"/>
    </row>
    <row r="544" spans="1:6" s="297" customFormat="1" thickBot="1">
      <c r="A544" s="298"/>
      <c r="B544" s="298"/>
      <c r="C544" s="282"/>
      <c r="D544" s="282"/>
      <c r="E544" s="282"/>
      <c r="F544" s="566"/>
    </row>
    <row r="545" spans="1:6" s="297" customFormat="1" thickBot="1">
      <c r="A545" s="298"/>
      <c r="B545" s="298"/>
      <c r="C545" s="282"/>
      <c r="D545" s="282"/>
      <c r="E545" s="282"/>
      <c r="F545" s="566"/>
    </row>
    <row r="546" spans="1:6" s="297" customFormat="1" thickBot="1">
      <c r="A546" s="298"/>
      <c r="B546" s="298"/>
      <c r="C546" s="282"/>
      <c r="D546" s="282"/>
      <c r="E546" s="282"/>
      <c r="F546" s="566"/>
    </row>
    <row r="547" spans="1:6" s="297" customFormat="1" thickBot="1">
      <c r="A547" s="298"/>
      <c r="B547" s="298"/>
      <c r="C547" s="282"/>
      <c r="D547" s="282"/>
      <c r="E547" s="282"/>
      <c r="F547" s="566"/>
    </row>
    <row r="548" spans="1:6" s="297" customFormat="1" thickBot="1">
      <c r="A548" s="298"/>
      <c r="B548" s="298"/>
      <c r="C548" s="282"/>
      <c r="D548" s="282"/>
      <c r="E548" s="282"/>
      <c r="F548" s="566"/>
    </row>
    <row r="549" spans="1:6" s="297" customFormat="1" thickBot="1">
      <c r="A549" s="298"/>
      <c r="B549" s="298"/>
      <c r="C549" s="282"/>
      <c r="D549" s="282"/>
      <c r="E549" s="282"/>
      <c r="F549" s="566"/>
    </row>
    <row r="550" spans="1:6" s="297" customFormat="1" thickBot="1">
      <c r="A550" s="298"/>
      <c r="B550" s="298"/>
      <c r="C550" s="282"/>
      <c r="D550" s="282"/>
      <c r="E550" s="282"/>
      <c r="F550" s="566"/>
    </row>
    <row r="551" spans="1:6" s="297" customFormat="1" thickBot="1">
      <c r="A551" s="298"/>
      <c r="B551" s="298"/>
      <c r="C551" s="282"/>
      <c r="D551" s="282"/>
      <c r="E551" s="282"/>
      <c r="F551" s="566"/>
    </row>
    <row r="552" spans="1:6" s="297" customFormat="1" thickBot="1">
      <c r="A552" s="298"/>
      <c r="B552" s="298"/>
      <c r="C552" s="282"/>
      <c r="D552" s="282"/>
      <c r="E552" s="282"/>
      <c r="F552" s="566"/>
    </row>
    <row r="553" spans="1:6" s="297" customFormat="1" thickBot="1">
      <c r="A553" s="298"/>
      <c r="B553" s="298"/>
      <c r="C553" s="282"/>
      <c r="D553" s="282"/>
      <c r="E553" s="282"/>
      <c r="F553" s="566"/>
    </row>
    <row r="554" spans="1:6" s="297" customFormat="1" thickBot="1">
      <c r="A554" s="298"/>
      <c r="B554" s="298"/>
      <c r="C554" s="282"/>
      <c r="D554" s="282"/>
      <c r="E554" s="282"/>
      <c r="F554" s="566"/>
    </row>
    <row r="555" spans="1:6" s="297" customFormat="1" thickBot="1">
      <c r="A555" s="298"/>
      <c r="B555" s="298"/>
      <c r="C555" s="282"/>
      <c r="D555" s="282"/>
      <c r="E555" s="282"/>
      <c r="F555" s="566"/>
    </row>
    <row r="556" spans="1:6" s="297" customFormat="1" thickBot="1">
      <c r="A556" s="298"/>
      <c r="B556" s="298"/>
      <c r="C556" s="282"/>
      <c r="D556" s="282"/>
      <c r="E556" s="282"/>
      <c r="F556" s="566"/>
    </row>
    <row r="557" spans="1:6" s="297" customFormat="1" thickBot="1">
      <c r="A557" s="298"/>
      <c r="B557" s="298"/>
      <c r="C557" s="282"/>
      <c r="D557" s="282"/>
      <c r="E557" s="282"/>
      <c r="F557" s="566"/>
    </row>
    <row r="558" spans="1:6" s="297" customFormat="1" thickBot="1">
      <c r="A558" s="298"/>
      <c r="B558" s="298"/>
      <c r="C558" s="282"/>
      <c r="D558" s="282"/>
      <c r="E558" s="282"/>
      <c r="F558" s="566"/>
    </row>
    <row r="559" spans="1:6" s="297" customFormat="1" thickBot="1">
      <c r="A559" s="298"/>
      <c r="B559" s="298"/>
      <c r="C559" s="282"/>
      <c r="D559" s="282"/>
      <c r="E559" s="282"/>
      <c r="F559" s="566"/>
    </row>
    <row r="560" spans="1:6" s="297" customFormat="1" thickBot="1">
      <c r="A560" s="298"/>
      <c r="B560" s="298"/>
      <c r="C560" s="282"/>
      <c r="D560" s="282"/>
      <c r="E560" s="282"/>
      <c r="F560" s="566"/>
    </row>
    <row r="561" spans="1:6" s="297" customFormat="1" thickBot="1">
      <c r="A561" s="298"/>
      <c r="B561" s="298"/>
      <c r="C561" s="282"/>
      <c r="D561" s="282"/>
      <c r="E561" s="282"/>
      <c r="F561" s="566"/>
    </row>
    <row r="562" spans="1:6" s="297" customFormat="1" thickBot="1">
      <c r="A562" s="298"/>
      <c r="B562" s="298"/>
      <c r="C562" s="282"/>
      <c r="D562" s="282"/>
      <c r="E562" s="282"/>
      <c r="F562" s="566"/>
    </row>
    <row r="563" spans="1:6" s="297" customFormat="1" thickBot="1">
      <c r="A563" s="298"/>
      <c r="B563" s="298"/>
      <c r="C563" s="282"/>
      <c r="D563" s="282"/>
      <c r="E563" s="282"/>
      <c r="F563" s="566"/>
    </row>
    <row r="564" spans="1:6" s="297" customFormat="1" thickBot="1">
      <c r="A564" s="298"/>
      <c r="B564" s="298"/>
      <c r="C564" s="282"/>
      <c r="D564" s="282"/>
      <c r="E564" s="282"/>
      <c r="F564" s="566"/>
    </row>
    <row r="565" spans="1:6" s="297" customFormat="1" thickBot="1">
      <c r="A565" s="298"/>
      <c r="B565" s="298"/>
      <c r="C565" s="282"/>
      <c r="D565" s="282"/>
      <c r="E565" s="282"/>
      <c r="F565" s="566"/>
    </row>
    <row r="566" spans="1:6" s="297" customFormat="1" thickBot="1">
      <c r="A566" s="298"/>
      <c r="B566" s="298"/>
      <c r="C566" s="282"/>
      <c r="D566" s="282"/>
      <c r="E566" s="282"/>
      <c r="F566" s="566"/>
    </row>
    <row r="567" spans="1:6" s="297" customFormat="1" thickBot="1">
      <c r="A567" s="298"/>
      <c r="B567" s="298"/>
      <c r="C567" s="282"/>
      <c r="D567" s="282"/>
      <c r="E567" s="282"/>
      <c r="F567" s="566"/>
    </row>
    <row r="568" spans="1:6" s="297" customFormat="1" thickBot="1">
      <c r="A568" s="298"/>
      <c r="B568" s="298"/>
      <c r="C568" s="282"/>
      <c r="D568" s="282"/>
      <c r="E568" s="282"/>
      <c r="F568" s="566"/>
    </row>
    <row r="569" spans="1:6" s="297" customFormat="1" thickBot="1">
      <c r="A569" s="298"/>
      <c r="B569" s="298"/>
      <c r="C569" s="282"/>
      <c r="D569" s="282"/>
      <c r="E569" s="282"/>
      <c r="F569" s="566"/>
    </row>
    <row r="570" spans="1:6" s="297" customFormat="1" thickBot="1">
      <c r="A570" s="298"/>
      <c r="B570" s="298"/>
      <c r="C570" s="282"/>
      <c r="D570" s="282"/>
      <c r="E570" s="282"/>
      <c r="F570" s="566"/>
    </row>
    <row r="571" spans="1:6" s="297" customFormat="1" thickBot="1">
      <c r="A571" s="298"/>
      <c r="B571" s="298"/>
      <c r="C571" s="282"/>
      <c r="D571" s="282"/>
      <c r="E571" s="282"/>
      <c r="F571" s="566"/>
    </row>
    <row r="572" spans="1:6" s="297" customFormat="1" thickBot="1">
      <c r="A572" s="298"/>
      <c r="B572" s="298"/>
      <c r="C572" s="282"/>
      <c r="D572" s="282"/>
      <c r="E572" s="282"/>
      <c r="F572" s="566"/>
    </row>
    <row r="573" spans="1:6" s="297" customFormat="1" thickBot="1">
      <c r="A573" s="298"/>
      <c r="B573" s="298"/>
      <c r="C573" s="282"/>
      <c r="D573" s="282"/>
      <c r="E573" s="282"/>
      <c r="F573" s="566"/>
    </row>
    <row r="574" spans="1:6" s="297" customFormat="1" thickBot="1">
      <c r="A574" s="298"/>
      <c r="B574" s="298"/>
      <c r="C574" s="282"/>
      <c r="D574" s="282"/>
      <c r="E574" s="282"/>
      <c r="F574" s="566"/>
    </row>
    <row r="575" spans="1:6" s="297" customFormat="1" thickBot="1">
      <c r="A575" s="298"/>
      <c r="B575" s="298"/>
      <c r="C575" s="282"/>
      <c r="D575" s="282"/>
      <c r="E575" s="282"/>
      <c r="F575" s="566"/>
    </row>
    <row r="576" spans="1:6" s="297" customFormat="1" thickBot="1">
      <c r="A576" s="298"/>
      <c r="B576" s="298"/>
      <c r="C576" s="282"/>
      <c r="D576" s="282"/>
      <c r="E576" s="282"/>
      <c r="F576" s="566"/>
    </row>
    <row r="577" spans="1:6" s="297" customFormat="1" thickBot="1">
      <c r="A577" s="298"/>
      <c r="B577" s="298"/>
      <c r="C577" s="282"/>
      <c r="D577" s="282"/>
      <c r="E577" s="282"/>
      <c r="F577" s="566"/>
    </row>
    <row r="578" spans="1:6" s="297" customFormat="1" thickBot="1">
      <c r="A578" s="298"/>
      <c r="B578" s="298"/>
      <c r="C578" s="282"/>
      <c r="D578" s="282"/>
      <c r="E578" s="282"/>
      <c r="F578" s="566"/>
    </row>
    <row r="579" spans="1:6" s="297" customFormat="1" thickBot="1">
      <c r="A579" s="298"/>
      <c r="B579" s="298"/>
      <c r="C579" s="282"/>
      <c r="D579" s="282"/>
      <c r="E579" s="282"/>
      <c r="F579" s="566"/>
    </row>
    <row r="580" spans="1:6" s="297" customFormat="1" thickBot="1">
      <c r="A580" s="298"/>
      <c r="B580" s="298"/>
      <c r="C580" s="282"/>
      <c r="D580" s="282"/>
      <c r="E580" s="282"/>
      <c r="F580" s="566"/>
    </row>
    <row r="581" spans="1:6" s="297" customFormat="1" thickBot="1">
      <c r="A581" s="298"/>
      <c r="B581" s="298"/>
      <c r="C581" s="282"/>
      <c r="D581" s="282"/>
      <c r="E581" s="282"/>
      <c r="F581" s="566"/>
    </row>
    <row r="582" spans="1:6" s="297" customFormat="1" thickBot="1">
      <c r="A582" s="298"/>
      <c r="B582" s="298"/>
      <c r="C582" s="282"/>
      <c r="D582" s="282"/>
      <c r="E582" s="282"/>
      <c r="F582" s="566"/>
    </row>
    <row r="583" spans="1:6" s="297" customFormat="1" thickBot="1">
      <c r="A583" s="298"/>
      <c r="B583" s="298"/>
      <c r="C583" s="282"/>
      <c r="D583" s="282"/>
      <c r="E583" s="282"/>
      <c r="F583" s="566"/>
    </row>
    <row r="584" spans="1:6" s="297" customFormat="1" thickBot="1">
      <c r="A584" s="298"/>
      <c r="B584" s="298"/>
      <c r="C584" s="282"/>
      <c r="D584" s="282"/>
      <c r="E584" s="282"/>
      <c r="F584" s="566"/>
    </row>
    <row r="585" spans="1:6" s="297" customFormat="1" thickBot="1">
      <c r="A585" s="298"/>
      <c r="B585" s="298"/>
      <c r="C585" s="282"/>
      <c r="D585" s="282"/>
      <c r="E585" s="282"/>
      <c r="F585" s="566"/>
    </row>
    <row r="586" spans="1:6" s="297" customFormat="1" thickBot="1">
      <c r="A586" s="298"/>
      <c r="B586" s="298"/>
      <c r="C586" s="282"/>
      <c r="D586" s="282"/>
      <c r="E586" s="282"/>
      <c r="F586" s="566"/>
    </row>
    <row r="587" spans="1:6" s="297" customFormat="1" thickBot="1">
      <c r="A587" s="298"/>
      <c r="B587" s="298"/>
      <c r="C587" s="282"/>
      <c r="D587" s="282"/>
      <c r="E587" s="282"/>
      <c r="F587" s="566"/>
    </row>
    <row r="588" spans="1:6" s="297" customFormat="1" thickBot="1">
      <c r="A588" s="298"/>
      <c r="B588" s="298"/>
      <c r="C588" s="282"/>
      <c r="D588" s="282"/>
      <c r="E588" s="282"/>
      <c r="F588" s="566"/>
    </row>
    <row r="589" spans="1:6" s="297" customFormat="1" thickBot="1">
      <c r="A589" s="298"/>
      <c r="B589" s="298"/>
      <c r="C589" s="282"/>
      <c r="D589" s="282"/>
      <c r="E589" s="282"/>
      <c r="F589" s="566"/>
    </row>
    <row r="590" spans="1:6" s="297" customFormat="1" thickBot="1">
      <c r="A590" s="298"/>
      <c r="B590" s="298"/>
      <c r="C590" s="282"/>
      <c r="D590" s="282"/>
      <c r="E590" s="282"/>
      <c r="F590" s="566"/>
    </row>
    <row r="591" spans="1:6" s="297" customFormat="1" thickBot="1">
      <c r="A591" s="298"/>
      <c r="B591" s="298"/>
      <c r="C591" s="282"/>
      <c r="D591" s="282"/>
      <c r="E591" s="282"/>
      <c r="F591" s="566"/>
    </row>
    <row r="592" spans="1:6" s="297" customFormat="1" thickBot="1">
      <c r="A592" s="298"/>
      <c r="B592" s="298"/>
      <c r="C592" s="282"/>
      <c r="D592" s="282"/>
      <c r="E592" s="282"/>
      <c r="F592" s="566"/>
    </row>
    <row r="593" spans="1:6" s="297" customFormat="1" thickBot="1">
      <c r="A593" s="298"/>
      <c r="B593" s="298"/>
      <c r="C593" s="282"/>
      <c r="D593" s="282"/>
      <c r="E593" s="282"/>
      <c r="F593" s="566"/>
    </row>
    <row r="594" spans="1:6" s="297" customFormat="1" thickBot="1">
      <c r="A594" s="298"/>
      <c r="B594" s="298"/>
      <c r="C594" s="282"/>
      <c r="D594" s="282"/>
      <c r="E594" s="282"/>
      <c r="F594" s="566"/>
    </row>
    <row r="595" spans="1:6" s="297" customFormat="1" thickBot="1">
      <c r="A595" s="298"/>
      <c r="B595" s="298"/>
      <c r="C595" s="282"/>
      <c r="D595" s="282"/>
      <c r="E595" s="282"/>
      <c r="F595" s="566"/>
    </row>
    <row r="596" spans="1:6" s="297" customFormat="1" thickBot="1">
      <c r="A596" s="298"/>
      <c r="B596" s="298"/>
      <c r="C596" s="282"/>
      <c r="D596" s="282"/>
      <c r="E596" s="282"/>
      <c r="F596" s="566"/>
    </row>
    <row r="597" spans="1:6" s="297" customFormat="1" thickBot="1">
      <c r="A597" s="298"/>
      <c r="B597" s="298"/>
      <c r="C597" s="282"/>
      <c r="D597" s="282"/>
      <c r="E597" s="282"/>
      <c r="F597" s="566"/>
    </row>
    <row r="598" spans="1:6" s="297" customFormat="1" thickBot="1">
      <c r="A598" s="298"/>
      <c r="B598" s="298"/>
      <c r="C598" s="282"/>
      <c r="D598" s="282"/>
      <c r="E598" s="282"/>
      <c r="F598" s="566"/>
    </row>
    <row r="599" spans="1:6" s="297" customFormat="1" thickBot="1">
      <c r="A599" s="298"/>
      <c r="B599" s="298"/>
      <c r="C599" s="282"/>
      <c r="D599" s="282"/>
      <c r="E599" s="282"/>
      <c r="F599" s="566"/>
    </row>
    <row r="600" spans="1:6" s="297" customFormat="1" thickBot="1">
      <c r="A600" s="298"/>
      <c r="B600" s="298"/>
      <c r="C600" s="282"/>
      <c r="D600" s="282"/>
      <c r="E600" s="282"/>
      <c r="F600" s="566"/>
    </row>
    <row r="601" spans="1:6" s="297" customFormat="1" thickBot="1">
      <c r="A601" s="298"/>
      <c r="B601" s="298"/>
      <c r="C601" s="282"/>
      <c r="D601" s="282"/>
      <c r="E601" s="282"/>
      <c r="F601" s="566"/>
    </row>
    <row r="602" spans="1:6" s="297" customFormat="1" thickBot="1">
      <c r="A602" s="298"/>
      <c r="B602" s="298"/>
      <c r="C602" s="282"/>
      <c r="D602" s="282"/>
      <c r="E602" s="282"/>
      <c r="F602" s="566"/>
    </row>
    <row r="603" spans="1:6" s="297" customFormat="1" thickBot="1">
      <c r="A603" s="298"/>
      <c r="B603" s="298"/>
      <c r="C603" s="282"/>
      <c r="D603" s="282"/>
      <c r="E603" s="282"/>
      <c r="F603" s="566"/>
    </row>
    <row r="604" spans="1:6" s="297" customFormat="1" thickBot="1">
      <c r="A604" s="298"/>
      <c r="B604" s="298"/>
      <c r="C604" s="282"/>
      <c r="D604" s="282"/>
      <c r="E604" s="282"/>
      <c r="F604" s="566"/>
    </row>
    <row r="605" spans="1:6" s="297" customFormat="1" thickBot="1">
      <c r="A605" s="298"/>
      <c r="B605" s="298"/>
      <c r="C605" s="282"/>
      <c r="D605" s="282"/>
      <c r="E605" s="282"/>
      <c r="F605" s="566"/>
    </row>
    <row r="606" spans="1:6" s="297" customFormat="1" thickBot="1">
      <c r="A606" s="298"/>
      <c r="B606" s="298"/>
      <c r="C606" s="282"/>
      <c r="D606" s="282"/>
      <c r="E606" s="282"/>
      <c r="F606" s="566"/>
    </row>
    <row r="607" spans="1:6" s="297" customFormat="1" thickBot="1">
      <c r="A607" s="298"/>
      <c r="B607" s="298"/>
      <c r="C607" s="282"/>
      <c r="D607" s="282"/>
      <c r="E607" s="282"/>
      <c r="F607" s="566"/>
    </row>
    <row r="608" spans="1:6" s="297" customFormat="1" thickBot="1">
      <c r="A608" s="298"/>
      <c r="B608" s="298"/>
      <c r="C608" s="282"/>
      <c r="D608" s="282"/>
      <c r="E608" s="282"/>
      <c r="F608" s="566"/>
    </row>
    <row r="609" spans="1:6" s="297" customFormat="1" thickBot="1">
      <c r="A609" s="298"/>
      <c r="B609" s="298"/>
      <c r="C609" s="282"/>
      <c r="D609" s="282"/>
      <c r="E609" s="282"/>
      <c r="F609" s="566"/>
    </row>
    <row r="610" spans="1:6" s="297" customFormat="1" thickBot="1">
      <c r="A610" s="298"/>
      <c r="B610" s="298"/>
      <c r="C610" s="282"/>
      <c r="D610" s="282"/>
      <c r="E610" s="282"/>
      <c r="F610" s="566"/>
    </row>
    <row r="611" spans="1:6" s="297" customFormat="1" thickBot="1">
      <c r="A611" s="298"/>
      <c r="B611" s="298"/>
      <c r="C611" s="282"/>
      <c r="D611" s="282"/>
      <c r="E611" s="282"/>
      <c r="F611" s="566"/>
    </row>
    <row r="612" spans="1:6" s="297" customFormat="1" thickBot="1">
      <c r="A612" s="298"/>
      <c r="B612" s="298"/>
      <c r="C612" s="282"/>
      <c r="D612" s="282"/>
      <c r="E612" s="282"/>
      <c r="F612" s="566"/>
    </row>
    <row r="613" spans="1:6" s="297" customFormat="1" thickBot="1">
      <c r="A613" s="298"/>
      <c r="B613" s="298"/>
      <c r="C613" s="282"/>
      <c r="D613" s="282"/>
      <c r="E613" s="282"/>
      <c r="F613" s="566"/>
    </row>
    <row r="614" spans="1:6" s="297" customFormat="1" thickBot="1">
      <c r="A614" s="298"/>
      <c r="B614" s="298"/>
      <c r="C614" s="282"/>
      <c r="D614" s="282"/>
      <c r="E614" s="282"/>
      <c r="F614" s="566"/>
    </row>
    <row r="615" spans="1:6" s="297" customFormat="1" thickBot="1">
      <c r="A615" s="298"/>
      <c r="B615" s="298"/>
      <c r="C615" s="282"/>
      <c r="D615" s="282"/>
      <c r="E615" s="282"/>
      <c r="F615" s="566"/>
    </row>
    <row r="616" spans="1:6" s="297" customFormat="1" thickBot="1">
      <c r="A616" s="298"/>
      <c r="B616" s="298"/>
      <c r="C616" s="282"/>
      <c r="D616" s="282"/>
      <c r="E616" s="282"/>
      <c r="F616" s="566"/>
    </row>
    <row r="617" spans="1:6" s="297" customFormat="1" thickBot="1">
      <c r="A617" s="298"/>
      <c r="B617" s="298"/>
      <c r="C617" s="282"/>
      <c r="D617" s="282"/>
      <c r="E617" s="282"/>
      <c r="F617" s="566"/>
    </row>
    <row r="618" spans="1:6" s="297" customFormat="1" thickBot="1">
      <c r="A618" s="298"/>
      <c r="B618" s="298"/>
      <c r="C618" s="282"/>
      <c r="D618" s="282"/>
      <c r="E618" s="282"/>
      <c r="F618" s="566"/>
    </row>
    <row r="619" spans="1:6" s="297" customFormat="1" thickBot="1">
      <c r="A619" s="298"/>
      <c r="B619" s="298"/>
      <c r="C619" s="282"/>
      <c r="D619" s="282"/>
      <c r="E619" s="282"/>
      <c r="F619" s="566"/>
    </row>
    <row r="620" spans="1:6" s="297" customFormat="1" thickBot="1">
      <c r="A620" s="298"/>
      <c r="B620" s="298"/>
      <c r="C620" s="282"/>
      <c r="D620" s="282"/>
      <c r="E620" s="282"/>
      <c r="F620" s="566"/>
    </row>
    <row r="621" spans="1:6" s="297" customFormat="1" thickBot="1">
      <c r="A621" s="298"/>
      <c r="B621" s="298"/>
      <c r="C621" s="282"/>
      <c r="D621" s="282"/>
      <c r="E621" s="282"/>
      <c r="F621" s="566"/>
    </row>
    <row r="622" spans="1:6" s="297" customFormat="1" thickBot="1">
      <c r="A622" s="298"/>
      <c r="B622" s="298"/>
      <c r="C622" s="282"/>
      <c r="D622" s="282"/>
      <c r="E622" s="282"/>
      <c r="F622" s="566"/>
    </row>
    <row r="623" spans="1:6" s="297" customFormat="1" thickBot="1">
      <c r="A623" s="298"/>
      <c r="B623" s="298"/>
      <c r="C623" s="282"/>
      <c r="D623" s="282"/>
      <c r="E623" s="282"/>
      <c r="F623" s="566"/>
    </row>
    <row r="624" spans="1:6" s="297" customFormat="1" thickBot="1">
      <c r="A624" s="298"/>
      <c r="B624" s="298"/>
      <c r="C624" s="282"/>
      <c r="D624" s="282"/>
      <c r="E624" s="282"/>
      <c r="F624" s="566"/>
    </row>
    <row r="625" spans="1:6" s="297" customFormat="1" thickBot="1">
      <c r="A625" s="298"/>
      <c r="B625" s="298"/>
      <c r="C625" s="282"/>
      <c r="D625" s="282"/>
      <c r="E625" s="282"/>
      <c r="F625" s="566"/>
    </row>
    <row r="626" spans="1:6" s="297" customFormat="1" thickBot="1">
      <c r="A626" s="298"/>
      <c r="B626" s="298"/>
      <c r="C626" s="282"/>
      <c r="D626" s="282"/>
      <c r="E626" s="282"/>
      <c r="F626" s="566"/>
    </row>
    <row r="627" spans="1:6" s="297" customFormat="1" thickBot="1">
      <c r="A627" s="298"/>
      <c r="B627" s="298"/>
      <c r="C627" s="282"/>
      <c r="D627" s="282"/>
      <c r="E627" s="282"/>
      <c r="F627" s="566"/>
    </row>
    <row r="628" spans="1:6" s="297" customFormat="1" thickBot="1">
      <c r="A628" s="298"/>
      <c r="B628" s="298"/>
      <c r="C628" s="282"/>
      <c r="D628" s="282"/>
      <c r="E628" s="282"/>
      <c r="F628" s="566"/>
    </row>
    <row r="629" spans="1:6" s="297" customFormat="1" thickBot="1">
      <c r="A629" s="298"/>
      <c r="B629" s="298"/>
      <c r="C629" s="282"/>
      <c r="D629" s="282"/>
      <c r="E629" s="282"/>
      <c r="F629" s="566"/>
    </row>
    <row r="630" spans="1:6" s="297" customFormat="1" thickBot="1">
      <c r="A630" s="298"/>
      <c r="B630" s="298"/>
      <c r="C630" s="282"/>
      <c r="D630" s="282"/>
      <c r="E630" s="282"/>
      <c r="F630" s="566"/>
    </row>
    <row r="631" spans="1:6" s="297" customFormat="1" thickBot="1">
      <c r="A631" s="298"/>
      <c r="B631" s="298"/>
      <c r="C631" s="282"/>
      <c r="D631" s="282"/>
      <c r="E631" s="282"/>
      <c r="F631" s="566"/>
    </row>
    <row r="632" spans="1:6" s="297" customFormat="1" thickBot="1">
      <c r="A632" s="298"/>
      <c r="B632" s="298"/>
      <c r="C632" s="282"/>
      <c r="D632" s="282"/>
      <c r="E632" s="282"/>
      <c r="F632" s="566"/>
    </row>
    <row r="633" spans="1:6" s="297" customFormat="1" thickBot="1">
      <c r="A633" s="298"/>
      <c r="B633" s="298"/>
      <c r="C633" s="282"/>
      <c r="D633" s="282"/>
      <c r="E633" s="282"/>
      <c r="F633" s="566"/>
    </row>
    <row r="634" spans="1:6" s="297" customFormat="1" thickBot="1">
      <c r="A634" s="298"/>
      <c r="B634" s="298"/>
      <c r="C634" s="282"/>
      <c r="D634" s="282"/>
      <c r="E634" s="282"/>
      <c r="F634" s="566"/>
    </row>
    <row r="635" spans="1:6" s="297" customFormat="1" thickBot="1">
      <c r="A635" s="298"/>
      <c r="B635" s="298"/>
      <c r="C635" s="282"/>
      <c r="D635" s="282"/>
      <c r="E635" s="282"/>
      <c r="F635" s="566"/>
    </row>
    <row r="636" spans="1:6" s="297" customFormat="1" thickBot="1">
      <c r="A636" s="298"/>
      <c r="B636" s="298"/>
      <c r="C636" s="282"/>
      <c r="D636" s="282"/>
      <c r="E636" s="282"/>
      <c r="F636" s="566"/>
    </row>
    <row r="637" spans="1:6" s="297" customFormat="1" thickBot="1">
      <c r="A637" s="298"/>
      <c r="B637" s="298"/>
      <c r="C637" s="282"/>
      <c r="D637" s="282"/>
      <c r="E637" s="282"/>
      <c r="F637" s="566"/>
    </row>
    <row r="638" spans="1:6" s="297" customFormat="1" thickBot="1">
      <c r="A638" s="298"/>
      <c r="B638" s="298"/>
      <c r="C638" s="282"/>
      <c r="D638" s="282"/>
      <c r="E638" s="282"/>
      <c r="F638" s="566"/>
    </row>
    <row r="639" spans="1:6" s="297" customFormat="1" thickBot="1">
      <c r="A639" s="298"/>
      <c r="B639" s="298"/>
      <c r="C639" s="282"/>
      <c r="D639" s="282"/>
      <c r="E639" s="282"/>
      <c r="F639" s="566"/>
    </row>
    <row r="640" spans="1:6" s="297" customFormat="1" thickBot="1">
      <c r="A640" s="298"/>
      <c r="B640" s="298"/>
      <c r="C640" s="282"/>
      <c r="D640" s="282"/>
      <c r="E640" s="282"/>
      <c r="F640" s="566"/>
    </row>
    <row r="641" spans="1:6" s="297" customFormat="1" thickBot="1">
      <c r="A641" s="298"/>
      <c r="B641" s="298"/>
      <c r="C641" s="282"/>
      <c r="D641" s="282"/>
      <c r="E641" s="282"/>
      <c r="F641" s="566"/>
    </row>
    <row r="642" spans="1:6" s="297" customFormat="1" thickBot="1">
      <c r="A642" s="298"/>
      <c r="B642" s="298"/>
      <c r="C642" s="282"/>
      <c r="D642" s="282"/>
      <c r="E642" s="282"/>
      <c r="F642" s="566"/>
    </row>
    <row r="643" spans="1:6" s="297" customFormat="1" thickBot="1">
      <c r="A643" s="298"/>
      <c r="B643" s="298"/>
      <c r="C643" s="282"/>
      <c r="D643" s="282"/>
      <c r="E643" s="282"/>
      <c r="F643" s="566"/>
    </row>
    <row r="644" spans="1:6" s="297" customFormat="1" thickBot="1">
      <c r="A644" s="298"/>
      <c r="B644" s="298"/>
      <c r="C644" s="282"/>
      <c r="D644" s="282"/>
      <c r="E644" s="282"/>
      <c r="F644" s="566"/>
    </row>
    <row r="645" spans="1:6" s="297" customFormat="1" thickBot="1">
      <c r="A645" s="298"/>
      <c r="B645" s="298"/>
      <c r="C645" s="282"/>
      <c r="D645" s="282"/>
      <c r="E645" s="282"/>
      <c r="F645" s="566"/>
    </row>
    <row r="646" spans="1:6" s="297" customFormat="1" thickBot="1">
      <c r="A646" s="298"/>
      <c r="B646" s="298"/>
      <c r="C646" s="282"/>
      <c r="D646" s="282"/>
      <c r="E646" s="282"/>
      <c r="F646" s="566"/>
    </row>
    <row r="647" spans="1:6" s="297" customFormat="1" thickBot="1">
      <c r="A647" s="298"/>
      <c r="B647" s="298"/>
      <c r="C647" s="282"/>
      <c r="D647" s="282"/>
      <c r="E647" s="282"/>
      <c r="F647" s="566"/>
    </row>
    <row r="648" spans="1:6" s="297" customFormat="1" thickBot="1">
      <c r="A648" s="298"/>
      <c r="B648" s="298"/>
      <c r="C648" s="282"/>
      <c r="D648" s="282"/>
      <c r="E648" s="282"/>
      <c r="F648" s="566"/>
    </row>
    <row r="649" spans="1:6" s="297" customFormat="1" thickBot="1">
      <c r="A649" s="298"/>
      <c r="B649" s="298"/>
      <c r="C649" s="282"/>
      <c r="D649" s="282"/>
      <c r="E649" s="282"/>
      <c r="F649" s="566"/>
    </row>
    <row r="650" spans="1:6" s="297" customFormat="1" thickBot="1">
      <c r="A650" s="298"/>
      <c r="B650" s="298"/>
      <c r="C650" s="282"/>
      <c r="D650" s="282"/>
      <c r="E650" s="282"/>
      <c r="F650" s="566"/>
    </row>
    <row r="651" spans="1:6" s="297" customFormat="1" thickBot="1">
      <c r="A651" s="298"/>
      <c r="B651" s="298"/>
      <c r="C651" s="282"/>
      <c r="D651" s="282"/>
      <c r="E651" s="282"/>
      <c r="F651" s="566"/>
    </row>
    <row r="652" spans="1:6" s="297" customFormat="1" thickBot="1">
      <c r="A652" s="298"/>
      <c r="B652" s="298"/>
      <c r="C652" s="282"/>
      <c r="D652" s="282"/>
      <c r="E652" s="282"/>
      <c r="F652" s="566"/>
    </row>
    <row r="653" spans="1:6" s="297" customFormat="1" thickBot="1">
      <c r="A653" s="298"/>
      <c r="B653" s="298"/>
      <c r="C653" s="282"/>
      <c r="D653" s="282"/>
      <c r="E653" s="282"/>
      <c r="F653" s="566"/>
    </row>
    <row r="654" spans="1:6" s="297" customFormat="1" thickBot="1">
      <c r="A654" s="298"/>
      <c r="B654" s="298"/>
      <c r="C654" s="282"/>
      <c r="D654" s="282"/>
      <c r="E654" s="282"/>
      <c r="F654" s="566"/>
    </row>
    <row r="655" spans="1:6" s="297" customFormat="1" thickBot="1">
      <c r="A655" s="298"/>
      <c r="B655" s="298"/>
      <c r="C655" s="282"/>
      <c r="D655" s="282"/>
      <c r="E655" s="282"/>
      <c r="F655" s="566"/>
    </row>
    <row r="656" spans="1:6" s="297" customFormat="1" thickBot="1">
      <c r="A656" s="298"/>
      <c r="B656" s="298"/>
      <c r="C656" s="282"/>
      <c r="D656" s="282"/>
      <c r="E656" s="282"/>
      <c r="F656" s="566"/>
    </row>
    <row r="657" spans="1:6" s="297" customFormat="1" thickBot="1">
      <c r="A657" s="298"/>
      <c r="B657" s="298"/>
      <c r="C657" s="282"/>
      <c r="D657" s="282"/>
      <c r="E657" s="282"/>
      <c r="F657" s="566"/>
    </row>
    <row r="658" spans="1:6" s="297" customFormat="1" thickBot="1">
      <c r="A658" s="298"/>
      <c r="B658" s="298"/>
      <c r="C658" s="282"/>
      <c r="D658" s="282"/>
      <c r="E658" s="282"/>
      <c r="F658" s="566"/>
    </row>
    <row r="659" spans="1:6" s="297" customFormat="1" thickBot="1">
      <c r="A659" s="298"/>
      <c r="B659" s="298"/>
      <c r="C659" s="282"/>
      <c r="D659" s="282"/>
      <c r="E659" s="282"/>
      <c r="F659" s="566"/>
    </row>
    <row r="660" spans="1:6" s="297" customFormat="1" thickBot="1">
      <c r="A660" s="298"/>
      <c r="B660" s="298"/>
      <c r="C660" s="282"/>
      <c r="D660" s="282"/>
      <c r="E660" s="282"/>
      <c r="F660" s="566"/>
    </row>
    <row r="661" spans="1:6" s="297" customFormat="1" thickBot="1">
      <c r="A661" s="298"/>
      <c r="B661" s="298"/>
      <c r="C661" s="282"/>
      <c r="D661" s="282"/>
      <c r="E661" s="282"/>
      <c r="F661" s="566"/>
    </row>
    <row r="662" spans="1:6" s="297" customFormat="1" thickBot="1">
      <c r="A662" s="298"/>
      <c r="B662" s="298"/>
      <c r="C662" s="282"/>
      <c r="D662" s="282"/>
      <c r="E662" s="282"/>
      <c r="F662" s="566"/>
    </row>
    <row r="663" spans="1:6" s="297" customFormat="1" thickBot="1">
      <c r="A663" s="298"/>
      <c r="B663" s="298"/>
      <c r="C663" s="282"/>
      <c r="D663" s="282"/>
      <c r="E663" s="282"/>
      <c r="F663" s="566"/>
    </row>
    <row r="664" spans="1:6" s="297" customFormat="1" thickBot="1">
      <c r="A664" s="298"/>
      <c r="B664" s="298"/>
      <c r="C664" s="282"/>
      <c r="D664" s="282"/>
      <c r="E664" s="282"/>
      <c r="F664" s="566"/>
    </row>
    <row r="665" spans="1:6" s="297" customFormat="1" thickBot="1">
      <c r="A665" s="298"/>
      <c r="B665" s="298"/>
      <c r="C665" s="282"/>
      <c r="D665" s="282"/>
      <c r="E665" s="282"/>
      <c r="F665" s="566"/>
    </row>
    <row r="666" spans="1:6" s="297" customFormat="1" thickBot="1">
      <c r="A666" s="298"/>
      <c r="B666" s="298"/>
      <c r="C666" s="282"/>
      <c r="D666" s="282"/>
      <c r="E666" s="282"/>
      <c r="F666" s="566"/>
    </row>
    <row r="667" spans="1:6" s="297" customFormat="1" thickBot="1">
      <c r="A667" s="298"/>
      <c r="B667" s="298"/>
      <c r="C667" s="282"/>
      <c r="D667" s="282"/>
      <c r="E667" s="282"/>
      <c r="F667" s="566"/>
    </row>
    <row r="668" spans="1:6" s="297" customFormat="1" thickBot="1">
      <c r="A668" s="298"/>
      <c r="B668" s="298"/>
      <c r="C668" s="282"/>
      <c r="D668" s="282"/>
      <c r="E668" s="282"/>
      <c r="F668" s="566"/>
    </row>
    <row r="669" spans="1:6" s="297" customFormat="1" thickBot="1">
      <c r="A669" s="298"/>
      <c r="B669" s="298"/>
      <c r="C669" s="282"/>
      <c r="D669" s="282"/>
      <c r="E669" s="282"/>
      <c r="F669" s="566"/>
    </row>
    <row r="670" spans="1:6" s="297" customFormat="1" thickBot="1">
      <c r="A670" s="298"/>
      <c r="B670" s="298"/>
      <c r="C670" s="282"/>
      <c r="D670" s="282"/>
      <c r="E670" s="282"/>
      <c r="F670" s="566"/>
    </row>
    <row r="671" spans="1:6" s="297" customFormat="1" thickBot="1">
      <c r="A671" s="298"/>
      <c r="B671" s="298"/>
      <c r="C671" s="282"/>
      <c r="D671" s="282"/>
      <c r="E671" s="282"/>
      <c r="F671" s="566"/>
    </row>
    <row r="672" spans="1:6" s="297" customFormat="1" thickBot="1">
      <c r="A672" s="298"/>
      <c r="B672" s="298"/>
      <c r="C672" s="282"/>
      <c r="D672" s="282"/>
      <c r="E672" s="282"/>
      <c r="F672" s="566"/>
    </row>
    <row r="673" spans="1:6" s="297" customFormat="1" thickBot="1">
      <c r="A673" s="298"/>
      <c r="B673" s="298"/>
      <c r="C673" s="282"/>
      <c r="D673" s="282"/>
      <c r="E673" s="282"/>
      <c r="F673" s="566"/>
    </row>
    <row r="674" spans="1:6" s="297" customFormat="1" thickBot="1">
      <c r="A674" s="298"/>
      <c r="B674" s="298"/>
      <c r="C674" s="282"/>
      <c r="D674" s="282"/>
      <c r="E674" s="282"/>
      <c r="F674" s="566"/>
    </row>
    <row r="675" spans="1:6" s="297" customFormat="1" thickBot="1">
      <c r="A675" s="298"/>
      <c r="B675" s="298"/>
      <c r="C675" s="282"/>
      <c r="D675" s="282"/>
      <c r="E675" s="282"/>
      <c r="F675" s="566"/>
    </row>
    <row r="676" spans="1:6" s="297" customFormat="1" thickBot="1">
      <c r="A676" s="298"/>
      <c r="B676" s="298"/>
      <c r="C676" s="282"/>
      <c r="D676" s="282"/>
      <c r="E676" s="282"/>
      <c r="F676" s="566"/>
    </row>
    <row r="677" spans="1:6" s="297" customFormat="1" thickBot="1">
      <c r="A677" s="298"/>
      <c r="B677" s="298"/>
      <c r="C677" s="282"/>
      <c r="D677" s="282"/>
      <c r="E677" s="282"/>
      <c r="F677" s="566"/>
    </row>
    <row r="678" spans="1:6" s="297" customFormat="1" thickBot="1">
      <c r="A678" s="298"/>
      <c r="B678" s="298"/>
      <c r="C678" s="282"/>
      <c r="D678" s="282"/>
      <c r="E678" s="282"/>
      <c r="F678" s="566"/>
    </row>
    <row r="679" spans="1:6" s="297" customFormat="1" thickBot="1">
      <c r="A679" s="298"/>
      <c r="B679" s="298"/>
      <c r="C679" s="282"/>
      <c r="D679" s="282"/>
      <c r="E679" s="282"/>
      <c r="F679" s="566"/>
    </row>
    <row r="680" spans="1:6" s="297" customFormat="1" thickBot="1">
      <c r="A680" s="298"/>
      <c r="B680" s="298"/>
      <c r="C680" s="282"/>
      <c r="D680" s="282"/>
      <c r="E680" s="282"/>
      <c r="F680" s="566"/>
    </row>
    <row r="681" spans="1:6" s="297" customFormat="1" thickBot="1">
      <c r="A681" s="298"/>
      <c r="B681" s="298"/>
      <c r="C681" s="282"/>
      <c r="D681" s="282"/>
      <c r="E681" s="282"/>
      <c r="F681" s="566"/>
    </row>
    <row r="682" spans="1:6" s="297" customFormat="1" thickBot="1">
      <c r="A682" s="298"/>
      <c r="B682" s="298"/>
      <c r="C682" s="282"/>
      <c r="D682" s="282"/>
      <c r="E682" s="282"/>
      <c r="F682" s="566"/>
    </row>
    <row r="683" spans="1:6" s="297" customFormat="1" thickBot="1">
      <c r="A683" s="298"/>
      <c r="B683" s="298"/>
      <c r="C683" s="282"/>
      <c r="D683" s="282"/>
      <c r="E683" s="282"/>
      <c r="F683" s="566"/>
    </row>
    <row r="684" spans="1:6" s="297" customFormat="1" thickBot="1">
      <c r="A684" s="298"/>
      <c r="B684" s="298"/>
      <c r="C684" s="282"/>
      <c r="D684" s="282"/>
      <c r="E684" s="282"/>
      <c r="F684" s="566"/>
    </row>
    <row r="685" spans="1:6" s="297" customFormat="1" thickBot="1">
      <c r="A685" s="298"/>
      <c r="B685" s="298"/>
      <c r="C685" s="282"/>
      <c r="D685" s="282"/>
      <c r="E685" s="282"/>
      <c r="F685" s="566"/>
    </row>
    <row r="686" spans="1:6" s="297" customFormat="1" thickBot="1">
      <c r="A686" s="298"/>
      <c r="B686" s="298"/>
      <c r="C686" s="282"/>
      <c r="D686" s="282"/>
      <c r="E686" s="282"/>
      <c r="F686" s="566"/>
    </row>
    <row r="687" spans="1:6" s="297" customFormat="1" thickBot="1">
      <c r="A687" s="298"/>
      <c r="B687" s="298"/>
      <c r="C687" s="282"/>
      <c r="D687" s="282"/>
      <c r="E687" s="282"/>
      <c r="F687" s="566"/>
    </row>
    <row r="688" spans="1:6" s="297" customFormat="1" thickBot="1">
      <c r="A688" s="298"/>
      <c r="B688" s="298"/>
      <c r="C688" s="282"/>
      <c r="D688" s="282"/>
      <c r="E688" s="282"/>
      <c r="F688" s="566"/>
    </row>
    <row r="689" spans="1:6" s="297" customFormat="1" thickBot="1">
      <c r="A689" s="298"/>
      <c r="B689" s="298"/>
      <c r="C689" s="282"/>
      <c r="D689" s="282"/>
      <c r="E689" s="282"/>
      <c r="F689" s="566"/>
    </row>
    <row r="690" spans="1:6" s="297" customFormat="1" thickBot="1">
      <c r="A690" s="298"/>
      <c r="B690" s="298"/>
      <c r="C690" s="282"/>
      <c r="D690" s="282"/>
      <c r="E690" s="282"/>
      <c r="F690" s="566"/>
    </row>
    <row r="691" spans="1:6" s="297" customFormat="1" thickBot="1">
      <c r="A691" s="298"/>
      <c r="B691" s="298"/>
      <c r="C691" s="282"/>
      <c r="D691" s="282"/>
      <c r="E691" s="282"/>
      <c r="F691" s="566"/>
    </row>
    <row r="692" spans="1:6" s="297" customFormat="1" thickBot="1">
      <c r="A692" s="298"/>
      <c r="B692" s="298"/>
      <c r="C692" s="282"/>
      <c r="D692" s="282"/>
      <c r="E692" s="282"/>
      <c r="F692" s="566"/>
    </row>
    <row r="693" spans="1:6" s="297" customFormat="1" thickBot="1">
      <c r="A693" s="298"/>
      <c r="B693" s="298"/>
      <c r="C693" s="282"/>
      <c r="D693" s="282"/>
      <c r="E693" s="282"/>
      <c r="F693" s="566"/>
    </row>
    <row r="694" spans="1:6" s="297" customFormat="1" thickBot="1">
      <c r="A694" s="298"/>
      <c r="B694" s="298"/>
      <c r="C694" s="282"/>
      <c r="D694" s="282"/>
      <c r="E694" s="282"/>
      <c r="F694" s="566"/>
    </row>
    <row r="695" spans="1:6" s="297" customFormat="1" thickBot="1">
      <c r="A695" s="298"/>
      <c r="B695" s="298"/>
      <c r="C695" s="282"/>
      <c r="D695" s="282"/>
      <c r="E695" s="282"/>
      <c r="F695" s="566"/>
    </row>
    <row r="696" spans="1:6" s="297" customFormat="1" thickBot="1">
      <c r="A696" s="298"/>
      <c r="B696" s="298"/>
      <c r="C696" s="282"/>
      <c r="D696" s="282"/>
      <c r="E696" s="282"/>
      <c r="F696" s="566"/>
    </row>
    <row r="697" spans="1:6" s="297" customFormat="1" thickBot="1">
      <c r="A697" s="298"/>
      <c r="B697" s="298"/>
      <c r="C697" s="282"/>
      <c r="D697" s="282"/>
      <c r="E697" s="282"/>
      <c r="F697" s="566"/>
    </row>
    <row r="698" spans="1:6" s="297" customFormat="1" thickBot="1">
      <c r="A698" s="298"/>
      <c r="B698" s="298"/>
      <c r="C698" s="282"/>
      <c r="D698" s="282"/>
      <c r="E698" s="282"/>
      <c r="F698" s="566"/>
    </row>
    <row r="699" spans="1:6" s="297" customFormat="1" thickBot="1">
      <c r="A699" s="298"/>
      <c r="B699" s="298"/>
      <c r="C699" s="282"/>
      <c r="D699" s="282"/>
      <c r="E699" s="282"/>
      <c r="F699" s="566"/>
    </row>
    <row r="700" spans="1:6" s="297" customFormat="1" thickBot="1">
      <c r="A700" s="298"/>
      <c r="B700" s="298"/>
      <c r="C700" s="282"/>
      <c r="D700" s="282"/>
      <c r="E700" s="282"/>
      <c r="F700" s="566"/>
    </row>
    <row r="701" spans="1:6" s="297" customFormat="1" thickBot="1">
      <c r="A701" s="298"/>
      <c r="B701" s="298"/>
      <c r="C701" s="282"/>
      <c r="D701" s="282"/>
      <c r="E701" s="282"/>
      <c r="F701" s="566"/>
    </row>
    <row r="702" spans="1:6" s="297" customFormat="1" thickBot="1">
      <c r="A702" s="298"/>
      <c r="B702" s="298"/>
      <c r="C702" s="282"/>
      <c r="D702" s="282"/>
      <c r="E702" s="282"/>
      <c r="F702" s="566"/>
    </row>
    <row r="703" spans="1:6" s="297" customFormat="1" thickBot="1">
      <c r="A703" s="298"/>
      <c r="B703" s="298"/>
      <c r="C703" s="282"/>
      <c r="D703" s="282"/>
      <c r="E703" s="282"/>
      <c r="F703" s="566"/>
    </row>
    <row r="704" spans="1:6" s="297" customFormat="1" thickBot="1">
      <c r="A704" s="298"/>
      <c r="B704" s="298"/>
      <c r="C704" s="282"/>
      <c r="D704" s="282"/>
      <c r="E704" s="282"/>
      <c r="F704" s="566"/>
    </row>
    <row r="705" spans="1:6" s="297" customFormat="1" thickBot="1">
      <c r="A705" s="298"/>
      <c r="B705" s="298"/>
      <c r="C705" s="282"/>
      <c r="D705" s="282"/>
      <c r="E705" s="282"/>
      <c r="F705" s="566"/>
    </row>
    <row r="706" spans="1:6" s="297" customFormat="1" thickBot="1">
      <c r="A706" s="298"/>
      <c r="B706" s="298"/>
      <c r="C706" s="282"/>
      <c r="D706" s="282"/>
      <c r="E706" s="282"/>
      <c r="F706" s="566"/>
    </row>
    <row r="707" spans="1:6" s="297" customFormat="1" thickBot="1">
      <c r="A707" s="298"/>
      <c r="B707" s="298"/>
      <c r="C707" s="282"/>
      <c r="D707" s="282"/>
      <c r="E707" s="282"/>
      <c r="F707" s="566"/>
    </row>
    <row r="708" spans="1:6" s="297" customFormat="1" thickBot="1">
      <c r="A708" s="298"/>
      <c r="B708" s="298"/>
      <c r="C708" s="282"/>
      <c r="D708" s="282"/>
      <c r="E708" s="282"/>
      <c r="F708" s="566"/>
    </row>
    <row r="709" spans="1:6" s="297" customFormat="1" thickBot="1">
      <c r="A709" s="298"/>
      <c r="B709" s="298"/>
      <c r="C709" s="282"/>
      <c r="D709" s="282"/>
      <c r="E709" s="282"/>
      <c r="F709" s="566"/>
    </row>
    <row r="710" spans="1:6" s="297" customFormat="1" thickBot="1">
      <c r="A710" s="298"/>
      <c r="B710" s="298"/>
      <c r="C710" s="282"/>
      <c r="D710" s="282"/>
      <c r="E710" s="282"/>
      <c r="F710" s="566"/>
    </row>
    <row r="711" spans="1:6" s="297" customFormat="1" thickBot="1">
      <c r="A711" s="298"/>
      <c r="B711" s="298"/>
      <c r="C711" s="282"/>
      <c r="D711" s="282"/>
      <c r="E711" s="282"/>
      <c r="F711" s="566"/>
    </row>
    <row r="712" spans="1:6" s="297" customFormat="1" thickBot="1">
      <c r="A712" s="298"/>
      <c r="B712" s="298"/>
      <c r="C712" s="282"/>
      <c r="D712" s="282"/>
      <c r="E712" s="282"/>
      <c r="F712" s="566"/>
    </row>
    <row r="713" spans="1:6" s="297" customFormat="1" thickBot="1">
      <c r="A713" s="298"/>
      <c r="B713" s="298"/>
      <c r="C713" s="282"/>
      <c r="D713" s="282"/>
      <c r="E713" s="282"/>
      <c r="F713" s="566"/>
    </row>
    <row r="714" spans="1:6" s="297" customFormat="1" thickBot="1">
      <c r="A714" s="298"/>
      <c r="B714" s="298"/>
      <c r="C714" s="282"/>
      <c r="D714" s="282"/>
      <c r="E714" s="282"/>
      <c r="F714" s="566"/>
    </row>
    <row r="715" spans="1:6" s="297" customFormat="1" thickBot="1">
      <c r="A715" s="298"/>
      <c r="B715" s="298"/>
      <c r="C715" s="282"/>
      <c r="D715" s="282"/>
      <c r="E715" s="282"/>
      <c r="F715" s="566"/>
    </row>
    <row r="716" spans="1:6" s="297" customFormat="1" thickBot="1">
      <c r="A716" s="298"/>
      <c r="B716" s="298"/>
      <c r="C716" s="282"/>
      <c r="D716" s="282"/>
      <c r="E716" s="282"/>
      <c r="F716" s="566"/>
    </row>
    <row r="717" spans="1:6" s="297" customFormat="1" thickBot="1">
      <c r="A717" s="298"/>
      <c r="B717" s="298"/>
      <c r="C717" s="282"/>
      <c r="D717" s="282"/>
      <c r="E717" s="282"/>
      <c r="F717" s="566"/>
    </row>
    <row r="718" spans="1:6" s="297" customFormat="1" thickBot="1">
      <c r="A718" s="298"/>
      <c r="B718" s="298"/>
      <c r="C718" s="282"/>
      <c r="D718" s="282"/>
      <c r="E718" s="282"/>
      <c r="F718" s="566"/>
    </row>
    <row r="719" spans="1:6" s="297" customFormat="1" thickBot="1">
      <c r="A719" s="298"/>
      <c r="B719" s="298"/>
      <c r="C719" s="282"/>
      <c r="D719" s="282"/>
      <c r="E719" s="282"/>
      <c r="F719" s="566"/>
    </row>
    <row r="720" spans="1:6" s="297" customFormat="1" thickBot="1">
      <c r="A720" s="298"/>
      <c r="B720" s="298"/>
      <c r="C720" s="282"/>
      <c r="D720" s="282"/>
      <c r="E720" s="282"/>
      <c r="F720" s="566"/>
    </row>
    <row r="721" spans="1:6" s="297" customFormat="1" thickBot="1">
      <c r="A721" s="298"/>
      <c r="B721" s="298"/>
      <c r="C721" s="282"/>
      <c r="D721" s="282"/>
      <c r="E721" s="282"/>
      <c r="F721" s="566"/>
    </row>
    <row r="722" spans="1:6" s="297" customFormat="1" thickBot="1">
      <c r="A722" s="298"/>
      <c r="B722" s="298"/>
      <c r="C722" s="282"/>
      <c r="D722" s="282"/>
      <c r="E722" s="282"/>
      <c r="F722" s="566"/>
    </row>
    <row r="723" spans="1:6" s="297" customFormat="1" thickBot="1">
      <c r="A723" s="298"/>
      <c r="B723" s="298"/>
      <c r="C723" s="282"/>
      <c r="D723" s="282"/>
      <c r="E723" s="282"/>
      <c r="F723" s="566"/>
    </row>
    <row r="724" spans="1:6" s="297" customFormat="1" thickBot="1">
      <c r="A724" s="298"/>
      <c r="B724" s="298"/>
      <c r="C724" s="282"/>
      <c r="D724" s="282"/>
      <c r="E724" s="282"/>
      <c r="F724" s="566"/>
    </row>
    <row r="725" spans="1:6" s="297" customFormat="1" thickBot="1">
      <c r="A725" s="298"/>
      <c r="B725" s="298"/>
      <c r="C725" s="282"/>
      <c r="D725" s="282"/>
      <c r="E725" s="282"/>
      <c r="F725" s="566"/>
    </row>
    <row r="726" spans="1:6" s="297" customFormat="1" thickBot="1">
      <c r="A726" s="298"/>
      <c r="B726" s="298"/>
      <c r="C726" s="282"/>
      <c r="D726" s="282"/>
      <c r="E726" s="282"/>
      <c r="F726" s="566"/>
    </row>
    <row r="727" spans="1:6" s="297" customFormat="1" thickBot="1">
      <c r="A727" s="298"/>
      <c r="B727" s="298"/>
      <c r="C727" s="282"/>
      <c r="D727" s="282"/>
      <c r="E727" s="282"/>
      <c r="F727" s="566"/>
    </row>
    <row r="728" spans="1:6" s="297" customFormat="1" thickBot="1">
      <c r="A728" s="298"/>
      <c r="B728" s="298"/>
      <c r="C728" s="282"/>
      <c r="D728" s="282"/>
      <c r="E728" s="282"/>
      <c r="F728" s="566"/>
    </row>
    <row r="729" spans="1:6" s="297" customFormat="1" thickBot="1">
      <c r="A729" s="298"/>
      <c r="B729" s="298"/>
      <c r="C729" s="282"/>
      <c r="D729" s="282"/>
      <c r="E729" s="282"/>
      <c r="F729" s="566"/>
    </row>
    <row r="730" spans="1:6" s="297" customFormat="1" thickBot="1">
      <c r="A730" s="298"/>
      <c r="B730" s="298"/>
      <c r="C730" s="282"/>
      <c r="D730" s="282"/>
      <c r="E730" s="282"/>
      <c r="F730" s="566"/>
    </row>
    <row r="731" spans="1:6" s="297" customFormat="1" thickBot="1">
      <c r="A731" s="298"/>
      <c r="B731" s="298"/>
      <c r="C731" s="282"/>
      <c r="D731" s="282"/>
      <c r="E731" s="282"/>
      <c r="F731" s="566"/>
    </row>
    <row r="732" spans="1:6" s="297" customFormat="1" thickBot="1">
      <c r="A732" s="298"/>
      <c r="B732" s="298"/>
      <c r="C732" s="282"/>
      <c r="D732" s="282"/>
      <c r="E732" s="282"/>
      <c r="F732" s="566"/>
    </row>
    <row r="733" spans="1:6" s="297" customFormat="1" thickBot="1">
      <c r="A733" s="298"/>
      <c r="B733" s="298"/>
      <c r="C733" s="282"/>
      <c r="D733" s="282"/>
      <c r="E733" s="282"/>
      <c r="F733" s="566"/>
    </row>
    <row r="734" spans="1:6" s="297" customFormat="1" thickBot="1">
      <c r="A734" s="298"/>
      <c r="B734" s="298"/>
      <c r="C734" s="282"/>
      <c r="D734" s="282"/>
      <c r="E734" s="282"/>
      <c r="F734" s="566"/>
    </row>
    <row r="735" spans="1:6" s="297" customFormat="1" thickBot="1">
      <c r="A735" s="298"/>
      <c r="B735" s="298"/>
      <c r="C735" s="282"/>
      <c r="D735" s="282"/>
      <c r="E735" s="282"/>
      <c r="F735" s="566"/>
    </row>
    <row r="736" spans="1:6" s="297" customFormat="1" thickBot="1">
      <c r="A736" s="298"/>
      <c r="B736" s="298"/>
      <c r="C736" s="282"/>
      <c r="D736" s="282"/>
      <c r="E736" s="282"/>
      <c r="F736" s="566"/>
    </row>
    <row r="737" spans="1:6" s="297" customFormat="1" thickBot="1">
      <c r="A737" s="298"/>
      <c r="B737" s="298"/>
      <c r="C737" s="282"/>
      <c r="D737" s="282"/>
      <c r="E737" s="282"/>
      <c r="F737" s="566"/>
    </row>
    <row r="738" spans="1:6" s="297" customFormat="1" thickBot="1">
      <c r="A738" s="298"/>
      <c r="B738" s="298"/>
      <c r="C738" s="282"/>
      <c r="D738" s="282"/>
      <c r="E738" s="282"/>
      <c r="F738" s="566"/>
    </row>
    <row r="739" spans="1:6" s="297" customFormat="1" thickBot="1">
      <c r="A739" s="298"/>
      <c r="B739" s="298"/>
      <c r="C739" s="282"/>
      <c r="D739" s="282"/>
      <c r="E739" s="282"/>
      <c r="F739" s="566"/>
    </row>
    <row r="740" spans="1:6" s="297" customFormat="1" thickBot="1">
      <c r="A740" s="298"/>
      <c r="B740" s="298"/>
      <c r="C740" s="282"/>
      <c r="D740" s="282"/>
      <c r="E740" s="282"/>
      <c r="F740" s="566"/>
    </row>
    <row r="741" spans="1:6" s="297" customFormat="1" thickBot="1">
      <c r="A741" s="298"/>
      <c r="B741" s="298"/>
      <c r="C741" s="282"/>
      <c r="D741" s="282"/>
      <c r="E741" s="282"/>
      <c r="F741" s="566"/>
    </row>
    <row r="742" spans="1:6" s="297" customFormat="1" thickBot="1">
      <c r="A742" s="298"/>
      <c r="B742" s="298"/>
      <c r="C742" s="282"/>
      <c r="D742" s="282"/>
      <c r="E742" s="282"/>
      <c r="F742" s="566"/>
    </row>
    <row r="743" spans="1:6" s="297" customFormat="1" thickBot="1">
      <c r="A743" s="298"/>
      <c r="B743" s="298"/>
      <c r="C743" s="282"/>
      <c r="D743" s="282"/>
      <c r="E743" s="282"/>
      <c r="F743" s="566"/>
    </row>
    <row r="744" spans="1:6" s="297" customFormat="1" thickBot="1">
      <c r="A744" s="298"/>
      <c r="B744" s="298"/>
      <c r="C744" s="282"/>
      <c r="D744" s="282"/>
      <c r="E744" s="282"/>
      <c r="F744" s="566"/>
    </row>
    <row r="745" spans="1:6" s="297" customFormat="1" thickBot="1">
      <c r="A745" s="298"/>
      <c r="B745" s="298"/>
      <c r="C745" s="282"/>
      <c r="D745" s="282"/>
      <c r="E745" s="282"/>
      <c r="F745" s="566"/>
    </row>
    <row r="746" spans="1:6" s="297" customFormat="1" thickBot="1">
      <c r="A746" s="298"/>
      <c r="B746" s="298"/>
      <c r="C746" s="282"/>
      <c r="D746" s="282"/>
      <c r="E746" s="282"/>
      <c r="F746" s="566"/>
    </row>
    <row r="747" spans="1:6" s="297" customFormat="1" thickBot="1">
      <c r="A747" s="298"/>
      <c r="B747" s="298"/>
      <c r="C747" s="282"/>
      <c r="D747" s="282"/>
      <c r="E747" s="282"/>
      <c r="F747" s="566"/>
    </row>
    <row r="748" spans="1:6" s="297" customFormat="1" thickBot="1">
      <c r="A748" s="298"/>
      <c r="B748" s="298"/>
      <c r="C748" s="282"/>
      <c r="D748" s="282"/>
      <c r="E748" s="282"/>
      <c r="F748" s="566"/>
    </row>
    <row r="749" spans="1:6" s="297" customFormat="1" thickBot="1">
      <c r="A749" s="298"/>
      <c r="B749" s="298"/>
      <c r="C749" s="282"/>
      <c r="D749" s="282"/>
      <c r="E749" s="282"/>
      <c r="F749" s="566"/>
    </row>
    <row r="750" spans="1:6" s="297" customFormat="1" thickBot="1">
      <c r="A750" s="298"/>
      <c r="B750" s="298"/>
      <c r="C750" s="282"/>
      <c r="D750" s="282"/>
      <c r="E750" s="282"/>
      <c r="F750" s="566"/>
    </row>
    <row r="751" spans="1:6" s="297" customFormat="1" thickBot="1">
      <c r="A751" s="298"/>
      <c r="B751" s="298"/>
      <c r="C751" s="282"/>
      <c r="D751" s="282"/>
      <c r="E751" s="282"/>
      <c r="F751" s="566"/>
    </row>
    <row r="752" spans="1:6" s="297" customFormat="1" thickBot="1">
      <c r="A752" s="298"/>
      <c r="B752" s="298"/>
      <c r="C752" s="282"/>
      <c r="D752" s="282"/>
      <c r="E752" s="282"/>
      <c r="F752" s="566"/>
    </row>
    <row r="753" spans="1:6" s="297" customFormat="1" thickBot="1">
      <c r="A753" s="298"/>
      <c r="B753" s="298"/>
      <c r="C753" s="282"/>
      <c r="D753" s="282"/>
      <c r="E753" s="282"/>
      <c r="F753" s="566"/>
    </row>
    <row r="754" spans="1:6" s="297" customFormat="1" thickBot="1">
      <c r="A754" s="298"/>
      <c r="B754" s="298"/>
      <c r="C754" s="282"/>
      <c r="D754" s="282"/>
      <c r="E754" s="282"/>
      <c r="F754" s="566"/>
    </row>
    <row r="755" spans="1:6" s="297" customFormat="1" thickBot="1">
      <c r="A755" s="298"/>
      <c r="B755" s="298"/>
      <c r="C755" s="282"/>
      <c r="D755" s="282"/>
      <c r="E755" s="282"/>
      <c r="F755" s="566"/>
    </row>
    <row r="756" spans="1:6" s="297" customFormat="1" thickBot="1">
      <c r="A756" s="298"/>
      <c r="B756" s="298"/>
      <c r="C756" s="282"/>
      <c r="D756" s="282"/>
      <c r="E756" s="282"/>
      <c r="F756" s="566"/>
    </row>
    <row r="757" spans="1:6" s="297" customFormat="1" thickBot="1">
      <c r="A757" s="298"/>
      <c r="B757" s="298"/>
      <c r="C757" s="282"/>
      <c r="D757" s="282"/>
      <c r="E757" s="282"/>
      <c r="F757" s="566"/>
    </row>
    <row r="758" spans="1:6" s="297" customFormat="1" thickBot="1">
      <c r="A758" s="298"/>
      <c r="B758" s="298"/>
      <c r="C758" s="282"/>
      <c r="D758" s="282"/>
      <c r="E758" s="282"/>
      <c r="F758" s="566"/>
    </row>
    <row r="759" spans="1:6" s="297" customFormat="1" thickBot="1">
      <c r="A759" s="298"/>
      <c r="B759" s="298"/>
      <c r="C759" s="282"/>
      <c r="D759" s="282"/>
      <c r="E759" s="282"/>
      <c r="F759" s="566"/>
    </row>
    <row r="760" spans="1:6" s="297" customFormat="1" thickBot="1">
      <c r="A760" s="298"/>
      <c r="B760" s="298"/>
      <c r="C760" s="282"/>
      <c r="D760" s="282"/>
      <c r="E760" s="282"/>
      <c r="F760" s="566"/>
    </row>
    <row r="761" spans="1:6" s="297" customFormat="1" thickBot="1">
      <c r="A761" s="298"/>
      <c r="B761" s="298"/>
      <c r="C761" s="282"/>
      <c r="D761" s="282"/>
      <c r="E761" s="282"/>
      <c r="F761" s="566"/>
    </row>
    <row r="762" spans="1:6" s="297" customFormat="1" thickBot="1">
      <c r="A762" s="298"/>
      <c r="B762" s="298"/>
      <c r="C762" s="282"/>
      <c r="D762" s="282"/>
      <c r="E762" s="282"/>
      <c r="F762" s="566"/>
    </row>
    <row r="763" spans="1:6" s="297" customFormat="1" thickBot="1">
      <c r="A763" s="298"/>
      <c r="B763" s="298"/>
      <c r="C763" s="282"/>
      <c r="D763" s="282"/>
      <c r="E763" s="282"/>
      <c r="F763" s="566"/>
    </row>
    <row r="764" spans="1:6" s="297" customFormat="1" thickBot="1">
      <c r="A764" s="298"/>
      <c r="B764" s="298"/>
      <c r="C764" s="282"/>
      <c r="D764" s="282"/>
      <c r="E764" s="282"/>
      <c r="F764" s="566"/>
    </row>
    <row r="765" spans="1:6" s="297" customFormat="1" thickBot="1">
      <c r="A765" s="298"/>
      <c r="B765" s="298"/>
      <c r="C765" s="282"/>
      <c r="D765" s="282"/>
      <c r="E765" s="282"/>
      <c r="F765" s="566"/>
    </row>
    <row r="766" spans="1:6" s="297" customFormat="1" thickBot="1">
      <c r="A766" s="298"/>
      <c r="B766" s="298"/>
      <c r="C766" s="282"/>
      <c r="D766" s="282"/>
      <c r="E766" s="282"/>
      <c r="F766" s="566"/>
    </row>
    <row r="767" spans="1:6" s="297" customFormat="1" thickBot="1">
      <c r="A767" s="298"/>
      <c r="B767" s="298"/>
      <c r="C767" s="282"/>
      <c r="D767" s="282"/>
      <c r="E767" s="282"/>
      <c r="F767" s="566"/>
    </row>
    <row r="768" spans="1:6" s="297" customFormat="1" thickBot="1">
      <c r="A768" s="298"/>
      <c r="B768" s="298"/>
      <c r="C768" s="282"/>
      <c r="D768" s="282"/>
      <c r="E768" s="282"/>
      <c r="F768" s="566"/>
    </row>
    <row r="769" spans="1:6" s="297" customFormat="1" thickBot="1">
      <c r="A769" s="298"/>
      <c r="B769" s="298"/>
      <c r="C769" s="282"/>
      <c r="D769" s="282"/>
      <c r="E769" s="282"/>
      <c r="F769" s="566"/>
    </row>
    <row r="770" spans="1:6" s="297" customFormat="1" thickBot="1">
      <c r="A770" s="298"/>
      <c r="B770" s="298"/>
      <c r="C770" s="282"/>
      <c r="D770" s="282"/>
      <c r="E770" s="282"/>
      <c r="F770" s="566"/>
    </row>
    <row r="771" spans="1:6" s="297" customFormat="1" thickBot="1">
      <c r="A771" s="298"/>
      <c r="B771" s="298"/>
      <c r="C771" s="282"/>
      <c r="D771" s="282"/>
      <c r="E771" s="282"/>
      <c r="F771" s="566"/>
    </row>
    <row r="772" spans="1:6" s="297" customFormat="1" thickBot="1">
      <c r="A772" s="298"/>
      <c r="B772" s="298"/>
      <c r="C772" s="282"/>
      <c r="D772" s="282"/>
      <c r="E772" s="282"/>
      <c r="F772" s="566"/>
    </row>
    <row r="773" spans="1:6" s="297" customFormat="1" thickBot="1">
      <c r="A773" s="298"/>
      <c r="B773" s="298"/>
      <c r="C773" s="282"/>
      <c r="D773" s="282"/>
      <c r="E773" s="282"/>
      <c r="F773" s="566"/>
    </row>
    <row r="774" spans="1:6" s="297" customFormat="1" thickBot="1">
      <c r="A774" s="298"/>
      <c r="B774" s="298"/>
      <c r="C774" s="282"/>
      <c r="D774" s="282"/>
      <c r="E774" s="282"/>
      <c r="F774" s="566"/>
    </row>
    <row r="775" spans="1:6" s="297" customFormat="1" thickBot="1">
      <c r="A775" s="298"/>
      <c r="B775" s="298"/>
      <c r="C775" s="282"/>
      <c r="D775" s="282"/>
      <c r="E775" s="282"/>
      <c r="F775" s="566"/>
    </row>
    <row r="776" spans="1:6" s="297" customFormat="1" thickBot="1">
      <c r="A776" s="298"/>
      <c r="B776" s="298"/>
      <c r="C776" s="282"/>
      <c r="D776" s="282"/>
      <c r="E776" s="282"/>
      <c r="F776" s="566"/>
    </row>
    <row r="777" spans="1:6" s="297" customFormat="1" thickBot="1">
      <c r="A777" s="298"/>
      <c r="B777" s="298"/>
      <c r="C777" s="282"/>
      <c r="D777" s="282"/>
      <c r="E777" s="282"/>
      <c r="F777" s="566"/>
    </row>
    <row r="778" spans="1:6" s="297" customFormat="1" thickBot="1">
      <c r="A778" s="298"/>
      <c r="B778" s="298"/>
      <c r="C778" s="282"/>
      <c r="D778" s="282"/>
      <c r="E778" s="282"/>
      <c r="F778" s="566"/>
    </row>
    <row r="779" spans="1:6" s="297" customFormat="1" thickBot="1">
      <c r="A779" s="298"/>
      <c r="B779" s="298"/>
      <c r="C779" s="282"/>
      <c r="D779" s="282"/>
      <c r="E779" s="282"/>
      <c r="F779" s="566"/>
    </row>
    <row r="780" spans="1:6" s="297" customFormat="1" thickBot="1">
      <c r="A780" s="298"/>
      <c r="B780" s="298"/>
      <c r="C780" s="282"/>
      <c r="D780" s="282"/>
      <c r="E780" s="282"/>
      <c r="F780" s="566"/>
    </row>
    <row r="781" spans="1:6" s="297" customFormat="1" thickBot="1">
      <c r="A781" s="298"/>
      <c r="B781" s="298"/>
      <c r="C781" s="282"/>
      <c r="D781" s="282"/>
      <c r="E781" s="282"/>
      <c r="F781" s="566"/>
    </row>
    <row r="782" spans="1:6" s="297" customFormat="1" thickBot="1">
      <c r="A782" s="298"/>
      <c r="B782" s="298"/>
      <c r="C782" s="282"/>
      <c r="D782" s="282"/>
      <c r="E782" s="282"/>
      <c r="F782" s="566"/>
    </row>
    <row r="783" spans="1:6" s="297" customFormat="1" thickBot="1">
      <c r="A783" s="298"/>
      <c r="B783" s="298"/>
      <c r="C783" s="282"/>
      <c r="D783" s="282"/>
      <c r="E783" s="282"/>
      <c r="F783" s="566"/>
    </row>
    <row r="784" spans="1:6" s="297" customFormat="1" thickBot="1">
      <c r="A784" s="298"/>
      <c r="B784" s="298"/>
      <c r="C784" s="282"/>
      <c r="D784" s="282"/>
      <c r="E784" s="282"/>
      <c r="F784" s="566"/>
    </row>
    <row r="785" spans="1:6" s="297" customFormat="1" thickBot="1">
      <c r="A785" s="298"/>
      <c r="B785" s="298"/>
      <c r="C785" s="282"/>
      <c r="D785" s="282"/>
      <c r="E785" s="282"/>
      <c r="F785" s="566"/>
    </row>
    <row r="786" spans="1:6" s="297" customFormat="1" thickBot="1">
      <c r="A786" s="298"/>
      <c r="B786" s="298"/>
      <c r="C786" s="282"/>
      <c r="D786" s="282"/>
      <c r="E786" s="282"/>
      <c r="F786" s="566"/>
    </row>
    <row r="787" spans="1:6" s="297" customFormat="1" thickBot="1">
      <c r="A787" s="298"/>
      <c r="B787" s="298"/>
      <c r="C787" s="282"/>
      <c r="D787" s="282"/>
      <c r="E787" s="282"/>
      <c r="F787" s="566"/>
    </row>
    <row r="788" spans="1:6" s="297" customFormat="1" thickBot="1">
      <c r="A788" s="298"/>
      <c r="B788" s="298"/>
      <c r="C788" s="282"/>
      <c r="D788" s="282"/>
      <c r="E788" s="282"/>
      <c r="F788" s="566"/>
    </row>
    <row r="789" spans="1:6" s="297" customFormat="1" thickBot="1">
      <c r="A789" s="298"/>
      <c r="B789" s="298"/>
      <c r="C789" s="282"/>
      <c r="D789" s="282"/>
      <c r="E789" s="282"/>
      <c r="F789" s="566"/>
    </row>
    <row r="790" spans="1:6" s="297" customFormat="1" thickBot="1">
      <c r="A790" s="298"/>
      <c r="B790" s="298"/>
      <c r="C790" s="282"/>
      <c r="D790" s="282"/>
      <c r="E790" s="282"/>
      <c r="F790" s="566"/>
    </row>
    <row r="791" spans="1:6" s="297" customFormat="1" thickBot="1">
      <c r="A791" s="298"/>
      <c r="B791" s="298"/>
      <c r="C791" s="282"/>
      <c r="D791" s="282"/>
      <c r="E791" s="282"/>
      <c r="F791" s="566"/>
    </row>
    <row r="792" spans="1:6" s="297" customFormat="1" thickBot="1">
      <c r="A792" s="298"/>
      <c r="B792" s="298"/>
      <c r="C792" s="282"/>
      <c r="D792" s="282"/>
      <c r="E792" s="282"/>
      <c r="F792" s="566"/>
    </row>
    <row r="793" spans="1:6" s="297" customFormat="1" thickBot="1">
      <c r="A793" s="298"/>
      <c r="B793" s="298"/>
      <c r="C793" s="282"/>
      <c r="D793" s="282"/>
      <c r="E793" s="282"/>
      <c r="F793" s="566"/>
    </row>
    <row r="794" spans="1:6" s="297" customFormat="1" thickBot="1">
      <c r="A794" s="298"/>
      <c r="B794" s="298"/>
      <c r="C794" s="282"/>
      <c r="D794" s="282"/>
      <c r="E794" s="282"/>
      <c r="F794" s="566"/>
    </row>
    <row r="795" spans="1:6" s="297" customFormat="1" thickBot="1">
      <c r="A795" s="298"/>
      <c r="B795" s="298"/>
      <c r="C795" s="282"/>
      <c r="D795" s="282"/>
      <c r="E795" s="282"/>
      <c r="F795" s="566"/>
    </row>
    <row r="796" spans="1:6" s="297" customFormat="1" thickBot="1">
      <c r="A796" s="298"/>
      <c r="B796" s="298"/>
      <c r="C796" s="282"/>
      <c r="D796" s="282"/>
      <c r="E796" s="282"/>
      <c r="F796" s="566"/>
    </row>
    <row r="797" spans="1:6" s="297" customFormat="1" thickBot="1">
      <c r="A797" s="298"/>
      <c r="B797" s="298"/>
      <c r="C797" s="282"/>
      <c r="D797" s="282"/>
      <c r="E797" s="282"/>
      <c r="F797" s="566"/>
    </row>
    <row r="798" spans="1:6" s="297" customFormat="1" thickBot="1">
      <c r="A798" s="298"/>
      <c r="B798" s="298"/>
      <c r="C798" s="282"/>
      <c r="D798" s="282"/>
      <c r="E798" s="282"/>
      <c r="F798" s="566"/>
    </row>
    <row r="799" spans="1:6" s="297" customFormat="1" thickBot="1">
      <c r="A799" s="298"/>
      <c r="B799" s="298"/>
      <c r="C799" s="282"/>
      <c r="D799" s="282"/>
      <c r="E799" s="282"/>
      <c r="F799" s="566"/>
    </row>
    <row r="800" spans="1:6" s="297" customFormat="1" thickBot="1">
      <c r="A800" s="298"/>
      <c r="B800" s="298"/>
      <c r="C800" s="282"/>
      <c r="D800" s="282"/>
      <c r="E800" s="282"/>
      <c r="F800" s="566"/>
    </row>
    <row r="801" spans="1:6" s="297" customFormat="1" thickBot="1">
      <c r="A801" s="298"/>
      <c r="B801" s="298"/>
      <c r="C801" s="282"/>
      <c r="D801" s="282"/>
      <c r="E801" s="282"/>
      <c r="F801" s="566"/>
    </row>
    <row r="802" spans="1:6" s="297" customFormat="1" thickBot="1">
      <c r="A802" s="298"/>
      <c r="B802" s="298"/>
      <c r="C802" s="282"/>
      <c r="D802" s="282"/>
      <c r="E802" s="282"/>
      <c r="F802" s="566"/>
    </row>
    <row r="803" spans="1:6" s="297" customFormat="1" thickBot="1">
      <c r="A803" s="298"/>
      <c r="B803" s="298"/>
      <c r="C803" s="282"/>
      <c r="D803" s="282"/>
      <c r="E803" s="282"/>
      <c r="F803" s="566"/>
    </row>
    <row r="804" spans="1:6" s="297" customFormat="1" thickBot="1">
      <c r="A804" s="298"/>
      <c r="B804" s="298"/>
      <c r="C804" s="282"/>
      <c r="D804" s="282"/>
      <c r="E804" s="282"/>
      <c r="F804" s="566"/>
    </row>
    <row r="805" spans="1:6" s="297" customFormat="1" thickBot="1">
      <c r="A805" s="298"/>
      <c r="B805" s="298"/>
      <c r="C805" s="282"/>
      <c r="D805" s="282"/>
      <c r="E805" s="282"/>
      <c r="F805" s="566"/>
    </row>
    <row r="806" spans="1:6" s="297" customFormat="1" thickBot="1">
      <c r="A806" s="298"/>
      <c r="B806" s="298"/>
      <c r="C806" s="282"/>
      <c r="D806" s="282"/>
      <c r="E806" s="282"/>
      <c r="F806" s="566"/>
    </row>
    <row r="807" spans="1:6" s="297" customFormat="1" thickBot="1">
      <c r="A807" s="298"/>
      <c r="B807" s="298"/>
      <c r="C807" s="282"/>
      <c r="D807" s="282"/>
      <c r="E807" s="282"/>
      <c r="F807" s="566"/>
    </row>
    <row r="808" spans="1:6" s="297" customFormat="1" thickBot="1">
      <c r="A808" s="298"/>
      <c r="B808" s="298"/>
      <c r="C808" s="282"/>
      <c r="D808" s="282"/>
      <c r="E808" s="282"/>
      <c r="F808" s="566"/>
    </row>
    <row r="809" spans="1:6" s="297" customFormat="1" thickBot="1">
      <c r="A809" s="298"/>
      <c r="B809" s="298"/>
      <c r="C809" s="282"/>
      <c r="D809" s="282"/>
      <c r="E809" s="282"/>
      <c r="F809" s="566"/>
    </row>
    <row r="810" spans="1:6" s="297" customFormat="1" thickBot="1">
      <c r="A810" s="298"/>
      <c r="B810" s="298"/>
      <c r="C810" s="282"/>
      <c r="D810" s="282"/>
      <c r="E810" s="282"/>
      <c r="F810" s="566"/>
    </row>
    <row r="811" spans="1:6" s="297" customFormat="1" thickBot="1">
      <c r="A811" s="298"/>
      <c r="B811" s="298"/>
      <c r="C811" s="282"/>
      <c r="D811" s="282"/>
      <c r="E811" s="282"/>
      <c r="F811" s="566"/>
    </row>
    <row r="812" spans="1:6" s="297" customFormat="1" thickBot="1">
      <c r="A812" s="298"/>
      <c r="B812" s="298"/>
      <c r="C812" s="282"/>
      <c r="D812" s="282"/>
      <c r="E812" s="282"/>
      <c r="F812" s="566"/>
    </row>
    <row r="813" spans="1:6" s="297" customFormat="1" thickBot="1">
      <c r="A813" s="298"/>
      <c r="B813" s="298"/>
      <c r="C813" s="282"/>
      <c r="D813" s="282"/>
      <c r="E813" s="282"/>
      <c r="F813" s="566"/>
    </row>
    <row r="814" spans="1:6" s="297" customFormat="1" thickBot="1">
      <c r="A814" s="298"/>
      <c r="B814" s="298"/>
      <c r="C814" s="282"/>
      <c r="D814" s="282"/>
      <c r="E814" s="282"/>
      <c r="F814" s="566"/>
    </row>
    <row r="815" spans="1:6" s="297" customFormat="1" thickBot="1">
      <c r="A815" s="298"/>
      <c r="B815" s="298"/>
      <c r="C815" s="282"/>
      <c r="D815" s="282"/>
      <c r="E815" s="282"/>
      <c r="F815" s="566"/>
    </row>
    <row r="816" spans="1:6" s="297" customFormat="1" thickBot="1">
      <c r="A816" s="298"/>
      <c r="B816" s="298"/>
      <c r="C816" s="282"/>
      <c r="D816" s="282"/>
      <c r="E816" s="282"/>
      <c r="F816" s="566"/>
    </row>
    <row r="817" spans="1:6" s="297" customFormat="1" thickBot="1">
      <c r="A817" s="298"/>
      <c r="B817" s="298"/>
      <c r="C817" s="282"/>
      <c r="D817" s="282"/>
      <c r="E817" s="282"/>
      <c r="F817" s="566"/>
    </row>
    <row r="818" spans="1:6" s="297" customFormat="1" thickBot="1">
      <c r="A818" s="298"/>
      <c r="B818" s="298"/>
      <c r="C818" s="282"/>
      <c r="D818" s="282"/>
      <c r="E818" s="282"/>
      <c r="F818" s="566"/>
    </row>
    <row r="819" spans="1:6" s="297" customFormat="1" thickBot="1">
      <c r="A819" s="298"/>
      <c r="B819" s="298"/>
      <c r="C819" s="282"/>
      <c r="D819" s="282"/>
      <c r="E819" s="282"/>
      <c r="F819" s="566"/>
    </row>
    <row r="820" spans="1:6" s="297" customFormat="1" thickBot="1">
      <c r="A820" s="298"/>
      <c r="B820" s="298"/>
      <c r="C820" s="282"/>
      <c r="D820" s="282"/>
      <c r="E820" s="282"/>
      <c r="F820" s="566"/>
    </row>
    <row r="821" spans="1:6" s="297" customFormat="1" thickBot="1">
      <c r="A821" s="298"/>
      <c r="B821" s="298"/>
      <c r="C821" s="282"/>
      <c r="D821" s="282"/>
      <c r="E821" s="282"/>
      <c r="F821" s="566"/>
    </row>
    <row r="822" spans="1:6" s="297" customFormat="1" thickBot="1">
      <c r="A822" s="298"/>
      <c r="B822" s="298"/>
      <c r="C822" s="282"/>
      <c r="D822" s="282"/>
      <c r="E822" s="282"/>
      <c r="F822" s="566"/>
    </row>
    <row r="823" spans="1:6" s="297" customFormat="1" thickBot="1">
      <c r="A823" s="298"/>
      <c r="B823" s="298"/>
      <c r="C823" s="282"/>
      <c r="D823" s="282"/>
      <c r="E823" s="282"/>
      <c r="F823" s="566"/>
    </row>
    <row r="824" spans="1:6" s="297" customFormat="1" thickBot="1">
      <c r="A824" s="298"/>
      <c r="B824" s="298"/>
      <c r="C824" s="282"/>
      <c r="D824" s="282"/>
      <c r="E824" s="282"/>
      <c r="F824" s="566"/>
    </row>
    <row r="825" spans="1:6" s="297" customFormat="1" thickBot="1">
      <c r="A825" s="298"/>
      <c r="B825" s="298"/>
      <c r="C825" s="282"/>
      <c r="D825" s="282"/>
      <c r="E825" s="282"/>
      <c r="F825" s="566"/>
    </row>
    <row r="826" spans="1:6" s="297" customFormat="1" thickBot="1">
      <c r="A826" s="298"/>
      <c r="B826" s="298"/>
      <c r="C826" s="282"/>
      <c r="D826" s="282"/>
      <c r="E826" s="282"/>
      <c r="F826" s="566"/>
    </row>
    <row r="827" spans="1:6" s="297" customFormat="1" thickBot="1">
      <c r="A827" s="298"/>
      <c r="B827" s="298"/>
      <c r="C827" s="282"/>
      <c r="D827" s="282"/>
      <c r="E827" s="282"/>
      <c r="F827" s="566"/>
    </row>
    <row r="828" spans="1:6" s="297" customFormat="1" thickBot="1">
      <c r="A828" s="298"/>
      <c r="B828" s="298"/>
      <c r="C828" s="282"/>
      <c r="D828" s="282"/>
      <c r="E828" s="282"/>
      <c r="F828" s="566"/>
    </row>
    <row r="829" spans="1:6" s="297" customFormat="1" thickBot="1">
      <c r="A829" s="298"/>
      <c r="B829" s="298"/>
      <c r="C829" s="282"/>
      <c r="D829" s="282"/>
      <c r="E829" s="282"/>
      <c r="F829" s="566"/>
    </row>
    <row r="830" spans="1:6" s="297" customFormat="1" thickBot="1">
      <c r="A830" s="298"/>
      <c r="B830" s="298"/>
      <c r="C830" s="282"/>
      <c r="D830" s="282"/>
      <c r="E830" s="282"/>
      <c r="F830" s="566"/>
    </row>
    <row r="831" spans="1:6" s="297" customFormat="1" thickBot="1">
      <c r="A831" s="298"/>
      <c r="B831" s="298"/>
      <c r="C831" s="282"/>
      <c r="D831" s="282"/>
      <c r="E831" s="282"/>
      <c r="F831" s="566"/>
    </row>
    <row r="832" spans="1:6" s="297" customFormat="1" thickBot="1">
      <c r="A832" s="298"/>
      <c r="B832" s="298"/>
      <c r="C832" s="282"/>
      <c r="D832" s="282"/>
      <c r="E832" s="282"/>
      <c r="F832" s="566"/>
    </row>
    <row r="833" spans="1:6" s="297" customFormat="1" thickBot="1">
      <c r="A833" s="298"/>
      <c r="B833" s="298"/>
      <c r="C833" s="282"/>
      <c r="D833" s="282"/>
      <c r="E833" s="282"/>
      <c r="F833" s="566"/>
    </row>
    <row r="834" spans="1:6" s="297" customFormat="1" thickBot="1">
      <c r="A834" s="298"/>
      <c r="B834" s="298"/>
      <c r="C834" s="282"/>
      <c r="D834" s="282"/>
      <c r="E834" s="282"/>
      <c r="F834" s="566"/>
    </row>
    <row r="835" spans="1:6" s="297" customFormat="1" thickBot="1">
      <c r="A835" s="298"/>
      <c r="B835" s="298"/>
      <c r="C835" s="282"/>
      <c r="D835" s="282"/>
      <c r="E835" s="282"/>
      <c r="F835" s="566"/>
    </row>
    <row r="836" spans="1:6" s="297" customFormat="1" thickBot="1">
      <c r="A836" s="298"/>
      <c r="B836" s="298"/>
      <c r="C836" s="282"/>
      <c r="D836" s="282"/>
      <c r="E836" s="282"/>
      <c r="F836" s="566"/>
    </row>
    <row r="837" spans="1:6" s="297" customFormat="1" thickBot="1">
      <c r="A837" s="298"/>
      <c r="B837" s="298"/>
      <c r="C837" s="282"/>
      <c r="D837" s="282"/>
      <c r="E837" s="282"/>
      <c r="F837" s="566"/>
    </row>
    <row r="838" spans="1:6" s="297" customFormat="1" thickBot="1">
      <c r="A838" s="298"/>
      <c r="B838" s="298"/>
      <c r="C838" s="282"/>
      <c r="D838" s="282"/>
      <c r="E838" s="282"/>
      <c r="F838" s="566"/>
    </row>
    <row r="839" spans="1:6" s="297" customFormat="1" thickBot="1">
      <c r="A839" s="298"/>
      <c r="B839" s="298"/>
      <c r="C839" s="282"/>
      <c r="D839" s="282"/>
      <c r="E839" s="282"/>
      <c r="F839" s="566"/>
    </row>
    <row r="840" spans="1:6" s="297" customFormat="1" thickBot="1">
      <c r="A840" s="298"/>
      <c r="B840" s="298"/>
      <c r="C840" s="282"/>
      <c r="D840" s="282"/>
      <c r="E840" s="282"/>
      <c r="F840" s="566"/>
    </row>
    <row r="841" spans="1:6" s="297" customFormat="1" thickBot="1">
      <c r="A841" s="298"/>
      <c r="B841" s="298"/>
      <c r="C841" s="282"/>
      <c r="D841" s="282"/>
      <c r="E841" s="282"/>
      <c r="F841" s="566"/>
    </row>
    <row r="842" spans="1:6" s="297" customFormat="1" thickBot="1">
      <c r="A842" s="298"/>
      <c r="B842" s="298"/>
      <c r="C842" s="282"/>
      <c r="D842" s="282"/>
      <c r="E842" s="282"/>
      <c r="F842" s="566"/>
    </row>
    <row r="843" spans="1:6" s="297" customFormat="1" thickBot="1">
      <c r="A843" s="298"/>
      <c r="B843" s="298"/>
      <c r="C843" s="282"/>
      <c r="D843" s="282"/>
      <c r="E843" s="282"/>
      <c r="F843" s="566"/>
    </row>
    <row r="844" spans="1:6" s="297" customFormat="1" thickBot="1">
      <c r="A844" s="298"/>
      <c r="B844" s="298"/>
      <c r="C844" s="282"/>
      <c r="D844" s="282"/>
      <c r="E844" s="282"/>
      <c r="F844" s="566"/>
    </row>
    <row r="845" spans="1:6" s="297" customFormat="1" thickBot="1">
      <c r="A845" s="298"/>
      <c r="B845" s="298"/>
      <c r="C845" s="282"/>
      <c r="D845" s="282"/>
      <c r="E845" s="282"/>
      <c r="F845" s="566"/>
    </row>
    <row r="846" spans="1:6" s="297" customFormat="1" thickBot="1">
      <c r="A846" s="298"/>
      <c r="B846" s="298"/>
      <c r="C846" s="282"/>
      <c r="D846" s="282"/>
      <c r="E846" s="282"/>
      <c r="F846" s="566"/>
    </row>
    <row r="847" spans="1:6" s="297" customFormat="1" thickBot="1">
      <c r="A847" s="298"/>
      <c r="B847" s="298"/>
      <c r="C847" s="282"/>
      <c r="D847" s="282"/>
      <c r="E847" s="282"/>
      <c r="F847" s="566"/>
    </row>
    <row r="848" spans="1:6" s="297" customFormat="1" thickBot="1">
      <c r="A848" s="298"/>
      <c r="B848" s="298"/>
      <c r="C848" s="282"/>
      <c r="D848" s="282"/>
      <c r="E848" s="282"/>
      <c r="F848" s="566"/>
    </row>
    <row r="849" spans="1:6" s="297" customFormat="1" thickBot="1">
      <c r="A849" s="298"/>
      <c r="B849" s="298"/>
      <c r="C849" s="282"/>
      <c r="D849" s="282"/>
      <c r="E849" s="282"/>
      <c r="F849" s="566"/>
    </row>
    <row r="850" spans="1:6" s="297" customFormat="1" thickBot="1">
      <c r="A850" s="298"/>
      <c r="B850" s="298"/>
      <c r="C850" s="282"/>
      <c r="D850" s="282"/>
      <c r="E850" s="282"/>
      <c r="F850" s="566"/>
    </row>
    <row r="851" spans="1:6" s="297" customFormat="1" thickBot="1">
      <c r="A851" s="298"/>
      <c r="B851" s="298"/>
      <c r="C851" s="282"/>
      <c r="D851" s="282"/>
      <c r="E851" s="282"/>
      <c r="F851" s="566"/>
    </row>
    <row r="852" spans="1:6" s="297" customFormat="1" thickBot="1">
      <c r="A852" s="298"/>
      <c r="B852" s="298"/>
      <c r="C852" s="282"/>
      <c r="D852" s="282"/>
      <c r="E852" s="282"/>
      <c r="F852" s="566"/>
    </row>
    <row r="853" spans="1:6" s="297" customFormat="1" thickBot="1">
      <c r="A853" s="298"/>
      <c r="B853" s="298"/>
      <c r="C853" s="282"/>
      <c r="D853" s="282"/>
      <c r="E853" s="282"/>
      <c r="F853" s="566"/>
    </row>
    <row r="854" spans="1:6" s="297" customFormat="1" thickBot="1">
      <c r="A854" s="298"/>
      <c r="B854" s="298"/>
      <c r="C854" s="282"/>
      <c r="D854" s="282"/>
      <c r="E854" s="282"/>
      <c r="F854" s="566"/>
    </row>
    <row r="855" spans="1:6" s="297" customFormat="1" thickBot="1">
      <c r="A855" s="298"/>
      <c r="B855" s="298"/>
      <c r="C855" s="282"/>
      <c r="D855" s="282"/>
      <c r="E855" s="282"/>
      <c r="F855" s="566"/>
    </row>
    <row r="856" spans="1:6" s="297" customFormat="1" thickBot="1">
      <c r="A856" s="298"/>
      <c r="B856" s="298"/>
      <c r="C856" s="282"/>
      <c r="D856" s="282"/>
      <c r="E856" s="282"/>
      <c r="F856" s="566"/>
    </row>
    <row r="857" spans="1:6" s="297" customFormat="1" thickBot="1">
      <c r="A857" s="298"/>
      <c r="B857" s="298"/>
      <c r="C857" s="282"/>
      <c r="D857" s="282"/>
      <c r="E857" s="282"/>
      <c r="F857" s="566"/>
    </row>
    <row r="858" spans="1:6" s="297" customFormat="1" thickBot="1">
      <c r="A858" s="298"/>
      <c r="B858" s="298"/>
      <c r="C858" s="282"/>
      <c r="D858" s="282"/>
      <c r="E858" s="282"/>
      <c r="F858" s="566"/>
    </row>
    <row r="859" spans="1:6" s="297" customFormat="1" thickBot="1">
      <c r="A859" s="298"/>
      <c r="B859" s="298"/>
      <c r="C859" s="282"/>
      <c r="D859" s="282"/>
      <c r="E859" s="282"/>
      <c r="F859" s="566"/>
    </row>
    <row r="860" spans="1:6" s="297" customFormat="1" thickBot="1">
      <c r="A860" s="298"/>
      <c r="B860" s="298"/>
      <c r="C860" s="282"/>
      <c r="D860" s="282"/>
      <c r="E860" s="282"/>
      <c r="F860" s="566"/>
    </row>
    <row r="861" spans="1:6" s="297" customFormat="1" thickBot="1">
      <c r="A861" s="298"/>
      <c r="B861" s="298"/>
      <c r="C861" s="282"/>
      <c r="D861" s="282"/>
      <c r="E861" s="282"/>
      <c r="F861" s="566"/>
    </row>
    <row r="862" spans="1:6" s="297" customFormat="1" thickBot="1">
      <c r="A862" s="298"/>
      <c r="B862" s="298"/>
      <c r="C862" s="282"/>
      <c r="D862" s="282"/>
      <c r="E862" s="282"/>
      <c r="F862" s="566"/>
    </row>
    <row r="863" spans="1:6" s="297" customFormat="1" thickBot="1">
      <c r="A863" s="298"/>
      <c r="B863" s="298"/>
      <c r="C863" s="282"/>
      <c r="D863" s="282"/>
      <c r="E863" s="282"/>
      <c r="F863" s="566"/>
    </row>
    <row r="864" spans="1:6" s="297" customFormat="1" thickBot="1">
      <c r="A864" s="298"/>
      <c r="B864" s="298"/>
      <c r="C864" s="282"/>
      <c r="D864" s="282"/>
      <c r="E864" s="282"/>
      <c r="F864" s="566"/>
    </row>
    <row r="865" spans="1:6" s="297" customFormat="1" thickBot="1">
      <c r="A865" s="298"/>
      <c r="B865" s="298"/>
      <c r="C865" s="282"/>
      <c r="D865" s="282"/>
      <c r="E865" s="282"/>
      <c r="F865" s="566"/>
    </row>
    <row r="866" spans="1:6" s="297" customFormat="1" thickBot="1">
      <c r="A866" s="298"/>
      <c r="B866" s="298"/>
      <c r="C866" s="282"/>
      <c r="D866" s="282"/>
      <c r="E866" s="282"/>
      <c r="F866" s="566"/>
    </row>
    <row r="867" spans="1:6" s="297" customFormat="1" thickBot="1">
      <c r="A867" s="298"/>
      <c r="B867" s="298"/>
      <c r="C867" s="282"/>
      <c r="D867" s="282"/>
      <c r="E867" s="282"/>
      <c r="F867" s="566"/>
    </row>
    <row r="868" spans="1:6" s="297" customFormat="1" thickBot="1">
      <c r="A868" s="298"/>
      <c r="B868" s="298"/>
      <c r="C868" s="282"/>
      <c r="D868" s="282"/>
      <c r="E868" s="282"/>
      <c r="F868" s="566"/>
    </row>
    <row r="869" spans="1:6" s="297" customFormat="1" thickBot="1">
      <c r="A869" s="298"/>
      <c r="B869" s="298"/>
      <c r="C869" s="282"/>
      <c r="D869" s="282"/>
      <c r="E869" s="282"/>
      <c r="F869" s="566"/>
    </row>
    <row r="870" spans="1:6" s="297" customFormat="1" thickBot="1">
      <c r="A870" s="298"/>
      <c r="B870" s="298"/>
      <c r="C870" s="282"/>
      <c r="D870" s="282"/>
      <c r="E870" s="282"/>
      <c r="F870" s="566"/>
    </row>
    <row r="871" spans="1:6" s="297" customFormat="1" thickBot="1">
      <c r="A871" s="298"/>
      <c r="B871" s="298"/>
      <c r="C871" s="282"/>
      <c r="D871" s="282"/>
      <c r="E871" s="282"/>
      <c r="F871" s="566"/>
    </row>
    <row r="872" spans="1:6" s="297" customFormat="1" thickBot="1">
      <c r="A872" s="298"/>
      <c r="B872" s="298"/>
      <c r="C872" s="282"/>
      <c r="D872" s="282"/>
      <c r="E872" s="282"/>
      <c r="F872" s="566"/>
    </row>
    <row r="873" spans="1:6" s="297" customFormat="1" thickBot="1">
      <c r="A873" s="298"/>
      <c r="B873" s="298"/>
      <c r="C873" s="282"/>
      <c r="D873" s="282"/>
      <c r="E873" s="282"/>
      <c r="F873" s="566"/>
    </row>
    <row r="874" spans="1:6" s="297" customFormat="1" thickBot="1">
      <c r="A874" s="298"/>
      <c r="B874" s="298"/>
      <c r="C874" s="282"/>
      <c r="D874" s="282"/>
      <c r="E874" s="282"/>
      <c r="F874" s="566"/>
    </row>
    <row r="875" spans="1:6" s="297" customFormat="1" thickBot="1">
      <c r="A875" s="298"/>
      <c r="B875" s="298"/>
      <c r="C875" s="282"/>
      <c r="D875" s="282"/>
      <c r="E875" s="282"/>
      <c r="F875" s="566"/>
    </row>
    <row r="876" spans="1:6" s="297" customFormat="1" thickBot="1">
      <c r="A876" s="298"/>
      <c r="B876" s="298"/>
      <c r="C876" s="282"/>
      <c r="D876" s="282"/>
      <c r="E876" s="282"/>
      <c r="F876" s="566"/>
    </row>
    <row r="877" spans="1:6" s="297" customFormat="1" thickBot="1">
      <c r="A877" s="298"/>
      <c r="B877" s="298"/>
      <c r="C877" s="282"/>
      <c r="D877" s="282"/>
      <c r="E877" s="282"/>
      <c r="F877" s="566"/>
    </row>
    <row r="878" spans="1:6" s="297" customFormat="1" thickBot="1">
      <c r="A878" s="298"/>
      <c r="B878" s="298"/>
      <c r="C878" s="282"/>
      <c r="D878" s="282"/>
      <c r="E878" s="282"/>
      <c r="F878" s="566"/>
    </row>
    <row r="879" spans="1:6" s="297" customFormat="1" thickBot="1">
      <c r="A879" s="298"/>
      <c r="B879" s="298"/>
      <c r="C879" s="282"/>
      <c r="D879" s="282"/>
      <c r="E879" s="282"/>
      <c r="F879" s="566"/>
    </row>
    <row r="880" spans="1:6" s="297" customFormat="1" thickBot="1">
      <c r="A880" s="298"/>
      <c r="B880" s="298"/>
      <c r="C880" s="282"/>
      <c r="D880" s="282"/>
      <c r="E880" s="282"/>
      <c r="F880" s="566"/>
    </row>
    <row r="881" spans="1:6" s="297" customFormat="1" thickBot="1">
      <c r="A881" s="298"/>
      <c r="B881" s="298"/>
      <c r="C881" s="282"/>
      <c r="D881" s="282"/>
      <c r="E881" s="282"/>
      <c r="F881" s="566"/>
    </row>
    <row r="882" spans="1:6" s="297" customFormat="1" thickBot="1">
      <c r="A882" s="298"/>
      <c r="B882" s="298"/>
      <c r="C882" s="282"/>
      <c r="D882" s="282"/>
      <c r="E882" s="282"/>
      <c r="F882" s="566"/>
    </row>
    <row r="883" spans="1:6" s="297" customFormat="1" thickBot="1">
      <c r="A883" s="298"/>
      <c r="B883" s="298"/>
      <c r="C883" s="282"/>
      <c r="D883" s="282"/>
      <c r="E883" s="282"/>
      <c r="F883" s="566"/>
    </row>
    <row r="884" spans="1:6" s="297" customFormat="1" thickBot="1">
      <c r="A884" s="298"/>
      <c r="B884" s="298"/>
      <c r="C884" s="282"/>
      <c r="D884" s="282"/>
      <c r="E884" s="282"/>
      <c r="F884" s="566"/>
    </row>
    <row r="885" spans="1:6" s="297" customFormat="1" thickBot="1">
      <c r="A885" s="298"/>
      <c r="B885" s="298"/>
      <c r="C885" s="282"/>
      <c r="D885" s="282"/>
      <c r="E885" s="282"/>
      <c r="F885" s="566"/>
    </row>
    <row r="886" spans="1:6" s="297" customFormat="1" thickBot="1">
      <c r="A886" s="298"/>
      <c r="B886" s="298"/>
      <c r="C886" s="282"/>
      <c r="D886" s="282"/>
      <c r="E886" s="282"/>
      <c r="F886" s="566"/>
    </row>
    <row r="887" spans="1:6" s="297" customFormat="1" thickBot="1">
      <c r="A887" s="298"/>
      <c r="B887" s="298"/>
      <c r="C887" s="282"/>
      <c r="D887" s="282"/>
      <c r="E887" s="282"/>
      <c r="F887" s="566"/>
    </row>
    <row r="888" spans="1:6" s="297" customFormat="1" thickBot="1">
      <c r="A888" s="298"/>
      <c r="B888" s="298"/>
      <c r="C888" s="282"/>
      <c r="D888" s="282"/>
      <c r="E888" s="282"/>
      <c r="F888" s="566"/>
    </row>
    <row r="889" spans="1:6" s="297" customFormat="1" thickBot="1">
      <c r="A889" s="298"/>
      <c r="B889" s="298"/>
      <c r="C889" s="282"/>
      <c r="D889" s="282"/>
      <c r="E889" s="282"/>
      <c r="F889" s="566"/>
    </row>
    <row r="890" spans="1:6" s="297" customFormat="1" thickBot="1">
      <c r="A890" s="298"/>
      <c r="B890" s="298"/>
      <c r="C890" s="282"/>
      <c r="D890" s="282"/>
      <c r="E890" s="282"/>
      <c r="F890" s="566"/>
    </row>
    <row r="891" spans="1:6" s="297" customFormat="1" thickBot="1">
      <c r="A891" s="298"/>
      <c r="B891" s="298"/>
      <c r="C891" s="282"/>
      <c r="D891" s="282"/>
      <c r="E891" s="282"/>
      <c r="F891" s="566"/>
    </row>
    <row r="892" spans="1:6" s="297" customFormat="1" thickBot="1">
      <c r="A892" s="298"/>
      <c r="B892" s="298"/>
      <c r="C892" s="282"/>
      <c r="D892" s="282"/>
      <c r="E892" s="282"/>
      <c r="F892" s="566"/>
    </row>
    <row r="893" spans="1:6" s="297" customFormat="1" thickBot="1">
      <c r="A893" s="298"/>
      <c r="B893" s="298"/>
      <c r="C893" s="282"/>
      <c r="D893" s="282"/>
      <c r="E893" s="282"/>
      <c r="F893" s="566"/>
    </row>
    <row r="894" spans="1:6" s="297" customFormat="1" thickBot="1">
      <c r="A894" s="298"/>
      <c r="B894" s="298"/>
      <c r="C894" s="282"/>
      <c r="D894" s="282"/>
      <c r="E894" s="282"/>
      <c r="F894" s="566"/>
    </row>
    <row r="895" spans="1:6" s="297" customFormat="1" thickBot="1">
      <c r="A895" s="298"/>
      <c r="B895" s="298"/>
      <c r="C895" s="282"/>
      <c r="D895" s="282"/>
      <c r="E895" s="282"/>
      <c r="F895" s="566"/>
    </row>
    <row r="896" spans="1:6" s="297" customFormat="1" thickBot="1">
      <c r="A896" s="298"/>
      <c r="B896" s="298"/>
      <c r="C896" s="282"/>
      <c r="D896" s="282"/>
      <c r="E896" s="282"/>
      <c r="F896" s="566"/>
    </row>
    <row r="897" spans="1:6" s="297" customFormat="1" thickBot="1">
      <c r="A897" s="298"/>
      <c r="B897" s="298"/>
      <c r="C897" s="282"/>
      <c r="D897" s="282"/>
      <c r="E897" s="282"/>
      <c r="F897" s="566"/>
    </row>
    <row r="898" spans="1:6" s="297" customFormat="1" thickBot="1">
      <c r="A898" s="298"/>
      <c r="B898" s="298"/>
      <c r="C898" s="282"/>
      <c r="D898" s="282"/>
      <c r="E898" s="282"/>
      <c r="F898" s="566"/>
    </row>
    <row r="899" spans="1:6" s="297" customFormat="1" thickBot="1">
      <c r="A899" s="298"/>
      <c r="B899" s="298"/>
      <c r="C899" s="282"/>
      <c r="D899" s="282"/>
      <c r="E899" s="282"/>
      <c r="F899" s="566"/>
    </row>
    <row r="900" spans="1:6" s="297" customFormat="1" thickBot="1">
      <c r="A900" s="298"/>
      <c r="B900" s="298"/>
      <c r="C900" s="282"/>
      <c r="D900" s="282"/>
      <c r="E900" s="282"/>
      <c r="F900" s="566"/>
    </row>
    <row r="901" spans="1:6" s="297" customFormat="1" thickBot="1">
      <c r="A901" s="298"/>
      <c r="B901" s="298"/>
      <c r="C901" s="282"/>
      <c r="D901" s="282"/>
      <c r="E901" s="282"/>
      <c r="F901" s="566"/>
    </row>
    <row r="902" spans="1:6" s="297" customFormat="1" thickBot="1">
      <c r="A902" s="298"/>
      <c r="B902" s="298"/>
      <c r="C902" s="282"/>
      <c r="D902" s="282"/>
      <c r="E902" s="282"/>
      <c r="F902" s="566"/>
    </row>
    <row r="903" spans="1:6" s="297" customFormat="1" thickBot="1">
      <c r="A903" s="298"/>
      <c r="B903" s="298"/>
      <c r="C903" s="282"/>
      <c r="D903" s="282"/>
      <c r="E903" s="282"/>
      <c r="F903" s="566"/>
    </row>
    <row r="904" spans="1:6" s="297" customFormat="1" thickBot="1">
      <c r="A904" s="298"/>
      <c r="B904" s="298"/>
      <c r="C904" s="282"/>
      <c r="D904" s="282"/>
      <c r="E904" s="282"/>
      <c r="F904" s="566"/>
    </row>
    <row r="905" spans="1:6" s="297" customFormat="1" thickBot="1">
      <c r="A905" s="298"/>
      <c r="B905" s="298"/>
      <c r="C905" s="282"/>
      <c r="D905" s="282"/>
      <c r="E905" s="282"/>
      <c r="F905" s="566"/>
    </row>
    <row r="906" spans="1:6" s="297" customFormat="1" thickBot="1">
      <c r="A906" s="298"/>
      <c r="B906" s="298"/>
      <c r="C906" s="282"/>
      <c r="D906" s="282"/>
      <c r="E906" s="282"/>
      <c r="F906" s="566"/>
    </row>
    <row r="907" spans="1:6" s="297" customFormat="1" thickBot="1">
      <c r="A907" s="298"/>
      <c r="B907" s="298"/>
      <c r="C907" s="282"/>
      <c r="D907" s="282"/>
      <c r="E907" s="282"/>
      <c r="F907" s="566"/>
    </row>
    <row r="908" spans="1:6" s="297" customFormat="1" thickBot="1">
      <c r="A908" s="298"/>
      <c r="B908" s="298"/>
      <c r="C908" s="282"/>
      <c r="D908" s="282"/>
      <c r="E908" s="282"/>
      <c r="F908" s="566"/>
    </row>
    <row r="909" spans="1:6" s="297" customFormat="1" thickBot="1">
      <c r="A909" s="298"/>
      <c r="B909" s="298"/>
      <c r="C909" s="282"/>
      <c r="D909" s="282"/>
      <c r="E909" s="282"/>
      <c r="F909" s="566"/>
    </row>
    <row r="910" spans="1:6" s="297" customFormat="1" thickBot="1">
      <c r="A910" s="298"/>
      <c r="B910" s="298"/>
      <c r="C910" s="282"/>
      <c r="D910" s="282"/>
      <c r="E910" s="282"/>
      <c r="F910" s="566"/>
    </row>
    <row r="911" spans="1:6" s="297" customFormat="1" thickBot="1">
      <c r="A911" s="298"/>
      <c r="B911" s="298"/>
      <c r="C911" s="282"/>
      <c r="D911" s="282"/>
      <c r="E911" s="282"/>
      <c r="F911" s="566"/>
    </row>
    <row r="912" spans="1:6" s="297" customFormat="1" thickBot="1">
      <c r="A912" s="298"/>
      <c r="B912" s="298"/>
      <c r="C912" s="282"/>
      <c r="D912" s="282"/>
      <c r="E912" s="282"/>
      <c r="F912" s="566"/>
    </row>
    <row r="913" spans="1:6" s="297" customFormat="1" thickBot="1">
      <c r="A913" s="298"/>
      <c r="B913" s="298"/>
      <c r="C913" s="282"/>
      <c r="D913" s="282"/>
      <c r="E913" s="282"/>
      <c r="F913" s="566"/>
    </row>
    <row r="914" spans="1:6" s="297" customFormat="1" thickBot="1">
      <c r="A914" s="298"/>
      <c r="B914" s="298"/>
      <c r="C914" s="282"/>
      <c r="D914" s="282"/>
      <c r="E914" s="282"/>
      <c r="F914" s="566"/>
    </row>
    <row r="915" spans="1:6" s="297" customFormat="1" thickBot="1">
      <c r="A915" s="298"/>
      <c r="B915" s="298"/>
      <c r="C915" s="282"/>
      <c r="D915" s="282"/>
      <c r="E915" s="282"/>
      <c r="F915" s="566"/>
    </row>
    <row r="916" spans="1:6" s="297" customFormat="1" thickBot="1">
      <c r="A916" s="298"/>
      <c r="B916" s="298"/>
      <c r="C916" s="282"/>
      <c r="D916" s="282"/>
      <c r="E916" s="282"/>
      <c r="F916" s="566"/>
    </row>
    <row r="917" spans="1:6" s="297" customFormat="1" thickBot="1">
      <c r="A917" s="298"/>
      <c r="B917" s="298"/>
      <c r="C917" s="282"/>
      <c r="D917" s="282"/>
      <c r="E917" s="282"/>
      <c r="F917" s="566"/>
    </row>
    <row r="918" spans="1:6" s="297" customFormat="1" thickBot="1">
      <c r="A918" s="298"/>
      <c r="B918" s="298"/>
      <c r="C918" s="282"/>
      <c r="D918" s="282"/>
      <c r="E918" s="282"/>
      <c r="F918" s="566"/>
    </row>
    <row r="919" spans="1:6" s="297" customFormat="1" thickBot="1">
      <c r="A919" s="298"/>
      <c r="B919" s="298"/>
      <c r="C919" s="282"/>
      <c r="D919" s="282"/>
      <c r="E919" s="282"/>
      <c r="F919" s="566"/>
    </row>
    <row r="920" spans="1:6" s="297" customFormat="1" thickBot="1">
      <c r="A920" s="298"/>
      <c r="B920" s="298"/>
      <c r="C920" s="282"/>
      <c r="D920" s="282"/>
      <c r="E920" s="282"/>
      <c r="F920" s="566"/>
    </row>
    <row r="921" spans="1:6" s="297" customFormat="1" thickBot="1">
      <c r="A921" s="298"/>
      <c r="B921" s="298"/>
      <c r="C921" s="282"/>
      <c r="D921" s="282"/>
      <c r="E921" s="282"/>
      <c r="F921" s="566"/>
    </row>
    <row r="922" spans="1:6" s="297" customFormat="1" thickBot="1">
      <c r="A922" s="298"/>
      <c r="B922" s="298"/>
      <c r="C922" s="282"/>
      <c r="D922" s="282"/>
      <c r="E922" s="282"/>
      <c r="F922" s="566"/>
    </row>
    <row r="923" spans="1:6" s="297" customFormat="1" thickBot="1">
      <c r="A923" s="298"/>
      <c r="B923" s="298"/>
      <c r="C923" s="282"/>
      <c r="D923" s="282"/>
      <c r="E923" s="282"/>
      <c r="F923" s="566"/>
    </row>
    <row r="924" spans="1:6" s="297" customFormat="1" thickBot="1">
      <c r="A924" s="298"/>
      <c r="B924" s="298"/>
      <c r="C924" s="282"/>
      <c r="D924" s="282"/>
      <c r="E924" s="282"/>
      <c r="F924" s="566"/>
    </row>
    <row r="925" spans="1:6" s="297" customFormat="1" thickBot="1">
      <c r="A925" s="298"/>
      <c r="B925" s="298"/>
      <c r="C925" s="282"/>
      <c r="D925" s="282"/>
      <c r="E925" s="282"/>
      <c r="F925" s="566"/>
    </row>
    <row r="926" spans="1:6" s="297" customFormat="1" thickBot="1">
      <c r="A926" s="298"/>
      <c r="B926" s="298"/>
      <c r="C926" s="282"/>
      <c r="D926" s="282"/>
      <c r="E926" s="282"/>
      <c r="F926" s="566"/>
    </row>
    <row r="927" spans="1:6" s="297" customFormat="1" thickBot="1">
      <c r="A927" s="298"/>
      <c r="B927" s="298"/>
      <c r="C927" s="282"/>
      <c r="D927" s="282"/>
      <c r="E927" s="282"/>
      <c r="F927" s="566"/>
    </row>
    <row r="928" spans="1:6" s="297" customFormat="1" thickBot="1">
      <c r="A928" s="298"/>
      <c r="B928" s="298"/>
      <c r="C928" s="282"/>
      <c r="D928" s="282"/>
      <c r="E928" s="282"/>
      <c r="F928" s="566"/>
    </row>
    <row r="929" spans="1:6" s="297" customFormat="1" thickBot="1">
      <c r="A929" s="298"/>
      <c r="B929" s="298"/>
      <c r="C929" s="282"/>
      <c r="D929" s="282"/>
      <c r="E929" s="282"/>
      <c r="F929" s="566"/>
    </row>
    <row r="930" spans="1:6" s="297" customFormat="1" thickBot="1">
      <c r="A930" s="298"/>
      <c r="B930" s="298"/>
      <c r="C930" s="282"/>
      <c r="D930" s="282"/>
      <c r="E930" s="282"/>
      <c r="F930" s="566"/>
    </row>
    <row r="931" spans="1:6" s="297" customFormat="1" thickBot="1">
      <c r="A931" s="298"/>
      <c r="B931" s="298"/>
      <c r="C931" s="282"/>
      <c r="D931" s="282"/>
      <c r="E931" s="282"/>
      <c r="F931" s="566"/>
    </row>
    <row r="932" spans="1:6" s="297" customFormat="1" thickBot="1">
      <c r="A932" s="298"/>
      <c r="B932" s="298"/>
      <c r="C932" s="282"/>
      <c r="D932" s="282"/>
      <c r="E932" s="282"/>
      <c r="F932" s="566"/>
    </row>
    <row r="933" spans="1:6" s="297" customFormat="1" thickBot="1">
      <c r="A933" s="298"/>
      <c r="B933" s="298"/>
      <c r="C933" s="282"/>
      <c r="D933" s="282"/>
      <c r="E933" s="282"/>
      <c r="F933" s="566"/>
    </row>
    <row r="934" spans="1:6" s="297" customFormat="1" thickBot="1">
      <c r="A934" s="298"/>
      <c r="B934" s="298"/>
      <c r="C934" s="282"/>
      <c r="D934" s="282"/>
      <c r="E934" s="282"/>
      <c r="F934" s="566"/>
    </row>
    <row r="935" spans="1:6" s="297" customFormat="1" thickBot="1">
      <c r="A935" s="298"/>
      <c r="B935" s="298"/>
      <c r="C935" s="282"/>
      <c r="D935" s="282"/>
      <c r="E935" s="282"/>
      <c r="F935" s="566"/>
    </row>
    <row r="936" spans="1:6" s="297" customFormat="1" thickBot="1">
      <c r="A936" s="298"/>
      <c r="B936" s="298"/>
      <c r="C936" s="282"/>
      <c r="D936" s="282"/>
      <c r="E936" s="282"/>
      <c r="F936" s="566"/>
    </row>
    <row r="937" spans="1:6" s="297" customFormat="1" thickBot="1">
      <c r="A937" s="298"/>
      <c r="B937" s="298"/>
      <c r="C937" s="282"/>
      <c r="D937" s="282"/>
      <c r="E937" s="282"/>
      <c r="F937" s="566"/>
    </row>
    <row r="938" spans="1:6" s="297" customFormat="1" thickBot="1">
      <c r="A938" s="298"/>
      <c r="B938" s="298"/>
      <c r="C938" s="282"/>
      <c r="D938" s="282"/>
      <c r="E938" s="282"/>
      <c r="F938" s="566"/>
    </row>
    <row r="939" spans="1:6" s="297" customFormat="1" thickBot="1">
      <c r="A939" s="298"/>
      <c r="B939" s="298"/>
      <c r="C939" s="282"/>
      <c r="D939" s="282"/>
      <c r="E939" s="282"/>
      <c r="F939" s="566"/>
    </row>
    <row r="940" spans="1:6" s="297" customFormat="1" thickBot="1">
      <c r="A940" s="298"/>
      <c r="B940" s="298"/>
      <c r="C940" s="282"/>
      <c r="D940" s="282"/>
      <c r="E940" s="282"/>
      <c r="F940" s="566"/>
    </row>
    <row r="941" spans="1:6" s="297" customFormat="1" thickBot="1">
      <c r="A941" s="298"/>
      <c r="B941" s="298"/>
      <c r="C941" s="282"/>
      <c r="D941" s="282"/>
      <c r="E941" s="282"/>
      <c r="F941" s="566"/>
    </row>
    <row r="942" spans="1:6" s="297" customFormat="1" thickBot="1">
      <c r="A942" s="298"/>
      <c r="B942" s="298"/>
      <c r="C942" s="282"/>
      <c r="D942" s="282"/>
      <c r="E942" s="282"/>
      <c r="F942" s="566"/>
    </row>
    <row r="943" spans="1:6" s="297" customFormat="1" thickBot="1">
      <c r="A943" s="298"/>
      <c r="B943" s="298"/>
      <c r="C943" s="282"/>
      <c r="D943" s="282"/>
      <c r="E943" s="282"/>
      <c r="F943" s="566"/>
    </row>
    <row r="944" spans="1:6" s="297" customFormat="1" thickBot="1">
      <c r="A944" s="298"/>
      <c r="B944" s="298"/>
      <c r="C944" s="282"/>
      <c r="D944" s="282"/>
      <c r="E944" s="282"/>
      <c r="F944" s="566"/>
    </row>
    <row r="945" spans="1:6" s="297" customFormat="1" thickBot="1">
      <c r="A945" s="298"/>
      <c r="B945" s="298"/>
      <c r="C945" s="282"/>
      <c r="D945" s="282"/>
      <c r="E945" s="282"/>
      <c r="F945" s="566"/>
    </row>
    <row r="946" spans="1:6" s="297" customFormat="1" thickBot="1">
      <c r="A946" s="298"/>
      <c r="B946" s="298"/>
      <c r="C946" s="282"/>
      <c r="D946" s="282"/>
      <c r="E946" s="282"/>
      <c r="F946" s="566"/>
    </row>
    <row r="947" spans="1:6" s="297" customFormat="1" thickBot="1">
      <c r="A947" s="298"/>
      <c r="B947" s="298"/>
      <c r="C947" s="282"/>
      <c r="D947" s="282"/>
      <c r="E947" s="282"/>
      <c r="F947" s="566"/>
    </row>
    <row r="948" spans="1:6" s="297" customFormat="1" thickBot="1">
      <c r="A948" s="298"/>
      <c r="B948" s="298"/>
      <c r="C948" s="282"/>
      <c r="D948" s="282"/>
      <c r="E948" s="282"/>
      <c r="F948" s="566"/>
    </row>
    <row r="949" spans="1:6" s="297" customFormat="1" thickBot="1">
      <c r="A949" s="298"/>
      <c r="B949" s="298"/>
      <c r="C949" s="282"/>
      <c r="D949" s="282"/>
      <c r="E949" s="282"/>
      <c r="F949" s="566"/>
    </row>
    <row r="950" spans="1:6" s="297" customFormat="1" thickBot="1">
      <c r="A950" s="298"/>
      <c r="B950" s="298"/>
      <c r="C950" s="282"/>
      <c r="D950" s="282"/>
      <c r="E950" s="282"/>
      <c r="F950" s="566"/>
    </row>
    <row r="951" spans="1:6" s="297" customFormat="1" thickBot="1">
      <c r="A951" s="298"/>
      <c r="B951" s="298"/>
      <c r="C951" s="282"/>
      <c r="D951" s="282"/>
      <c r="E951" s="282"/>
      <c r="F951" s="566"/>
    </row>
    <row r="952" spans="1:6" s="297" customFormat="1" thickBot="1">
      <c r="A952" s="298"/>
      <c r="B952" s="298"/>
      <c r="C952" s="282"/>
      <c r="D952" s="282"/>
      <c r="E952" s="282"/>
      <c r="F952" s="566"/>
    </row>
    <row r="953" spans="1:6" s="297" customFormat="1" thickBot="1">
      <c r="A953" s="298"/>
      <c r="B953" s="298"/>
      <c r="C953" s="282"/>
      <c r="D953" s="282"/>
      <c r="E953" s="282"/>
      <c r="F953" s="566"/>
    </row>
    <row r="954" spans="1:6" s="297" customFormat="1" thickBot="1">
      <c r="A954" s="298"/>
      <c r="B954" s="298"/>
      <c r="C954" s="282"/>
      <c r="D954" s="282"/>
      <c r="E954" s="282"/>
      <c r="F954" s="566"/>
    </row>
    <row r="955" spans="1:6" s="297" customFormat="1" thickBot="1">
      <c r="A955" s="298"/>
      <c r="B955" s="298"/>
      <c r="C955" s="282"/>
      <c r="D955" s="282"/>
      <c r="E955" s="282"/>
      <c r="F955" s="566"/>
    </row>
    <row r="956" spans="1:6" s="297" customFormat="1" thickBot="1">
      <c r="A956" s="298"/>
      <c r="B956" s="298"/>
      <c r="C956" s="282"/>
      <c r="D956" s="282"/>
      <c r="E956" s="282"/>
      <c r="F956" s="566"/>
    </row>
    <row r="957" spans="1:6" s="297" customFormat="1" thickBot="1">
      <c r="A957" s="298"/>
      <c r="B957" s="298"/>
      <c r="C957" s="282"/>
      <c r="D957" s="282"/>
      <c r="E957" s="282"/>
      <c r="F957" s="566"/>
    </row>
    <row r="958" spans="1:6" s="297" customFormat="1" thickBot="1">
      <c r="A958" s="298"/>
      <c r="B958" s="298"/>
      <c r="C958" s="282"/>
      <c r="D958" s="282"/>
      <c r="E958" s="282"/>
      <c r="F958" s="566"/>
    </row>
    <row r="959" spans="1:6" s="297" customFormat="1" thickBot="1">
      <c r="A959" s="298"/>
      <c r="B959" s="298"/>
      <c r="C959" s="282"/>
      <c r="D959" s="282"/>
      <c r="E959" s="282"/>
      <c r="F959" s="566"/>
    </row>
    <row r="960" spans="1:6" s="297" customFormat="1" thickBot="1">
      <c r="A960" s="298"/>
      <c r="B960" s="298"/>
      <c r="C960" s="282"/>
      <c r="D960" s="282"/>
      <c r="E960" s="282"/>
      <c r="F960" s="566"/>
    </row>
    <row r="961" spans="1:6" s="297" customFormat="1" thickBot="1">
      <c r="A961" s="298"/>
      <c r="B961" s="298"/>
      <c r="C961" s="282"/>
      <c r="D961" s="282"/>
      <c r="E961" s="282"/>
      <c r="F961" s="566"/>
    </row>
    <row r="962" spans="1:6" s="297" customFormat="1" thickBot="1">
      <c r="A962" s="298"/>
      <c r="B962" s="298"/>
      <c r="C962" s="282"/>
      <c r="D962" s="282"/>
      <c r="E962" s="282"/>
      <c r="F962" s="566"/>
    </row>
    <row r="963" spans="1:6" s="297" customFormat="1" thickBot="1">
      <c r="A963" s="298"/>
      <c r="B963" s="298"/>
      <c r="C963" s="282"/>
      <c r="D963" s="282"/>
      <c r="E963" s="282"/>
      <c r="F963" s="566"/>
    </row>
    <row r="964" spans="1:6" s="297" customFormat="1" thickBot="1">
      <c r="A964" s="298"/>
      <c r="B964" s="298"/>
      <c r="C964" s="282"/>
      <c r="D964" s="282"/>
      <c r="E964" s="282"/>
      <c r="F964" s="566"/>
    </row>
    <row r="965" spans="1:6" s="297" customFormat="1" thickBot="1">
      <c r="A965" s="298"/>
      <c r="B965" s="298"/>
      <c r="C965" s="282"/>
      <c r="D965" s="282"/>
      <c r="E965" s="282"/>
      <c r="F965" s="566"/>
    </row>
    <row r="966" spans="1:6" s="297" customFormat="1" thickBot="1">
      <c r="A966" s="298"/>
      <c r="B966" s="298"/>
      <c r="C966" s="282"/>
      <c r="D966" s="282"/>
      <c r="E966" s="282"/>
      <c r="F966" s="566"/>
    </row>
    <row r="967" spans="1:6" s="297" customFormat="1" thickBot="1">
      <c r="A967" s="298"/>
      <c r="B967" s="298"/>
      <c r="C967" s="282"/>
      <c r="D967" s="282"/>
      <c r="E967" s="282"/>
      <c r="F967" s="566"/>
    </row>
    <row r="968" spans="1:6" s="297" customFormat="1" thickBot="1">
      <c r="A968" s="298"/>
      <c r="B968" s="298"/>
      <c r="C968" s="282"/>
      <c r="D968" s="282"/>
      <c r="E968" s="282"/>
      <c r="F968" s="566"/>
    </row>
    <row r="969" spans="1:6" s="297" customFormat="1" thickBot="1">
      <c r="A969" s="298"/>
      <c r="B969" s="298"/>
      <c r="C969" s="282"/>
      <c r="D969" s="282"/>
      <c r="E969" s="282"/>
      <c r="F969" s="566"/>
    </row>
    <row r="970" spans="1:6" s="297" customFormat="1" ht="15">
      <c r="A970" s="302"/>
      <c r="B970" s="302"/>
      <c r="C970" s="303"/>
      <c r="D970" s="303"/>
      <c r="E970" s="303"/>
      <c r="F970" s="574"/>
    </row>
    <row r="971" spans="1:6" s="297" customFormat="1" ht="15">
      <c r="A971" s="302"/>
      <c r="B971" s="302"/>
      <c r="C971" s="303"/>
      <c r="D971" s="303"/>
      <c r="E971" s="303"/>
      <c r="F971" s="574"/>
    </row>
    <row r="972" spans="1:6" s="297" customFormat="1" ht="15">
      <c r="A972" s="302"/>
      <c r="B972" s="302"/>
      <c r="C972" s="303"/>
      <c r="D972" s="303"/>
      <c r="E972" s="303"/>
      <c r="F972" s="574"/>
    </row>
    <row r="973" spans="1:6" s="297" customFormat="1" ht="15">
      <c r="A973" s="302"/>
      <c r="B973" s="302"/>
      <c r="C973" s="303"/>
      <c r="D973" s="303"/>
      <c r="E973" s="303"/>
      <c r="F973" s="574"/>
    </row>
    <row r="974" spans="1:6" s="297" customFormat="1" ht="15">
      <c r="A974" s="302"/>
      <c r="B974" s="302"/>
      <c r="C974" s="303"/>
      <c r="D974" s="303"/>
      <c r="E974" s="303"/>
      <c r="F974" s="574"/>
    </row>
    <row r="975" spans="1:6" s="297" customFormat="1" ht="15">
      <c r="A975" s="302"/>
      <c r="B975" s="302"/>
      <c r="C975" s="303"/>
      <c r="D975" s="303"/>
      <c r="E975" s="303"/>
      <c r="F975" s="574"/>
    </row>
    <row r="976" spans="1:6" s="297" customFormat="1" ht="15">
      <c r="A976" s="302"/>
      <c r="B976" s="302"/>
      <c r="C976" s="303"/>
      <c r="D976" s="303"/>
      <c r="E976" s="303"/>
      <c r="F976" s="574"/>
    </row>
    <row r="977" s="297" customFormat="1" ht="15"/>
    <row r="978" s="297" customFormat="1" ht="15"/>
    <row r="979" s="297" customFormat="1" ht="15"/>
    <row r="980" s="297" customFormat="1" ht="15"/>
    <row r="981" s="297" customFormat="1" ht="15"/>
    <row r="982" s="297" customFormat="1" ht="15"/>
  </sheetData>
  <mergeCells count="9">
    <mergeCell ref="A156:B156"/>
    <mergeCell ref="A3:F3"/>
    <mergeCell ref="A31:B31"/>
    <mergeCell ref="A36:B36"/>
    <mergeCell ref="A72:B72"/>
    <mergeCell ref="A73:B73"/>
    <mergeCell ref="A74:B74"/>
    <mergeCell ref="A126:B126"/>
    <mergeCell ref="A140:B140"/>
  </mergeCells>
  <pageMargins left="0.70866141732283472" right="0.70866141732283472" top="0.74803149606299213" bottom="0.74803149606299213" header="0.31496062992125984" footer="0.31496062992125984"/>
  <pageSetup paperSize="9" scale="45" orientation="portrait" horizontalDpi="300" verticalDpi="300" r:id="rId1"/>
  <rowBreaks count="4" manualBreakCount="4">
    <brk id="55" max="5" man="1"/>
    <brk id="94" max="5" man="1"/>
    <brk id="138" max="5" man="1"/>
    <brk id="187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U642"/>
  <sheetViews>
    <sheetView view="pageBreakPreview" zoomScale="82" zoomScaleSheetLayoutView="82" workbookViewId="0"/>
  </sheetViews>
  <sheetFormatPr defaultRowHeight="19.5" thickBottom="1"/>
  <cols>
    <col min="1" max="1" width="84.42578125" style="313" customWidth="1"/>
    <col min="2" max="2" width="18.28515625" style="313" customWidth="1"/>
    <col min="3" max="5" width="24.7109375" style="314" customWidth="1"/>
    <col min="6" max="6" width="24.7109375" style="564" customWidth="1"/>
    <col min="7" max="7" width="20.42578125" style="307" customWidth="1"/>
    <col min="8" max="9" width="14.28515625" style="307" bestFit="1" customWidth="1"/>
    <col min="10" max="41" width="9.140625" style="307"/>
    <col min="42" max="42" width="9.140625" style="310"/>
    <col min="43" max="16384" width="9.140625" style="311"/>
  </cols>
  <sheetData>
    <row r="1" spans="1:73" s="306" customFormat="1" ht="18.75">
      <c r="A1" s="278" t="s">
        <v>1038</v>
      </c>
      <c r="B1" s="304"/>
      <c r="C1" s="305"/>
      <c r="D1" s="305"/>
      <c r="E1" s="305"/>
      <c r="F1" s="560"/>
    </row>
    <row r="2" spans="1:73" s="307" customFormat="1" ht="18.75">
      <c r="A2" s="304"/>
      <c r="B2" s="304"/>
      <c r="C2" s="305"/>
      <c r="D2" s="305"/>
      <c r="E2" s="305"/>
      <c r="F2" s="560"/>
    </row>
    <row r="3" spans="1:73" s="307" customFormat="1" ht="41.25" customHeight="1">
      <c r="A3" s="916" t="s">
        <v>828</v>
      </c>
      <c r="B3" s="916"/>
      <c r="C3" s="916"/>
      <c r="D3" s="916"/>
      <c r="E3" s="916"/>
      <c r="F3" s="916"/>
    </row>
    <row r="4" spans="1:73" s="307" customFormat="1" ht="20.25" customHeight="1">
      <c r="C4" s="305"/>
      <c r="D4" s="305"/>
      <c r="E4" s="305"/>
      <c r="F4" s="560"/>
    </row>
    <row r="5" spans="1:73" s="308" customFormat="1" thickBot="1">
      <c r="A5" s="307"/>
      <c r="B5" s="307"/>
      <c r="C5" s="307"/>
      <c r="D5" s="529"/>
      <c r="E5" s="529"/>
      <c r="F5" s="562" t="s">
        <v>7</v>
      </c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</row>
    <row r="6" spans="1:73" s="541" customFormat="1" ht="66.75" customHeight="1" thickBot="1">
      <c r="A6" s="537" t="s">
        <v>456</v>
      </c>
      <c r="B6" s="550"/>
      <c r="C6" s="539" t="s">
        <v>343</v>
      </c>
      <c r="D6" s="673" t="s">
        <v>344</v>
      </c>
      <c r="E6" s="673" t="s">
        <v>285</v>
      </c>
      <c r="F6" s="704" t="s">
        <v>286</v>
      </c>
      <c r="G6" s="278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0"/>
      <c r="X6" s="540"/>
      <c r="Y6" s="540"/>
      <c r="Z6" s="540"/>
      <c r="AA6" s="540"/>
      <c r="AB6" s="540"/>
      <c r="AC6" s="540"/>
      <c r="AD6" s="540"/>
      <c r="AE6" s="540"/>
      <c r="AF6" s="540"/>
      <c r="AG6" s="540"/>
      <c r="AH6" s="540"/>
      <c r="AI6" s="540"/>
      <c r="AJ6" s="540"/>
      <c r="AK6" s="540"/>
      <c r="AL6" s="540"/>
      <c r="AM6" s="540"/>
      <c r="AN6" s="540"/>
      <c r="AO6" s="540"/>
      <c r="AP6" s="540"/>
      <c r="AQ6" s="540"/>
      <c r="AR6" s="540"/>
      <c r="AS6" s="540"/>
      <c r="AT6" s="540"/>
      <c r="AU6" s="540"/>
      <c r="AV6" s="540"/>
      <c r="AW6" s="540"/>
      <c r="AX6" s="540"/>
      <c r="AY6" s="540"/>
      <c r="AZ6" s="540"/>
      <c r="BA6" s="540"/>
      <c r="BB6" s="540"/>
      <c r="BC6" s="540"/>
      <c r="BD6" s="540"/>
      <c r="BE6" s="540"/>
      <c r="BF6" s="540"/>
      <c r="BG6" s="540"/>
      <c r="BH6" s="540"/>
      <c r="BI6" s="540"/>
      <c r="BJ6" s="540"/>
      <c r="BK6" s="540"/>
      <c r="BL6" s="540"/>
      <c r="BM6" s="540"/>
      <c r="BN6" s="540"/>
      <c r="BO6" s="540"/>
      <c r="BP6" s="540"/>
      <c r="BQ6" s="540"/>
      <c r="BR6" s="540"/>
      <c r="BS6" s="540"/>
      <c r="BT6" s="540"/>
      <c r="BU6" s="540"/>
    </row>
    <row r="7" spans="1:73" s="541" customFormat="1" ht="44.25" customHeight="1" thickBot="1">
      <c r="A7" s="674" t="s">
        <v>515</v>
      </c>
      <c r="B7" s="675"/>
      <c r="C7" s="676"/>
      <c r="D7" s="676"/>
      <c r="E7" s="676"/>
      <c r="F7" s="705"/>
      <c r="G7" s="278"/>
      <c r="H7" s="540"/>
      <c r="I7" s="540"/>
      <c r="J7" s="540"/>
      <c r="K7" s="540"/>
      <c r="L7" s="540"/>
      <c r="M7" s="540"/>
      <c r="N7" s="540"/>
      <c r="O7" s="540"/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540"/>
      <c r="AE7" s="540"/>
      <c r="AF7" s="540"/>
      <c r="AG7" s="540"/>
      <c r="AH7" s="540"/>
      <c r="AI7" s="540"/>
      <c r="AJ7" s="540"/>
      <c r="AK7" s="540"/>
      <c r="AL7" s="540"/>
      <c r="AM7" s="540"/>
      <c r="AN7" s="540"/>
      <c r="AO7" s="540"/>
      <c r="AP7" s="540"/>
      <c r="AQ7" s="540"/>
      <c r="AR7" s="540"/>
      <c r="AS7" s="540"/>
      <c r="AT7" s="540"/>
      <c r="AU7" s="540"/>
      <c r="AV7" s="540"/>
      <c r="AW7" s="540"/>
      <c r="AX7" s="540"/>
      <c r="AY7" s="540"/>
      <c r="AZ7" s="540"/>
      <c r="BA7" s="540"/>
      <c r="BB7" s="540"/>
      <c r="BC7" s="540"/>
      <c r="BD7" s="540"/>
      <c r="BE7" s="540"/>
      <c r="BF7" s="540"/>
      <c r="BG7" s="540"/>
      <c r="BH7" s="540"/>
      <c r="BI7" s="540"/>
      <c r="BJ7" s="540"/>
      <c r="BK7" s="540"/>
      <c r="BL7" s="540"/>
      <c r="BM7" s="540"/>
      <c r="BN7" s="540"/>
      <c r="BO7" s="540"/>
      <c r="BP7" s="540"/>
      <c r="BQ7" s="540"/>
      <c r="BR7" s="540"/>
      <c r="BS7" s="540"/>
      <c r="BT7" s="540"/>
      <c r="BU7" s="540"/>
    </row>
    <row r="8" spans="1:73" s="396" customFormat="1" ht="22.5" customHeight="1" thickBot="1">
      <c r="A8" s="638" t="s">
        <v>464</v>
      </c>
      <c r="B8" s="393"/>
      <c r="C8" s="399">
        <f>SUM(B10:B10)</f>
        <v>285356</v>
      </c>
      <c r="D8" s="543">
        <f>SUM(C8)</f>
        <v>285356</v>
      </c>
      <c r="E8" s="543">
        <v>164091</v>
      </c>
      <c r="F8" s="569">
        <f>E8/D8</f>
        <v>0.57503959965797113</v>
      </c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</row>
    <row r="9" spans="1:73" s="396" customFormat="1" ht="22.5" customHeight="1" thickBot="1">
      <c r="A9" s="397" t="s">
        <v>427</v>
      </c>
      <c r="B9" s="393"/>
      <c r="C9" s="399"/>
      <c r="D9" s="543"/>
      <c r="E9" s="543"/>
      <c r="F9" s="569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5"/>
      <c r="AF9" s="395"/>
      <c r="AG9" s="395"/>
      <c r="AH9" s="395"/>
      <c r="AI9" s="395"/>
      <c r="AJ9" s="395"/>
      <c r="AK9" s="395"/>
      <c r="AL9" s="395"/>
      <c r="AM9" s="395"/>
      <c r="AN9" s="395"/>
      <c r="AO9" s="395"/>
      <c r="AP9" s="395"/>
      <c r="AQ9" s="395"/>
      <c r="AR9" s="395"/>
      <c r="AS9" s="395"/>
      <c r="AT9" s="395"/>
      <c r="AU9" s="395"/>
      <c r="AV9" s="395"/>
      <c r="AW9" s="395"/>
      <c r="AX9" s="395"/>
      <c r="AY9" s="395"/>
      <c r="AZ9" s="395"/>
      <c r="BA9" s="395"/>
      <c r="BB9" s="395"/>
      <c r="BC9" s="395"/>
      <c r="BD9" s="395"/>
      <c r="BE9" s="395"/>
      <c r="BF9" s="395"/>
      <c r="BG9" s="395"/>
      <c r="BH9" s="395"/>
      <c r="BI9" s="395"/>
      <c r="BJ9" s="395"/>
      <c r="BK9" s="395"/>
      <c r="BL9" s="395"/>
      <c r="BM9" s="395"/>
      <c r="BN9" s="395"/>
      <c r="BO9" s="395"/>
      <c r="BP9" s="395"/>
      <c r="BQ9" s="395"/>
      <c r="BR9" s="395"/>
      <c r="BS9" s="395"/>
      <c r="BT9" s="395"/>
      <c r="BU9" s="395"/>
    </row>
    <row r="10" spans="1:73" s="396" customFormat="1" ht="30.75" customHeight="1" thickBot="1">
      <c r="A10" s="397" t="s">
        <v>465</v>
      </c>
      <c r="B10" s="393">
        <v>285356</v>
      </c>
      <c r="C10" s="399"/>
      <c r="D10" s="543"/>
      <c r="E10" s="543"/>
      <c r="F10" s="569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95"/>
      <c r="AM10" s="395"/>
      <c r="AN10" s="395"/>
      <c r="AO10" s="395"/>
      <c r="AP10" s="395"/>
      <c r="AQ10" s="395"/>
      <c r="AR10" s="395"/>
      <c r="AS10" s="395"/>
      <c r="AT10" s="395"/>
      <c r="AU10" s="395"/>
      <c r="AV10" s="395"/>
      <c r="AW10" s="395"/>
      <c r="AX10" s="395"/>
      <c r="AY10" s="395"/>
      <c r="AZ10" s="395"/>
      <c r="BA10" s="395"/>
      <c r="BB10" s="395"/>
      <c r="BC10" s="395"/>
      <c r="BD10" s="395"/>
      <c r="BE10" s="395"/>
      <c r="BF10" s="395"/>
      <c r="BG10" s="395"/>
      <c r="BH10" s="395"/>
      <c r="BI10" s="395"/>
      <c r="BJ10" s="395"/>
      <c r="BK10" s="395"/>
      <c r="BL10" s="395"/>
      <c r="BM10" s="395"/>
      <c r="BN10" s="395"/>
      <c r="BO10" s="395"/>
      <c r="BP10" s="395"/>
      <c r="BQ10" s="395"/>
      <c r="BR10" s="395"/>
      <c r="BS10" s="395"/>
      <c r="BT10" s="395"/>
      <c r="BU10" s="395"/>
    </row>
    <row r="11" spans="1:73" s="396" customFormat="1" ht="25.5" customHeight="1" thickBot="1">
      <c r="A11" s="638" t="s">
        <v>473</v>
      </c>
      <c r="B11" s="393"/>
      <c r="C11" s="399">
        <f>SUM(B12)</f>
        <v>18335000</v>
      </c>
      <c r="D11" s="543">
        <f>SUM(C11)</f>
        <v>18335000</v>
      </c>
      <c r="E11" s="543">
        <v>20894947</v>
      </c>
      <c r="F11" s="569">
        <f>E11/D11</f>
        <v>1.1396207799290974</v>
      </c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5"/>
      <c r="AR11" s="395"/>
      <c r="AS11" s="395"/>
      <c r="AT11" s="395"/>
      <c r="AU11" s="395"/>
      <c r="AV11" s="395"/>
      <c r="AW11" s="395"/>
      <c r="AX11" s="395"/>
      <c r="AY11" s="395"/>
      <c r="AZ11" s="395"/>
      <c r="BA11" s="395"/>
      <c r="BB11" s="395"/>
      <c r="BC11" s="395"/>
      <c r="BD11" s="395"/>
      <c r="BE11" s="395"/>
      <c r="BF11" s="395"/>
      <c r="BG11" s="395"/>
      <c r="BH11" s="395"/>
      <c r="BI11" s="395"/>
      <c r="BJ11" s="395"/>
      <c r="BK11" s="395"/>
      <c r="BL11" s="395"/>
      <c r="BM11" s="395"/>
      <c r="BN11" s="395"/>
      <c r="BO11" s="395"/>
      <c r="BP11" s="395"/>
      <c r="BQ11" s="395"/>
      <c r="BR11" s="395"/>
      <c r="BS11" s="395"/>
      <c r="BT11" s="395"/>
      <c r="BU11" s="395"/>
    </row>
    <row r="12" spans="1:73" s="396" customFormat="1" ht="25.5" customHeight="1" thickBot="1">
      <c r="A12" s="397" t="s">
        <v>474</v>
      </c>
      <c r="B12" s="393">
        <v>18335000</v>
      </c>
      <c r="C12" s="399"/>
      <c r="D12" s="543"/>
      <c r="E12" s="543"/>
      <c r="F12" s="569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5"/>
      <c r="AF12" s="395"/>
      <c r="AG12" s="395"/>
      <c r="AH12" s="395"/>
      <c r="AI12" s="395"/>
      <c r="AJ12" s="395"/>
      <c r="AK12" s="395"/>
      <c r="AL12" s="395"/>
      <c r="AM12" s="395"/>
      <c r="AN12" s="395"/>
      <c r="AO12" s="395"/>
      <c r="AP12" s="395"/>
      <c r="AQ12" s="395"/>
      <c r="AR12" s="395"/>
      <c r="AS12" s="395"/>
      <c r="AT12" s="395"/>
      <c r="AU12" s="395"/>
      <c r="AV12" s="395"/>
      <c r="AW12" s="395"/>
      <c r="AX12" s="395"/>
      <c r="AY12" s="395"/>
      <c r="AZ12" s="395"/>
      <c r="BA12" s="395"/>
      <c r="BB12" s="395"/>
      <c r="BC12" s="395"/>
      <c r="BD12" s="395"/>
      <c r="BE12" s="395"/>
      <c r="BF12" s="395"/>
      <c r="BG12" s="395"/>
      <c r="BH12" s="395"/>
      <c r="BI12" s="395"/>
      <c r="BJ12" s="395"/>
      <c r="BK12" s="395"/>
      <c r="BL12" s="395"/>
      <c r="BM12" s="395"/>
      <c r="BN12" s="395"/>
      <c r="BO12" s="395"/>
      <c r="BP12" s="395"/>
      <c r="BQ12" s="395"/>
      <c r="BR12" s="395"/>
      <c r="BS12" s="395"/>
      <c r="BT12" s="395"/>
      <c r="BU12" s="395"/>
    </row>
    <row r="13" spans="1:73" s="401" customFormat="1" ht="52.5" customHeight="1" thickBot="1">
      <c r="A13" s="316" t="s">
        <v>865</v>
      </c>
      <c r="B13" s="551"/>
      <c r="C13" s="399">
        <v>2640000</v>
      </c>
      <c r="D13" s="543">
        <f>SUM(C13)+2395670+4147009+1543000</f>
        <v>10725679</v>
      </c>
      <c r="E13" s="543">
        <v>8303680</v>
      </c>
      <c r="F13" s="569">
        <f>E13/D13</f>
        <v>0.77418688364624744</v>
      </c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  <c r="AR13" s="400"/>
      <c r="AS13" s="400"/>
      <c r="AT13" s="400"/>
      <c r="AU13" s="400"/>
      <c r="AV13" s="400"/>
      <c r="AW13" s="400"/>
      <c r="AX13" s="400"/>
      <c r="AY13" s="400"/>
      <c r="AZ13" s="400"/>
      <c r="BA13" s="400"/>
      <c r="BB13" s="400"/>
      <c r="BC13" s="400"/>
      <c r="BD13" s="400"/>
      <c r="BE13" s="400"/>
      <c r="BF13" s="400"/>
      <c r="BG13" s="400"/>
      <c r="BH13" s="400"/>
      <c r="BI13" s="400"/>
      <c r="BJ13" s="400"/>
      <c r="BK13" s="400"/>
      <c r="BL13" s="400"/>
      <c r="BM13" s="400"/>
      <c r="BN13" s="400"/>
      <c r="BO13" s="400"/>
      <c r="BP13" s="400"/>
      <c r="BQ13" s="400"/>
      <c r="BR13" s="400"/>
      <c r="BS13" s="400"/>
      <c r="BT13" s="400"/>
      <c r="BU13" s="400"/>
    </row>
    <row r="14" spans="1:73" s="401" customFormat="1" ht="39" customHeight="1" thickBot="1">
      <c r="A14" s="316" t="s">
        <v>656</v>
      </c>
      <c r="B14" s="317"/>
      <c r="C14" s="318">
        <v>876150</v>
      </c>
      <c r="D14" s="543">
        <f>SUM(C14)</f>
        <v>876150</v>
      </c>
      <c r="E14" s="543">
        <v>738230</v>
      </c>
      <c r="F14" s="569">
        <f>E14/D14</f>
        <v>0.84258403241454094</v>
      </c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  <c r="AT14" s="400"/>
      <c r="AU14" s="400"/>
      <c r="AV14" s="400"/>
      <c r="AW14" s="400"/>
      <c r="AX14" s="400"/>
      <c r="AY14" s="400"/>
      <c r="AZ14" s="400"/>
      <c r="BA14" s="400"/>
      <c r="BB14" s="400"/>
      <c r="BC14" s="400"/>
      <c r="BD14" s="400"/>
      <c r="BE14" s="400"/>
      <c r="BF14" s="400"/>
      <c r="BG14" s="400"/>
      <c r="BH14" s="400"/>
      <c r="BI14" s="400"/>
      <c r="BJ14" s="400"/>
      <c r="BK14" s="400"/>
      <c r="BL14" s="400"/>
      <c r="BM14" s="400"/>
      <c r="BN14" s="400"/>
      <c r="BO14" s="400"/>
      <c r="BP14" s="400"/>
      <c r="BQ14" s="400"/>
      <c r="BR14" s="400"/>
      <c r="BS14" s="400"/>
      <c r="BT14" s="400"/>
      <c r="BU14" s="400"/>
    </row>
    <row r="15" spans="1:73" s="401" customFormat="1" ht="44.25" customHeight="1" thickBot="1">
      <c r="A15" s="638" t="s">
        <v>495</v>
      </c>
      <c r="B15" s="398"/>
      <c r="C15" s="399">
        <v>22422593</v>
      </c>
      <c r="D15" s="543">
        <f>SUM(B16:B17)</f>
        <v>24471201</v>
      </c>
      <c r="E15" s="543">
        <f>17247000+4706654</f>
        <v>21953654</v>
      </c>
      <c r="F15" s="569">
        <f>E15/D15</f>
        <v>0.8971220497105965</v>
      </c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400"/>
      <c r="AG15" s="400"/>
      <c r="AH15" s="400"/>
      <c r="AI15" s="400"/>
      <c r="AJ15" s="400"/>
      <c r="AK15" s="400"/>
      <c r="AL15" s="400"/>
      <c r="AM15" s="400"/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400"/>
      <c r="AY15" s="400"/>
      <c r="AZ15" s="400"/>
      <c r="BA15" s="400"/>
      <c r="BB15" s="400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0"/>
      <c r="BN15" s="400"/>
      <c r="BO15" s="400"/>
      <c r="BP15" s="400"/>
      <c r="BQ15" s="400"/>
      <c r="BR15" s="400"/>
      <c r="BS15" s="400"/>
      <c r="BT15" s="400"/>
      <c r="BU15" s="400"/>
    </row>
    <row r="16" spans="1:73" s="396" customFormat="1" ht="24" customHeight="1" thickBot="1">
      <c r="A16" s="397" t="s">
        <v>496</v>
      </c>
      <c r="B16" s="393">
        <v>4700418</v>
      </c>
      <c r="C16" s="399"/>
      <c r="D16" s="543"/>
      <c r="E16" s="543"/>
      <c r="F16" s="569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5"/>
      <c r="BG16" s="395"/>
      <c r="BH16" s="395"/>
      <c r="BI16" s="395"/>
      <c r="BJ16" s="395"/>
      <c r="BK16" s="395"/>
      <c r="BL16" s="395"/>
      <c r="BM16" s="395"/>
      <c r="BN16" s="395"/>
      <c r="BO16" s="395"/>
      <c r="BP16" s="395"/>
      <c r="BQ16" s="395"/>
      <c r="BR16" s="395"/>
      <c r="BS16" s="395"/>
      <c r="BT16" s="395"/>
      <c r="BU16" s="395"/>
    </row>
    <row r="17" spans="1:73" s="396" customFormat="1" ht="24" customHeight="1" thickBot="1">
      <c r="A17" s="397" t="s">
        <v>497</v>
      </c>
      <c r="B17" s="393">
        <f>17722175+2048608</f>
        <v>19770783</v>
      </c>
      <c r="C17" s="399"/>
      <c r="D17" s="543"/>
      <c r="E17" s="543"/>
      <c r="F17" s="569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5"/>
      <c r="BG17" s="395"/>
      <c r="BH17" s="395"/>
      <c r="BI17" s="395"/>
      <c r="BJ17" s="395"/>
      <c r="BK17" s="395"/>
      <c r="BL17" s="395"/>
      <c r="BM17" s="395"/>
      <c r="BN17" s="395"/>
      <c r="BO17" s="395"/>
      <c r="BP17" s="395"/>
      <c r="BQ17" s="395"/>
      <c r="BR17" s="395"/>
      <c r="BS17" s="395"/>
      <c r="BT17" s="395"/>
      <c r="BU17" s="395"/>
    </row>
    <row r="18" spans="1:73" s="401" customFormat="1" ht="24" customHeight="1" thickBot="1">
      <c r="A18" s="316" t="s">
        <v>904</v>
      </c>
      <c r="B18" s="317"/>
      <c r="C18" s="399"/>
      <c r="D18" s="543">
        <f>1500000-300000+31658+236220+300000+391234</f>
        <v>2159112</v>
      </c>
      <c r="E18" s="543">
        <v>4351989</v>
      </c>
      <c r="F18" s="569">
        <f>E18/D18</f>
        <v>2.0156383735535721</v>
      </c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400"/>
      <c r="AT18" s="400"/>
      <c r="AU18" s="400"/>
      <c r="AV18" s="400"/>
      <c r="AW18" s="400"/>
      <c r="AX18" s="400"/>
      <c r="AY18" s="400"/>
      <c r="AZ18" s="400"/>
      <c r="BA18" s="400"/>
      <c r="BB18" s="400"/>
      <c r="BC18" s="400"/>
      <c r="BD18" s="400"/>
      <c r="BE18" s="400"/>
      <c r="BF18" s="400"/>
      <c r="BG18" s="400"/>
      <c r="BH18" s="400"/>
      <c r="BI18" s="400"/>
      <c r="BJ18" s="400"/>
      <c r="BK18" s="400"/>
      <c r="BL18" s="400"/>
      <c r="BM18" s="400"/>
      <c r="BN18" s="400"/>
      <c r="BO18" s="400"/>
      <c r="BP18" s="400"/>
      <c r="BQ18" s="400"/>
      <c r="BR18" s="400"/>
      <c r="BS18" s="400"/>
      <c r="BT18" s="400"/>
      <c r="BU18" s="400"/>
    </row>
    <row r="19" spans="1:73" s="396" customFormat="1" ht="51" customHeight="1" thickBot="1">
      <c r="A19" s="638" t="s">
        <v>488</v>
      </c>
      <c r="B19" s="398"/>
      <c r="C19" s="399"/>
      <c r="D19" s="399"/>
      <c r="E19" s="543">
        <f>10405+3509+259713</f>
        <v>273627</v>
      </c>
      <c r="F19" s="315">
        <v>0</v>
      </c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5"/>
      <c r="AX19" s="395"/>
      <c r="AY19" s="395"/>
      <c r="AZ19" s="395"/>
      <c r="BA19" s="395"/>
      <c r="BB19" s="395"/>
      <c r="BC19" s="395"/>
      <c r="BD19" s="395"/>
      <c r="BE19" s="395"/>
      <c r="BF19" s="395"/>
      <c r="BG19" s="395"/>
      <c r="BH19" s="395"/>
      <c r="BI19" s="395"/>
      <c r="BJ19" s="395"/>
      <c r="BK19" s="395"/>
      <c r="BL19" s="395"/>
      <c r="BM19" s="395"/>
      <c r="BN19" s="395"/>
      <c r="BO19" s="395"/>
      <c r="BP19" s="395"/>
      <c r="BQ19" s="395"/>
      <c r="BR19" s="395"/>
      <c r="BS19" s="395"/>
      <c r="BT19" s="395"/>
      <c r="BU19" s="395"/>
    </row>
    <row r="20" spans="1:73" s="401" customFormat="1" ht="24" customHeight="1" thickBot="1">
      <c r="A20" s="316" t="s">
        <v>489</v>
      </c>
      <c r="B20" s="317"/>
      <c r="C20" s="399"/>
      <c r="D20" s="543">
        <f>659532+2411894+112360</f>
        <v>3183786</v>
      </c>
      <c r="E20" s="543">
        <f>1261609+1160861+95477+188689+609505+19914</f>
        <v>3336055</v>
      </c>
      <c r="F20" s="569">
        <f>E20/D20</f>
        <v>1.0478263928542937</v>
      </c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0"/>
      <c r="AD20" s="400"/>
      <c r="AE20" s="400"/>
      <c r="AF20" s="400"/>
      <c r="AG20" s="400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400"/>
      <c r="AT20" s="400"/>
      <c r="AU20" s="400"/>
      <c r="AV20" s="400"/>
      <c r="AW20" s="400"/>
      <c r="AX20" s="400"/>
      <c r="AY20" s="400"/>
      <c r="AZ20" s="400"/>
      <c r="BA20" s="400"/>
      <c r="BB20" s="400"/>
      <c r="BC20" s="400"/>
      <c r="BD20" s="400"/>
      <c r="BE20" s="400"/>
      <c r="BF20" s="400"/>
      <c r="BG20" s="400"/>
      <c r="BH20" s="400"/>
      <c r="BI20" s="400"/>
      <c r="BJ20" s="400"/>
      <c r="BK20" s="400"/>
      <c r="BL20" s="400"/>
      <c r="BM20" s="400"/>
      <c r="BN20" s="400"/>
      <c r="BO20" s="400"/>
      <c r="BP20" s="400"/>
      <c r="BQ20" s="400"/>
      <c r="BR20" s="400"/>
      <c r="BS20" s="400"/>
      <c r="BT20" s="400"/>
      <c r="BU20" s="400"/>
    </row>
    <row r="21" spans="1:73" s="401" customFormat="1" ht="24" customHeight="1" thickBot="1">
      <c r="A21" s="316" t="s">
        <v>653</v>
      </c>
      <c r="B21" s="317"/>
      <c r="C21" s="399"/>
      <c r="D21" s="543">
        <v>194091</v>
      </c>
      <c r="E21" s="543">
        <v>0</v>
      </c>
      <c r="F21" s="569">
        <f>E21/D21</f>
        <v>0</v>
      </c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0"/>
      <c r="BD21" s="400"/>
      <c r="BE21" s="400"/>
      <c r="BF21" s="400"/>
      <c r="BG21" s="400"/>
      <c r="BH21" s="400"/>
      <c r="BI21" s="400"/>
      <c r="BJ21" s="400"/>
      <c r="BK21" s="400"/>
      <c r="BL21" s="400"/>
      <c r="BM21" s="400"/>
      <c r="BN21" s="400"/>
      <c r="BO21" s="400"/>
      <c r="BP21" s="400"/>
      <c r="BQ21" s="400"/>
      <c r="BR21" s="400"/>
      <c r="BS21" s="400"/>
      <c r="BT21" s="400"/>
      <c r="BU21" s="400"/>
    </row>
    <row r="22" spans="1:73" s="396" customFormat="1" ht="34.5" customHeight="1" thickBot="1">
      <c r="A22" s="638" t="s">
        <v>905</v>
      </c>
      <c r="B22" s="398"/>
      <c r="C22" s="399"/>
      <c r="D22" s="399">
        <f>574278+364149</f>
        <v>938427</v>
      </c>
      <c r="E22" s="399">
        <v>986340</v>
      </c>
      <c r="F22" s="569">
        <f>E22/D22</f>
        <v>1.0510567151200894</v>
      </c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  <c r="AW22" s="395"/>
      <c r="AX22" s="395"/>
      <c r="AY22" s="395"/>
      <c r="AZ22" s="395"/>
      <c r="BA22" s="395"/>
      <c r="BB22" s="395"/>
      <c r="BC22" s="395"/>
      <c r="BD22" s="395"/>
      <c r="BE22" s="395"/>
      <c r="BF22" s="395"/>
      <c r="BG22" s="395"/>
      <c r="BH22" s="395"/>
      <c r="BI22" s="395"/>
      <c r="BJ22" s="395"/>
      <c r="BK22" s="395"/>
      <c r="BL22" s="395"/>
      <c r="BM22" s="395"/>
      <c r="BN22" s="395"/>
      <c r="BO22" s="395"/>
      <c r="BP22" s="395"/>
      <c r="BQ22" s="395"/>
      <c r="BR22" s="395"/>
      <c r="BS22" s="395"/>
      <c r="BT22" s="395"/>
      <c r="BU22" s="395"/>
    </row>
    <row r="23" spans="1:73" s="396" customFormat="1" ht="34.5" customHeight="1" thickBot="1">
      <c r="A23" s="404" t="s">
        <v>657</v>
      </c>
      <c r="B23" s="677"/>
      <c r="C23" s="422"/>
      <c r="D23" s="543">
        <v>420000</v>
      </c>
      <c r="E23" s="543">
        <v>420000</v>
      </c>
      <c r="F23" s="569">
        <f>E23/D23</f>
        <v>1</v>
      </c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C23" s="395"/>
      <c r="BD23" s="395"/>
      <c r="BE23" s="395"/>
      <c r="BF23" s="395"/>
      <c r="BG23" s="395"/>
      <c r="BH23" s="395"/>
      <c r="BI23" s="395"/>
      <c r="BJ23" s="395"/>
      <c r="BK23" s="395"/>
      <c r="BL23" s="395"/>
      <c r="BM23" s="395"/>
      <c r="BN23" s="395"/>
      <c r="BO23" s="395"/>
      <c r="BP23" s="395"/>
      <c r="BQ23" s="395"/>
      <c r="BR23" s="395"/>
      <c r="BS23" s="395"/>
      <c r="BT23" s="395"/>
      <c r="BU23" s="395"/>
    </row>
    <row r="24" spans="1:73" s="401" customFormat="1" ht="39.75" customHeight="1" thickBot="1">
      <c r="A24" s="638" t="s">
        <v>880</v>
      </c>
      <c r="B24" s="398"/>
      <c r="C24" s="399"/>
      <c r="D24" s="399">
        <v>600000</v>
      </c>
      <c r="E24" s="399">
        <v>600000</v>
      </c>
      <c r="F24" s="569">
        <f t="shared" ref="F24:F25" si="0">E24/D24</f>
        <v>1</v>
      </c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0"/>
      <c r="AJ24" s="400"/>
      <c r="AK24" s="400"/>
      <c r="AL24" s="400"/>
      <c r="AM24" s="400"/>
      <c r="AN24" s="400"/>
      <c r="AO24" s="400"/>
      <c r="AP24" s="400"/>
      <c r="AQ24" s="400"/>
      <c r="AR24" s="400"/>
      <c r="AS24" s="400"/>
      <c r="AT24" s="400"/>
      <c r="AU24" s="400"/>
      <c r="AV24" s="400"/>
      <c r="AW24" s="400"/>
      <c r="AX24" s="400"/>
      <c r="AY24" s="400"/>
      <c r="AZ24" s="400"/>
      <c r="BA24" s="400"/>
      <c r="BB24" s="400"/>
      <c r="BC24" s="400"/>
      <c r="BD24" s="400"/>
      <c r="BE24" s="400"/>
      <c r="BF24" s="400"/>
      <c r="BG24" s="400"/>
      <c r="BH24" s="400"/>
      <c r="BI24" s="400"/>
      <c r="BJ24" s="400"/>
      <c r="BK24" s="400"/>
      <c r="BL24" s="400"/>
      <c r="BM24" s="400"/>
      <c r="BN24" s="400"/>
      <c r="BO24" s="400"/>
      <c r="BP24" s="400"/>
      <c r="BQ24" s="400"/>
      <c r="BR24" s="400"/>
      <c r="BS24" s="400"/>
      <c r="BT24" s="400"/>
      <c r="BU24" s="400"/>
    </row>
    <row r="25" spans="1:73" s="401" customFormat="1" ht="35.25" customHeight="1" thickBot="1">
      <c r="A25" s="404" t="s">
        <v>896</v>
      </c>
      <c r="B25" s="677"/>
      <c r="C25" s="422">
        <v>3540000</v>
      </c>
      <c r="D25" s="543">
        <f>SUM(C25)</f>
        <v>3540000</v>
      </c>
      <c r="E25" s="543">
        <v>2456686</v>
      </c>
      <c r="F25" s="569">
        <f t="shared" si="0"/>
        <v>0.6939790960451977</v>
      </c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  <c r="AJ25" s="400"/>
      <c r="AK25" s="400"/>
      <c r="AL25" s="400"/>
      <c r="AM25" s="400"/>
      <c r="AN25" s="400"/>
      <c r="AO25" s="400"/>
      <c r="AP25" s="400"/>
      <c r="AQ25" s="400"/>
      <c r="AR25" s="400"/>
      <c r="AS25" s="400"/>
      <c r="AT25" s="400"/>
      <c r="AU25" s="400"/>
      <c r="AV25" s="400"/>
      <c r="AW25" s="400"/>
      <c r="AX25" s="400"/>
      <c r="AY25" s="400"/>
      <c r="AZ25" s="400"/>
      <c r="BA25" s="400"/>
      <c r="BB25" s="400"/>
      <c r="BC25" s="400"/>
      <c r="BD25" s="400"/>
      <c r="BE25" s="400"/>
      <c r="BF25" s="400"/>
      <c r="BG25" s="400"/>
      <c r="BH25" s="400"/>
      <c r="BI25" s="400"/>
      <c r="BJ25" s="400"/>
      <c r="BK25" s="400"/>
      <c r="BL25" s="400"/>
      <c r="BM25" s="400"/>
      <c r="BN25" s="400"/>
      <c r="BO25" s="400"/>
      <c r="BP25" s="400"/>
      <c r="BQ25" s="400"/>
      <c r="BR25" s="400"/>
      <c r="BS25" s="400"/>
      <c r="BT25" s="400"/>
      <c r="BU25" s="400"/>
    </row>
    <row r="26" spans="1:73" s="541" customFormat="1" ht="44.25" customHeight="1" thickBot="1">
      <c r="A26" s="678" t="s">
        <v>516</v>
      </c>
      <c r="B26" s="679"/>
      <c r="C26" s="680">
        <f>SUM(C8:C25)</f>
        <v>48099099</v>
      </c>
      <c r="D26" s="680">
        <f>SUM(D8:D25)</f>
        <v>65728802</v>
      </c>
      <c r="E26" s="680">
        <f t="shared" ref="E26" si="1">SUM(E8:E25)</f>
        <v>64479299</v>
      </c>
      <c r="F26" s="706">
        <f>E26/D26</f>
        <v>0.98099002321691486</v>
      </c>
      <c r="G26" s="278"/>
      <c r="H26" s="540"/>
      <c r="I26" s="540"/>
      <c r="J26" s="540"/>
      <c r="K26" s="540"/>
      <c r="L26" s="540"/>
      <c r="M26" s="540"/>
      <c r="N26" s="540"/>
      <c r="O26" s="540"/>
      <c r="P26" s="540"/>
      <c r="Q26" s="540"/>
      <c r="R26" s="540"/>
      <c r="S26" s="540"/>
      <c r="T26" s="540"/>
      <c r="U26" s="540"/>
      <c r="V26" s="540"/>
      <c r="W26" s="540"/>
      <c r="X26" s="540"/>
      <c r="Y26" s="540"/>
      <c r="Z26" s="540"/>
      <c r="AA26" s="540"/>
      <c r="AB26" s="540"/>
      <c r="AC26" s="540"/>
      <c r="AD26" s="540"/>
      <c r="AE26" s="540"/>
      <c r="AF26" s="540"/>
      <c r="AG26" s="540"/>
      <c r="AH26" s="540"/>
      <c r="AI26" s="540"/>
      <c r="AJ26" s="540"/>
      <c r="AK26" s="540"/>
      <c r="AL26" s="540"/>
      <c r="AM26" s="540"/>
      <c r="AN26" s="540"/>
      <c r="AO26" s="540"/>
      <c r="AP26" s="540"/>
      <c r="AQ26" s="540"/>
      <c r="AR26" s="540"/>
      <c r="AS26" s="540"/>
      <c r="AT26" s="540"/>
      <c r="AU26" s="540"/>
      <c r="AV26" s="540"/>
      <c r="AW26" s="540"/>
      <c r="AX26" s="540"/>
      <c r="AY26" s="540"/>
      <c r="AZ26" s="540"/>
      <c r="BA26" s="540"/>
      <c r="BB26" s="540"/>
      <c r="BC26" s="540"/>
      <c r="BD26" s="540"/>
      <c r="BE26" s="540"/>
      <c r="BF26" s="540"/>
      <c r="BG26" s="540"/>
      <c r="BH26" s="540"/>
      <c r="BI26" s="540"/>
      <c r="BJ26" s="540"/>
      <c r="BK26" s="540"/>
      <c r="BL26" s="540"/>
      <c r="BM26" s="540"/>
      <c r="BN26" s="540"/>
      <c r="BO26" s="540"/>
      <c r="BP26" s="540"/>
      <c r="BQ26" s="540"/>
      <c r="BR26" s="540"/>
      <c r="BS26" s="540"/>
      <c r="BT26" s="540"/>
      <c r="BU26" s="540"/>
    </row>
    <row r="27" spans="1:73" s="396" customFormat="1" ht="30.75" customHeight="1" thickBot="1">
      <c r="A27" s="647"/>
      <c r="B27" s="681"/>
      <c r="C27" s="650"/>
      <c r="D27" s="650"/>
      <c r="E27" s="650"/>
      <c r="F27" s="699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395"/>
      <c r="AF27" s="395"/>
      <c r="AG27" s="395"/>
      <c r="AH27" s="395"/>
      <c r="AI27" s="395"/>
      <c r="AJ27" s="395"/>
      <c r="AK27" s="395"/>
      <c r="AL27" s="395"/>
      <c r="AM27" s="395"/>
      <c r="AN27" s="395"/>
      <c r="AO27" s="395"/>
      <c r="AP27" s="395"/>
      <c r="AQ27" s="395"/>
      <c r="AR27" s="395"/>
      <c r="AS27" s="395"/>
      <c r="AT27" s="395"/>
      <c r="AU27" s="395"/>
      <c r="AV27" s="395"/>
      <c r="AW27" s="395"/>
      <c r="AX27" s="395"/>
      <c r="AY27" s="395"/>
      <c r="AZ27" s="395"/>
      <c r="BA27" s="395"/>
      <c r="BB27" s="395"/>
      <c r="BC27" s="395"/>
      <c r="BD27" s="395"/>
      <c r="BE27" s="395"/>
      <c r="BF27" s="395"/>
      <c r="BG27" s="395"/>
      <c r="BH27" s="395"/>
      <c r="BI27" s="395"/>
      <c r="BJ27" s="395"/>
      <c r="BK27" s="395"/>
      <c r="BL27" s="395"/>
      <c r="BM27" s="395"/>
      <c r="BN27" s="395"/>
      <c r="BO27" s="395"/>
      <c r="BP27" s="395"/>
      <c r="BQ27" s="395"/>
      <c r="BR27" s="395"/>
      <c r="BS27" s="395"/>
      <c r="BT27" s="395"/>
      <c r="BU27" s="395"/>
    </row>
    <row r="28" spans="1:73" s="541" customFormat="1" ht="44.25" customHeight="1" thickBot="1">
      <c r="A28" s="674" t="s">
        <v>517</v>
      </c>
      <c r="B28" s="682"/>
      <c r="C28" s="676"/>
      <c r="D28" s="676"/>
      <c r="E28" s="676"/>
      <c r="F28" s="705"/>
      <c r="G28" s="278"/>
      <c r="H28" s="540"/>
      <c r="I28" s="540"/>
      <c r="J28" s="540"/>
      <c r="K28" s="540"/>
      <c r="L28" s="540"/>
      <c r="M28" s="540"/>
      <c r="N28" s="540"/>
      <c r="O28" s="540"/>
      <c r="P28" s="540"/>
      <c r="Q28" s="540"/>
      <c r="R28" s="540"/>
      <c r="S28" s="540"/>
      <c r="T28" s="540"/>
      <c r="U28" s="540"/>
      <c r="V28" s="540"/>
      <c r="W28" s="540"/>
      <c r="X28" s="540"/>
      <c r="Y28" s="540"/>
      <c r="Z28" s="540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0"/>
      <c r="AL28" s="540"/>
      <c r="AM28" s="540"/>
      <c r="AN28" s="540"/>
      <c r="AO28" s="540"/>
      <c r="AP28" s="540"/>
      <c r="AQ28" s="540"/>
      <c r="AR28" s="540"/>
      <c r="AS28" s="540"/>
      <c r="AT28" s="540"/>
      <c r="AU28" s="540"/>
      <c r="AV28" s="540"/>
      <c r="AW28" s="540"/>
      <c r="AX28" s="540"/>
      <c r="AY28" s="540"/>
      <c r="AZ28" s="540"/>
      <c r="BA28" s="540"/>
      <c r="BB28" s="540"/>
      <c r="BC28" s="540"/>
      <c r="BD28" s="540"/>
      <c r="BE28" s="540"/>
      <c r="BF28" s="540"/>
      <c r="BG28" s="540"/>
      <c r="BH28" s="540"/>
      <c r="BI28" s="540"/>
      <c r="BJ28" s="540"/>
      <c r="BK28" s="540"/>
      <c r="BL28" s="540"/>
      <c r="BM28" s="540"/>
      <c r="BN28" s="540"/>
      <c r="BO28" s="540"/>
      <c r="BP28" s="540"/>
      <c r="BQ28" s="540"/>
      <c r="BR28" s="540"/>
      <c r="BS28" s="540"/>
      <c r="BT28" s="540"/>
      <c r="BU28" s="540"/>
    </row>
    <row r="29" spans="1:73" s="396" customFormat="1" ht="22.5" customHeight="1" thickBot="1">
      <c r="A29" s="638" t="s">
        <v>464</v>
      </c>
      <c r="B29" s="393"/>
      <c r="C29" s="399">
        <f>SUM(B31:B31)</f>
        <v>55644</v>
      </c>
      <c r="D29" s="543">
        <f>SUM(C29)</f>
        <v>55644</v>
      </c>
      <c r="E29" s="543">
        <v>28798</v>
      </c>
      <c r="F29" s="569">
        <f>E29/D29</f>
        <v>0.51754007619869169</v>
      </c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5"/>
      <c r="AM29" s="395"/>
      <c r="AN29" s="395"/>
      <c r="AO29" s="395"/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395"/>
      <c r="BC29" s="395"/>
      <c r="BD29" s="395"/>
      <c r="BE29" s="395"/>
      <c r="BF29" s="395"/>
      <c r="BG29" s="395"/>
      <c r="BH29" s="395"/>
      <c r="BI29" s="395"/>
      <c r="BJ29" s="395"/>
      <c r="BK29" s="395"/>
      <c r="BL29" s="395"/>
      <c r="BM29" s="395"/>
      <c r="BN29" s="395"/>
      <c r="BO29" s="395"/>
      <c r="BP29" s="395"/>
      <c r="BQ29" s="395"/>
      <c r="BR29" s="395"/>
      <c r="BS29" s="395"/>
      <c r="BT29" s="395"/>
      <c r="BU29" s="395"/>
    </row>
    <row r="30" spans="1:73" s="396" customFormat="1" ht="22.5" customHeight="1" thickBot="1">
      <c r="A30" s="397" t="s">
        <v>427</v>
      </c>
      <c r="B30" s="393"/>
      <c r="C30" s="399"/>
      <c r="D30" s="543"/>
      <c r="E30" s="543"/>
      <c r="F30" s="569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5"/>
      <c r="AI30" s="395"/>
      <c r="AJ30" s="395"/>
      <c r="AK30" s="395"/>
      <c r="AL30" s="395"/>
      <c r="AM30" s="395"/>
      <c r="AN30" s="395"/>
      <c r="AO30" s="395"/>
      <c r="AP30" s="395"/>
      <c r="AQ30" s="395"/>
      <c r="AR30" s="395"/>
      <c r="AS30" s="395"/>
      <c r="AT30" s="395"/>
      <c r="AU30" s="395"/>
      <c r="AV30" s="395"/>
      <c r="AW30" s="395"/>
      <c r="AX30" s="395"/>
      <c r="AY30" s="395"/>
      <c r="AZ30" s="395"/>
      <c r="BA30" s="395"/>
      <c r="BB30" s="395"/>
      <c r="BC30" s="395"/>
      <c r="BD30" s="395"/>
      <c r="BE30" s="395"/>
      <c r="BF30" s="395"/>
      <c r="BG30" s="395"/>
      <c r="BH30" s="395"/>
      <c r="BI30" s="395"/>
      <c r="BJ30" s="395"/>
      <c r="BK30" s="395"/>
      <c r="BL30" s="395"/>
      <c r="BM30" s="395"/>
      <c r="BN30" s="395"/>
      <c r="BO30" s="395"/>
      <c r="BP30" s="395"/>
      <c r="BQ30" s="395"/>
      <c r="BR30" s="395"/>
      <c r="BS30" s="395"/>
      <c r="BT30" s="395"/>
      <c r="BU30" s="395"/>
    </row>
    <row r="31" spans="1:73" s="396" customFormat="1" ht="30.75" customHeight="1" thickBot="1">
      <c r="A31" s="397" t="s">
        <v>465</v>
      </c>
      <c r="B31" s="393">
        <v>55644</v>
      </c>
      <c r="C31" s="399"/>
      <c r="D31" s="543"/>
      <c r="E31" s="543"/>
      <c r="F31" s="569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5"/>
      <c r="AL31" s="395"/>
      <c r="AM31" s="395"/>
      <c r="AN31" s="395"/>
      <c r="AO31" s="395"/>
      <c r="AP31" s="395"/>
      <c r="AQ31" s="395"/>
      <c r="AR31" s="395"/>
      <c r="AS31" s="395"/>
      <c r="AT31" s="395"/>
      <c r="AU31" s="395"/>
      <c r="AV31" s="395"/>
      <c r="AW31" s="395"/>
      <c r="AX31" s="395"/>
      <c r="AY31" s="395"/>
      <c r="AZ31" s="395"/>
      <c r="BA31" s="395"/>
      <c r="BB31" s="395"/>
      <c r="BC31" s="395"/>
      <c r="BD31" s="395"/>
      <c r="BE31" s="395"/>
      <c r="BF31" s="395"/>
      <c r="BG31" s="395"/>
      <c r="BH31" s="395"/>
      <c r="BI31" s="395"/>
      <c r="BJ31" s="395"/>
      <c r="BK31" s="395"/>
      <c r="BL31" s="395"/>
      <c r="BM31" s="395"/>
      <c r="BN31" s="395"/>
      <c r="BO31" s="395"/>
      <c r="BP31" s="395"/>
      <c r="BQ31" s="395"/>
      <c r="BR31" s="395"/>
      <c r="BS31" s="395"/>
      <c r="BT31" s="395"/>
      <c r="BU31" s="395"/>
    </row>
    <row r="32" spans="1:73" s="396" customFormat="1" ht="25.5" customHeight="1" thickBot="1">
      <c r="A32" s="638" t="s">
        <v>473</v>
      </c>
      <c r="B32" s="393"/>
      <c r="C32" s="399">
        <f>SUM(B33)</f>
        <v>3575000</v>
      </c>
      <c r="D32" s="543">
        <f>SUM(C32)</f>
        <v>3575000</v>
      </c>
      <c r="E32" s="543">
        <v>4187199</v>
      </c>
      <c r="F32" s="569">
        <f>E32/D32</f>
        <v>1.1712444755244755</v>
      </c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  <c r="AK32" s="395"/>
      <c r="AL32" s="395"/>
      <c r="AM32" s="395"/>
      <c r="AN32" s="395"/>
      <c r="AO32" s="395"/>
      <c r="AP32" s="395"/>
      <c r="AQ32" s="395"/>
      <c r="AR32" s="395"/>
      <c r="AS32" s="395"/>
      <c r="AT32" s="395"/>
      <c r="AU32" s="395"/>
      <c r="AV32" s="395"/>
      <c r="AW32" s="395"/>
      <c r="AX32" s="395"/>
      <c r="AY32" s="395"/>
      <c r="AZ32" s="395"/>
      <c r="BA32" s="395"/>
      <c r="BB32" s="395"/>
      <c r="BC32" s="395"/>
      <c r="BD32" s="395"/>
      <c r="BE32" s="395"/>
      <c r="BF32" s="395"/>
      <c r="BG32" s="395"/>
      <c r="BH32" s="395"/>
      <c r="BI32" s="395"/>
      <c r="BJ32" s="395"/>
      <c r="BK32" s="395"/>
      <c r="BL32" s="395"/>
      <c r="BM32" s="395"/>
      <c r="BN32" s="395"/>
      <c r="BO32" s="395"/>
      <c r="BP32" s="395"/>
      <c r="BQ32" s="395"/>
      <c r="BR32" s="395"/>
      <c r="BS32" s="395"/>
      <c r="BT32" s="395"/>
      <c r="BU32" s="395"/>
    </row>
    <row r="33" spans="1:73" s="396" customFormat="1" ht="25.5" customHeight="1" thickBot="1">
      <c r="A33" s="397" t="s">
        <v>474</v>
      </c>
      <c r="B33" s="393">
        <v>3575000</v>
      </c>
      <c r="C33" s="399"/>
      <c r="D33" s="543"/>
      <c r="E33" s="543"/>
      <c r="F33" s="569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5"/>
      <c r="AM33" s="395"/>
      <c r="AN33" s="395"/>
      <c r="AO33" s="395"/>
      <c r="AP33" s="395"/>
      <c r="AQ33" s="395"/>
      <c r="AR33" s="395"/>
      <c r="AS33" s="395"/>
      <c r="AT33" s="395"/>
      <c r="AU33" s="395"/>
      <c r="AV33" s="395"/>
      <c r="AW33" s="395"/>
      <c r="AX33" s="395"/>
      <c r="AY33" s="395"/>
      <c r="AZ33" s="395"/>
      <c r="BA33" s="395"/>
      <c r="BB33" s="395"/>
      <c r="BC33" s="395"/>
      <c r="BD33" s="395"/>
      <c r="BE33" s="395"/>
      <c r="BF33" s="395"/>
      <c r="BG33" s="395"/>
      <c r="BH33" s="395"/>
      <c r="BI33" s="395"/>
      <c r="BJ33" s="395"/>
      <c r="BK33" s="395"/>
      <c r="BL33" s="395"/>
      <c r="BM33" s="395"/>
      <c r="BN33" s="395"/>
      <c r="BO33" s="395"/>
      <c r="BP33" s="395"/>
      <c r="BQ33" s="395"/>
      <c r="BR33" s="395"/>
      <c r="BS33" s="395"/>
      <c r="BT33" s="395"/>
      <c r="BU33" s="395"/>
    </row>
    <row r="34" spans="1:73" s="401" customFormat="1" ht="52.5" customHeight="1" thickBot="1">
      <c r="A34" s="316" t="s">
        <v>865</v>
      </c>
      <c r="B34" s="551"/>
      <c r="C34" s="399">
        <v>514800</v>
      </c>
      <c r="D34" s="543">
        <f>SUM(C34)+419796+290628+401236</f>
        <v>1626460</v>
      </c>
      <c r="E34" s="543">
        <v>1561773</v>
      </c>
      <c r="F34" s="569">
        <f>E34/D34</f>
        <v>0.96022834868364426</v>
      </c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0"/>
      <c r="AG34" s="400"/>
      <c r="AH34" s="400"/>
      <c r="AI34" s="400"/>
      <c r="AJ34" s="400"/>
      <c r="AK34" s="400"/>
      <c r="AL34" s="400"/>
      <c r="AM34" s="400"/>
      <c r="AN34" s="400"/>
      <c r="AO34" s="400"/>
      <c r="AP34" s="400"/>
      <c r="AQ34" s="400"/>
      <c r="AR34" s="400"/>
      <c r="AS34" s="400"/>
      <c r="AT34" s="400"/>
      <c r="AU34" s="400"/>
      <c r="AV34" s="400"/>
      <c r="AW34" s="400"/>
      <c r="AX34" s="400"/>
      <c r="AY34" s="400"/>
      <c r="AZ34" s="400"/>
      <c r="BA34" s="400"/>
      <c r="BB34" s="400"/>
      <c r="BC34" s="400"/>
      <c r="BD34" s="400"/>
      <c r="BE34" s="400"/>
      <c r="BF34" s="400"/>
      <c r="BG34" s="400"/>
      <c r="BH34" s="400"/>
      <c r="BI34" s="400"/>
      <c r="BJ34" s="400"/>
      <c r="BK34" s="400"/>
      <c r="BL34" s="400"/>
      <c r="BM34" s="400"/>
      <c r="BN34" s="400"/>
      <c r="BO34" s="400"/>
      <c r="BP34" s="400"/>
      <c r="BQ34" s="400"/>
      <c r="BR34" s="400"/>
      <c r="BS34" s="400"/>
      <c r="BT34" s="400"/>
      <c r="BU34" s="400"/>
    </row>
    <row r="35" spans="1:73" s="401" customFormat="1" ht="42" customHeight="1" thickBot="1">
      <c r="A35" s="316" t="s">
        <v>656</v>
      </c>
      <c r="B35" s="317"/>
      <c r="C35" s="318">
        <v>170850</v>
      </c>
      <c r="D35" s="543">
        <f t="shared" ref="D35" si="2">SUM(C35)</f>
        <v>170850</v>
      </c>
      <c r="E35" s="543">
        <v>106945</v>
      </c>
      <c r="F35" s="569">
        <f>E35/D35</f>
        <v>0.62595844307872406</v>
      </c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400"/>
      <c r="AB35" s="400"/>
      <c r="AC35" s="400"/>
      <c r="AD35" s="400"/>
      <c r="AE35" s="400"/>
      <c r="AF35" s="400"/>
      <c r="AG35" s="400"/>
      <c r="AH35" s="400"/>
      <c r="AI35" s="400"/>
      <c r="AJ35" s="400"/>
      <c r="AK35" s="400"/>
      <c r="AL35" s="400"/>
      <c r="AM35" s="400"/>
      <c r="AN35" s="400"/>
      <c r="AO35" s="400"/>
      <c r="AP35" s="400"/>
      <c r="AQ35" s="400"/>
      <c r="AR35" s="400"/>
      <c r="AS35" s="400"/>
      <c r="AT35" s="400"/>
      <c r="AU35" s="400"/>
      <c r="AV35" s="400"/>
      <c r="AW35" s="400"/>
      <c r="AX35" s="400"/>
      <c r="AY35" s="400"/>
      <c r="AZ35" s="400"/>
      <c r="BA35" s="400"/>
      <c r="BB35" s="400"/>
      <c r="BC35" s="400"/>
      <c r="BD35" s="400"/>
      <c r="BE35" s="400"/>
      <c r="BF35" s="400"/>
      <c r="BG35" s="400"/>
      <c r="BH35" s="400"/>
      <c r="BI35" s="400"/>
      <c r="BJ35" s="400"/>
      <c r="BK35" s="400"/>
      <c r="BL35" s="400"/>
      <c r="BM35" s="400"/>
      <c r="BN35" s="400"/>
      <c r="BO35" s="400"/>
      <c r="BP35" s="400"/>
      <c r="BQ35" s="400"/>
      <c r="BR35" s="400"/>
      <c r="BS35" s="400"/>
      <c r="BT35" s="400"/>
      <c r="BU35" s="400"/>
    </row>
    <row r="36" spans="1:73" s="401" customFormat="1" ht="44.25" customHeight="1" thickBot="1">
      <c r="A36" s="638" t="s">
        <v>495</v>
      </c>
      <c r="B36" s="398"/>
      <c r="C36" s="399">
        <v>4372407</v>
      </c>
      <c r="D36" s="543">
        <f>SUM(B37:B38)</f>
        <v>5130871</v>
      </c>
      <c r="E36" s="543">
        <f>3060035+925990</f>
        <v>3986025</v>
      </c>
      <c r="F36" s="569">
        <f>E36/D36</f>
        <v>0.77687102248331719</v>
      </c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  <c r="AE36" s="400"/>
      <c r="AF36" s="400"/>
      <c r="AG36" s="400"/>
      <c r="AH36" s="400"/>
      <c r="AI36" s="400"/>
      <c r="AJ36" s="400"/>
      <c r="AK36" s="400"/>
      <c r="AL36" s="400"/>
      <c r="AM36" s="400"/>
      <c r="AN36" s="400"/>
      <c r="AO36" s="400"/>
      <c r="AP36" s="400"/>
      <c r="AQ36" s="400"/>
      <c r="AR36" s="400"/>
      <c r="AS36" s="400"/>
      <c r="AT36" s="400"/>
      <c r="AU36" s="400"/>
      <c r="AV36" s="400"/>
      <c r="AW36" s="400"/>
      <c r="AX36" s="400"/>
      <c r="AY36" s="400"/>
      <c r="AZ36" s="400"/>
      <c r="BA36" s="400"/>
      <c r="BB36" s="400"/>
      <c r="BC36" s="400"/>
      <c r="BD36" s="400"/>
      <c r="BE36" s="400"/>
      <c r="BF36" s="400"/>
      <c r="BG36" s="400"/>
      <c r="BH36" s="400"/>
      <c r="BI36" s="400"/>
      <c r="BJ36" s="400"/>
      <c r="BK36" s="400"/>
      <c r="BL36" s="400"/>
      <c r="BM36" s="400"/>
      <c r="BN36" s="400"/>
      <c r="BO36" s="400"/>
      <c r="BP36" s="400"/>
      <c r="BQ36" s="400"/>
      <c r="BR36" s="400"/>
      <c r="BS36" s="400"/>
      <c r="BT36" s="400"/>
      <c r="BU36" s="400"/>
    </row>
    <row r="37" spans="1:73" s="396" customFormat="1" ht="24" customHeight="1" thickBot="1">
      <c r="A37" s="397" t="s">
        <v>496</v>
      </c>
      <c r="B37" s="393">
        <v>916582</v>
      </c>
      <c r="C37" s="399"/>
      <c r="D37" s="543"/>
      <c r="E37" s="543"/>
      <c r="F37" s="569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5"/>
      <c r="AL37" s="395"/>
      <c r="AM37" s="395"/>
      <c r="AN37" s="395"/>
      <c r="AO37" s="395"/>
      <c r="AP37" s="395"/>
      <c r="AQ37" s="395"/>
      <c r="AR37" s="395"/>
      <c r="AS37" s="395"/>
      <c r="AT37" s="395"/>
      <c r="AU37" s="395"/>
      <c r="AV37" s="395"/>
      <c r="AW37" s="395"/>
      <c r="AX37" s="395"/>
      <c r="AY37" s="395"/>
      <c r="AZ37" s="395"/>
      <c r="BA37" s="395"/>
      <c r="BB37" s="395"/>
      <c r="BC37" s="395"/>
      <c r="BD37" s="395"/>
      <c r="BE37" s="395"/>
      <c r="BF37" s="395"/>
      <c r="BG37" s="395"/>
      <c r="BH37" s="395"/>
      <c r="BI37" s="395"/>
      <c r="BJ37" s="395"/>
      <c r="BK37" s="395"/>
      <c r="BL37" s="395"/>
      <c r="BM37" s="395"/>
      <c r="BN37" s="395"/>
      <c r="BO37" s="395"/>
      <c r="BP37" s="395"/>
      <c r="BQ37" s="395"/>
      <c r="BR37" s="395"/>
      <c r="BS37" s="395"/>
      <c r="BT37" s="395"/>
      <c r="BU37" s="395"/>
    </row>
    <row r="38" spans="1:73" s="396" customFormat="1" ht="24" customHeight="1" thickBot="1">
      <c r="A38" s="397" t="s">
        <v>497</v>
      </c>
      <c r="B38" s="393">
        <f>3455825+758464</f>
        <v>4214289</v>
      </c>
      <c r="C38" s="399"/>
      <c r="D38" s="543"/>
      <c r="E38" s="543"/>
      <c r="F38" s="569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95"/>
      <c r="AK38" s="395"/>
      <c r="AL38" s="395"/>
      <c r="AM38" s="395"/>
      <c r="AN38" s="395"/>
      <c r="AO38" s="395"/>
      <c r="AP38" s="395"/>
      <c r="AQ38" s="395"/>
      <c r="AR38" s="395"/>
      <c r="AS38" s="395"/>
      <c r="AT38" s="395"/>
      <c r="AU38" s="395"/>
      <c r="AV38" s="395"/>
      <c r="AW38" s="395"/>
      <c r="AX38" s="395"/>
      <c r="AY38" s="395"/>
      <c r="AZ38" s="395"/>
      <c r="BA38" s="395"/>
      <c r="BB38" s="395"/>
      <c r="BC38" s="395"/>
      <c r="BD38" s="395"/>
      <c r="BE38" s="395"/>
      <c r="BF38" s="395"/>
      <c r="BG38" s="395"/>
      <c r="BH38" s="395"/>
      <c r="BI38" s="395"/>
      <c r="BJ38" s="395"/>
      <c r="BK38" s="395"/>
      <c r="BL38" s="395"/>
      <c r="BM38" s="395"/>
      <c r="BN38" s="395"/>
      <c r="BO38" s="395"/>
      <c r="BP38" s="395"/>
      <c r="BQ38" s="395"/>
      <c r="BR38" s="395"/>
      <c r="BS38" s="395"/>
      <c r="BT38" s="395"/>
      <c r="BU38" s="395"/>
    </row>
    <row r="39" spans="1:73" s="396" customFormat="1" ht="34.5" customHeight="1" thickBot="1">
      <c r="A39" s="638" t="s">
        <v>884</v>
      </c>
      <c r="B39" s="398"/>
      <c r="C39" s="399"/>
      <c r="D39" s="399">
        <f>36844+168000</f>
        <v>204844</v>
      </c>
      <c r="E39" s="399">
        <v>204870</v>
      </c>
      <c r="F39" s="569">
        <f>E39/D39</f>
        <v>1.0001269258557732</v>
      </c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  <c r="AE39" s="395"/>
      <c r="AF39" s="395"/>
      <c r="AG39" s="395"/>
      <c r="AH39" s="395"/>
      <c r="AI39" s="395"/>
      <c r="AJ39" s="395"/>
      <c r="AK39" s="395"/>
      <c r="AL39" s="395"/>
      <c r="AM39" s="395"/>
      <c r="AN39" s="395"/>
      <c r="AO39" s="395"/>
      <c r="AP39" s="395"/>
      <c r="AQ39" s="395"/>
      <c r="AR39" s="395"/>
      <c r="AS39" s="395"/>
      <c r="AT39" s="395"/>
      <c r="AU39" s="395"/>
      <c r="AV39" s="395"/>
      <c r="AW39" s="395"/>
      <c r="AX39" s="395"/>
      <c r="AY39" s="395"/>
      <c r="AZ39" s="395"/>
      <c r="BA39" s="395"/>
      <c r="BB39" s="395"/>
      <c r="BC39" s="395"/>
      <c r="BD39" s="395"/>
      <c r="BE39" s="395"/>
      <c r="BF39" s="395"/>
      <c r="BG39" s="395"/>
      <c r="BH39" s="395"/>
      <c r="BI39" s="395"/>
      <c r="BJ39" s="395"/>
      <c r="BK39" s="395"/>
      <c r="BL39" s="395"/>
      <c r="BM39" s="395"/>
      <c r="BN39" s="395"/>
      <c r="BO39" s="395"/>
      <c r="BP39" s="395"/>
      <c r="BQ39" s="395"/>
      <c r="BR39" s="395"/>
      <c r="BS39" s="395"/>
      <c r="BT39" s="395"/>
      <c r="BU39" s="395"/>
    </row>
    <row r="40" spans="1:73" s="396" customFormat="1" ht="34.5" customHeight="1" thickBot="1">
      <c r="A40" s="404" t="s">
        <v>657</v>
      </c>
      <c r="B40" s="677"/>
      <c r="C40" s="422"/>
      <c r="D40" s="543"/>
      <c r="E40" s="543">
        <v>73710</v>
      </c>
      <c r="F40" s="569">
        <v>0</v>
      </c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5"/>
      <c r="X40" s="395"/>
      <c r="Y40" s="395"/>
      <c r="Z40" s="395"/>
      <c r="AA40" s="395"/>
      <c r="AB40" s="395"/>
      <c r="AC40" s="395"/>
      <c r="AD40" s="395"/>
      <c r="AE40" s="395"/>
      <c r="AF40" s="395"/>
      <c r="AG40" s="395"/>
      <c r="AH40" s="395"/>
      <c r="AI40" s="395"/>
      <c r="AJ40" s="395"/>
      <c r="AK40" s="395"/>
      <c r="AL40" s="395"/>
      <c r="AM40" s="395"/>
      <c r="AN40" s="395"/>
      <c r="AO40" s="395"/>
      <c r="AP40" s="395"/>
      <c r="AQ40" s="395"/>
      <c r="AR40" s="395"/>
      <c r="AS40" s="395"/>
      <c r="AT40" s="395"/>
      <c r="AU40" s="395"/>
      <c r="AV40" s="395"/>
      <c r="AW40" s="395"/>
      <c r="AX40" s="395"/>
      <c r="AY40" s="395"/>
      <c r="AZ40" s="395"/>
      <c r="BA40" s="395"/>
      <c r="BB40" s="395"/>
      <c r="BC40" s="395"/>
      <c r="BD40" s="395"/>
      <c r="BE40" s="395"/>
      <c r="BF40" s="395"/>
      <c r="BG40" s="395"/>
      <c r="BH40" s="395"/>
      <c r="BI40" s="395"/>
      <c r="BJ40" s="395"/>
      <c r="BK40" s="395"/>
      <c r="BL40" s="395"/>
      <c r="BM40" s="395"/>
      <c r="BN40" s="395"/>
      <c r="BO40" s="395"/>
      <c r="BP40" s="395"/>
      <c r="BQ40" s="395"/>
      <c r="BR40" s="395"/>
      <c r="BS40" s="395"/>
      <c r="BT40" s="395"/>
      <c r="BU40" s="395"/>
    </row>
    <row r="41" spans="1:73" s="401" customFormat="1" ht="24" customHeight="1" thickBot="1">
      <c r="A41" s="638" t="s">
        <v>489</v>
      </c>
      <c r="B41" s="398"/>
      <c r="C41" s="399"/>
      <c r="D41" s="543">
        <f>44367+762729</f>
        <v>807096</v>
      </c>
      <c r="E41" s="543">
        <f>203930+440661+49363+293113+90818+10167</f>
        <v>1088052</v>
      </c>
      <c r="F41" s="569">
        <v>0</v>
      </c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  <c r="AA41" s="400"/>
      <c r="AB41" s="400"/>
      <c r="AC41" s="400"/>
      <c r="AD41" s="400"/>
      <c r="AE41" s="400"/>
      <c r="AF41" s="400"/>
      <c r="AG41" s="400"/>
      <c r="AH41" s="400"/>
      <c r="AI41" s="400"/>
      <c r="AJ41" s="400"/>
      <c r="AK41" s="400"/>
      <c r="AL41" s="400"/>
      <c r="AM41" s="400"/>
      <c r="AN41" s="400"/>
      <c r="AO41" s="400"/>
      <c r="AP41" s="400"/>
      <c r="AQ41" s="400"/>
      <c r="AR41" s="400"/>
      <c r="AS41" s="400"/>
      <c r="AT41" s="400"/>
      <c r="AU41" s="400"/>
      <c r="AV41" s="400"/>
      <c r="AW41" s="400"/>
      <c r="AX41" s="400"/>
      <c r="AY41" s="400"/>
      <c r="AZ41" s="400"/>
      <c r="BA41" s="400"/>
      <c r="BB41" s="400"/>
      <c r="BC41" s="400"/>
      <c r="BD41" s="400"/>
      <c r="BE41" s="400"/>
      <c r="BF41" s="400"/>
      <c r="BG41" s="400"/>
      <c r="BH41" s="400"/>
      <c r="BI41" s="400"/>
      <c r="BJ41" s="400"/>
      <c r="BK41" s="400"/>
      <c r="BL41" s="400"/>
      <c r="BM41" s="400"/>
      <c r="BN41" s="400"/>
      <c r="BO41" s="400"/>
      <c r="BP41" s="400"/>
      <c r="BQ41" s="400"/>
      <c r="BR41" s="400"/>
      <c r="BS41" s="400"/>
      <c r="BT41" s="400"/>
      <c r="BU41" s="400"/>
    </row>
    <row r="42" spans="1:73" s="401" customFormat="1" ht="24" customHeight="1" thickBot="1">
      <c r="A42" s="316" t="s">
        <v>904</v>
      </c>
      <c r="B42" s="317"/>
      <c r="C42" s="399"/>
      <c r="D42" s="543">
        <f>600000+200000+950000</f>
        <v>1750000</v>
      </c>
      <c r="E42" s="543">
        <v>2000043</v>
      </c>
      <c r="F42" s="569">
        <f>E42/D42</f>
        <v>1.1428817142857144</v>
      </c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400"/>
      <c r="AJ42" s="400"/>
      <c r="AK42" s="400"/>
      <c r="AL42" s="400"/>
      <c r="AM42" s="400"/>
      <c r="AN42" s="400"/>
      <c r="AO42" s="400"/>
      <c r="AP42" s="400"/>
      <c r="AQ42" s="400"/>
      <c r="AR42" s="400"/>
      <c r="AS42" s="400"/>
      <c r="AT42" s="400"/>
      <c r="AU42" s="400"/>
      <c r="AV42" s="400"/>
      <c r="AW42" s="400"/>
      <c r="AX42" s="400"/>
      <c r="AY42" s="400"/>
      <c r="AZ42" s="400"/>
      <c r="BA42" s="400"/>
      <c r="BB42" s="400"/>
      <c r="BC42" s="400"/>
      <c r="BD42" s="400"/>
      <c r="BE42" s="400"/>
      <c r="BF42" s="400"/>
      <c r="BG42" s="400"/>
      <c r="BH42" s="400"/>
      <c r="BI42" s="400"/>
      <c r="BJ42" s="400"/>
      <c r="BK42" s="400"/>
      <c r="BL42" s="400"/>
      <c r="BM42" s="400"/>
      <c r="BN42" s="400"/>
      <c r="BO42" s="400"/>
      <c r="BP42" s="400"/>
      <c r="BQ42" s="400"/>
      <c r="BR42" s="400"/>
      <c r="BS42" s="400"/>
      <c r="BT42" s="400"/>
      <c r="BU42" s="400"/>
    </row>
    <row r="43" spans="1:73" s="396" customFormat="1" ht="51" customHeight="1" thickBot="1">
      <c r="A43" s="638" t="s">
        <v>488</v>
      </c>
      <c r="B43" s="398"/>
      <c r="C43" s="399"/>
      <c r="D43" s="399"/>
      <c r="E43" s="543">
        <f>1826+19719+81018+322491</f>
        <v>425054</v>
      </c>
      <c r="F43" s="315">
        <v>0</v>
      </c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5"/>
      <c r="Z43" s="395"/>
      <c r="AA43" s="395"/>
      <c r="AB43" s="395"/>
      <c r="AC43" s="395"/>
      <c r="AD43" s="395"/>
      <c r="AE43" s="395"/>
      <c r="AF43" s="395"/>
      <c r="AG43" s="395"/>
      <c r="AH43" s="395"/>
      <c r="AI43" s="395"/>
      <c r="AJ43" s="395"/>
      <c r="AK43" s="395"/>
      <c r="AL43" s="395"/>
      <c r="AM43" s="395"/>
      <c r="AN43" s="395"/>
      <c r="AO43" s="395"/>
      <c r="AP43" s="395"/>
      <c r="AQ43" s="395"/>
      <c r="AR43" s="395"/>
      <c r="AS43" s="395"/>
      <c r="AT43" s="395"/>
      <c r="AU43" s="395"/>
      <c r="AV43" s="395"/>
      <c r="AW43" s="395"/>
      <c r="AX43" s="395"/>
      <c r="AY43" s="395"/>
      <c r="AZ43" s="395"/>
      <c r="BA43" s="395"/>
      <c r="BB43" s="395"/>
      <c r="BC43" s="395"/>
      <c r="BD43" s="395"/>
      <c r="BE43" s="395"/>
      <c r="BF43" s="395"/>
      <c r="BG43" s="395"/>
      <c r="BH43" s="395"/>
      <c r="BI43" s="395"/>
      <c r="BJ43" s="395"/>
      <c r="BK43" s="395"/>
      <c r="BL43" s="395"/>
      <c r="BM43" s="395"/>
      <c r="BN43" s="395"/>
      <c r="BO43" s="395"/>
      <c r="BP43" s="395"/>
      <c r="BQ43" s="395"/>
      <c r="BR43" s="395"/>
      <c r="BS43" s="395"/>
      <c r="BT43" s="395"/>
      <c r="BU43" s="395"/>
    </row>
    <row r="44" spans="1:73" s="401" customFormat="1" ht="39.75" customHeight="1" thickBot="1">
      <c r="A44" s="638" t="s">
        <v>880</v>
      </c>
      <c r="B44" s="398"/>
      <c r="C44" s="399"/>
      <c r="D44" s="399">
        <v>105300</v>
      </c>
      <c r="E44" s="399">
        <v>105300</v>
      </c>
      <c r="F44" s="569">
        <f>E44/D44</f>
        <v>1</v>
      </c>
      <c r="G44" s="400"/>
      <c r="H44" s="400"/>
      <c r="I44" s="400"/>
      <c r="J44" s="400"/>
      <c r="K44" s="400"/>
      <c r="L44" s="400"/>
      <c r="M44" s="400"/>
      <c r="N44" s="400"/>
      <c r="O44" s="400"/>
      <c r="P44" s="400"/>
      <c r="Q44" s="400"/>
      <c r="R44" s="400"/>
      <c r="S44" s="400"/>
      <c r="T44" s="400"/>
      <c r="U44" s="400"/>
      <c r="V44" s="400"/>
      <c r="W44" s="400"/>
      <c r="X44" s="400"/>
      <c r="Y44" s="400"/>
      <c r="Z44" s="400"/>
      <c r="AA44" s="400"/>
      <c r="AB44" s="400"/>
      <c r="AC44" s="400"/>
      <c r="AD44" s="400"/>
      <c r="AE44" s="400"/>
      <c r="AF44" s="400"/>
      <c r="AG44" s="400"/>
      <c r="AH44" s="400"/>
      <c r="AI44" s="400"/>
      <c r="AJ44" s="400"/>
      <c r="AK44" s="400"/>
      <c r="AL44" s="400"/>
      <c r="AM44" s="400"/>
      <c r="AN44" s="400"/>
      <c r="AO44" s="400"/>
      <c r="AP44" s="400"/>
      <c r="AQ44" s="400"/>
      <c r="AR44" s="400"/>
      <c r="AS44" s="400"/>
      <c r="AT44" s="400"/>
      <c r="AU44" s="400"/>
      <c r="AV44" s="400"/>
      <c r="AW44" s="400"/>
      <c r="AX44" s="400"/>
      <c r="AY44" s="400"/>
      <c r="AZ44" s="400"/>
      <c r="BA44" s="400"/>
      <c r="BB44" s="400"/>
      <c r="BC44" s="400"/>
      <c r="BD44" s="400"/>
      <c r="BE44" s="400"/>
      <c r="BF44" s="400"/>
      <c r="BG44" s="400"/>
      <c r="BH44" s="400"/>
      <c r="BI44" s="400"/>
      <c r="BJ44" s="400"/>
      <c r="BK44" s="400"/>
      <c r="BL44" s="400"/>
      <c r="BM44" s="400"/>
      <c r="BN44" s="400"/>
      <c r="BO44" s="400"/>
      <c r="BP44" s="400"/>
      <c r="BQ44" s="400"/>
      <c r="BR44" s="400"/>
      <c r="BS44" s="400"/>
      <c r="BT44" s="400"/>
      <c r="BU44" s="400"/>
    </row>
    <row r="45" spans="1:73" s="401" customFormat="1" ht="35.25" customHeight="1" thickBot="1">
      <c r="A45" s="316" t="s">
        <v>896</v>
      </c>
      <c r="B45" s="317"/>
      <c r="C45" s="399">
        <v>1460000</v>
      </c>
      <c r="D45" s="543">
        <f>SUM(C45)</f>
        <v>1460000</v>
      </c>
      <c r="E45" s="543">
        <v>1115454</v>
      </c>
      <c r="F45" s="569">
        <f>E45/D45</f>
        <v>0.76400958904109584</v>
      </c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400"/>
      <c r="Z45" s="400"/>
      <c r="AA45" s="400"/>
      <c r="AB45" s="400"/>
      <c r="AC45" s="400"/>
      <c r="AD45" s="400"/>
      <c r="AE45" s="400"/>
      <c r="AF45" s="400"/>
      <c r="AG45" s="400"/>
      <c r="AH45" s="400"/>
      <c r="AI45" s="400"/>
      <c r="AJ45" s="400"/>
      <c r="AK45" s="400"/>
      <c r="AL45" s="400"/>
      <c r="AM45" s="400"/>
      <c r="AN45" s="400"/>
      <c r="AO45" s="400"/>
      <c r="AP45" s="400"/>
      <c r="AQ45" s="400"/>
      <c r="AR45" s="400"/>
      <c r="AS45" s="400"/>
      <c r="AT45" s="400"/>
      <c r="AU45" s="400"/>
      <c r="AV45" s="400"/>
      <c r="AW45" s="400"/>
      <c r="AX45" s="400"/>
      <c r="AY45" s="400"/>
      <c r="AZ45" s="400"/>
      <c r="BA45" s="400"/>
      <c r="BB45" s="400"/>
      <c r="BC45" s="400"/>
      <c r="BD45" s="400"/>
      <c r="BE45" s="400"/>
      <c r="BF45" s="400"/>
      <c r="BG45" s="400"/>
      <c r="BH45" s="400"/>
      <c r="BI45" s="400"/>
      <c r="BJ45" s="400"/>
      <c r="BK45" s="400"/>
      <c r="BL45" s="400"/>
      <c r="BM45" s="400"/>
      <c r="BN45" s="400"/>
      <c r="BO45" s="400"/>
      <c r="BP45" s="400"/>
      <c r="BQ45" s="400"/>
      <c r="BR45" s="400"/>
      <c r="BS45" s="400"/>
      <c r="BT45" s="400"/>
      <c r="BU45" s="400"/>
    </row>
    <row r="46" spans="1:73" s="541" customFormat="1" ht="44.25" customHeight="1" thickBot="1">
      <c r="A46" s="678" t="s">
        <v>518</v>
      </c>
      <c r="B46" s="679"/>
      <c r="C46" s="680">
        <f>SUM(C29:C45)</f>
        <v>10148701</v>
      </c>
      <c r="D46" s="680">
        <f>SUM(D29:D45)</f>
        <v>14886065</v>
      </c>
      <c r="E46" s="680">
        <f>SUM(E29:E45)</f>
        <v>14883223</v>
      </c>
      <c r="F46" s="706">
        <f>E46/D46</f>
        <v>0.99980908319290562</v>
      </c>
      <c r="G46" s="278"/>
      <c r="H46" s="540"/>
      <c r="I46" s="540"/>
      <c r="J46" s="540"/>
      <c r="K46" s="540"/>
      <c r="L46" s="540"/>
      <c r="M46" s="540"/>
      <c r="N46" s="540"/>
      <c r="O46" s="540"/>
      <c r="P46" s="540"/>
      <c r="Q46" s="540"/>
      <c r="R46" s="540"/>
      <c r="S46" s="540"/>
      <c r="T46" s="540"/>
      <c r="U46" s="540"/>
      <c r="V46" s="540"/>
      <c r="W46" s="540"/>
      <c r="X46" s="540"/>
      <c r="Y46" s="540"/>
      <c r="Z46" s="540"/>
      <c r="AA46" s="540"/>
      <c r="AB46" s="540"/>
      <c r="AC46" s="540"/>
      <c r="AD46" s="540"/>
      <c r="AE46" s="540"/>
      <c r="AF46" s="540"/>
      <c r="AG46" s="540"/>
      <c r="AH46" s="540"/>
      <c r="AI46" s="540"/>
      <c r="AJ46" s="540"/>
      <c r="AK46" s="540"/>
      <c r="AL46" s="540"/>
      <c r="AM46" s="540"/>
      <c r="AN46" s="540"/>
      <c r="AO46" s="540"/>
      <c r="AP46" s="540"/>
      <c r="AQ46" s="540"/>
      <c r="AR46" s="540"/>
      <c r="AS46" s="540"/>
      <c r="AT46" s="540"/>
      <c r="AU46" s="540"/>
      <c r="AV46" s="540"/>
      <c r="AW46" s="540"/>
      <c r="AX46" s="540"/>
      <c r="AY46" s="540"/>
      <c r="AZ46" s="540"/>
      <c r="BA46" s="540"/>
      <c r="BB46" s="540"/>
      <c r="BC46" s="540"/>
      <c r="BD46" s="540"/>
      <c r="BE46" s="540"/>
      <c r="BF46" s="540"/>
      <c r="BG46" s="540"/>
      <c r="BH46" s="540"/>
      <c r="BI46" s="540"/>
      <c r="BJ46" s="540"/>
      <c r="BK46" s="540"/>
      <c r="BL46" s="540"/>
      <c r="BM46" s="540"/>
      <c r="BN46" s="540"/>
      <c r="BO46" s="540"/>
      <c r="BP46" s="540"/>
      <c r="BQ46" s="540"/>
      <c r="BR46" s="540"/>
      <c r="BS46" s="540"/>
      <c r="BT46" s="540"/>
      <c r="BU46" s="540"/>
    </row>
    <row r="47" spans="1:73" s="396" customFormat="1" ht="30.75" customHeight="1" thickBot="1">
      <c r="A47" s="647"/>
      <c r="B47" s="681"/>
      <c r="C47" s="650"/>
      <c r="D47" s="650"/>
      <c r="E47" s="650"/>
      <c r="F47" s="699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  <c r="AJ47" s="395"/>
      <c r="AK47" s="395"/>
      <c r="AL47" s="395"/>
      <c r="AM47" s="395"/>
      <c r="AN47" s="395"/>
      <c r="AO47" s="395"/>
      <c r="AP47" s="395"/>
      <c r="AQ47" s="395"/>
      <c r="AR47" s="395"/>
      <c r="AS47" s="395"/>
      <c r="AT47" s="395"/>
      <c r="AU47" s="395"/>
      <c r="AV47" s="395"/>
      <c r="AW47" s="395"/>
      <c r="AX47" s="395"/>
      <c r="AY47" s="395"/>
      <c r="AZ47" s="395"/>
      <c r="BA47" s="395"/>
      <c r="BB47" s="395"/>
      <c r="BC47" s="395"/>
      <c r="BD47" s="395"/>
      <c r="BE47" s="395"/>
      <c r="BF47" s="395"/>
      <c r="BG47" s="395"/>
      <c r="BH47" s="395"/>
      <c r="BI47" s="395"/>
      <c r="BJ47" s="395"/>
      <c r="BK47" s="395"/>
      <c r="BL47" s="395"/>
      <c r="BM47" s="395"/>
      <c r="BN47" s="395"/>
      <c r="BO47" s="395"/>
      <c r="BP47" s="395"/>
      <c r="BQ47" s="395"/>
      <c r="BR47" s="395"/>
      <c r="BS47" s="395"/>
      <c r="BT47" s="395"/>
      <c r="BU47" s="395"/>
    </row>
    <row r="48" spans="1:73" s="541" customFormat="1" ht="44.25" customHeight="1" thickBot="1">
      <c r="A48" s="674" t="s">
        <v>519</v>
      </c>
      <c r="B48" s="682"/>
      <c r="C48" s="676"/>
      <c r="D48" s="676"/>
      <c r="E48" s="676"/>
      <c r="F48" s="705"/>
      <c r="G48" s="278"/>
      <c r="H48" s="540"/>
      <c r="I48" s="540"/>
      <c r="J48" s="540"/>
      <c r="K48" s="540"/>
      <c r="L48" s="540"/>
      <c r="M48" s="540"/>
      <c r="N48" s="540"/>
      <c r="O48" s="540"/>
      <c r="P48" s="540"/>
      <c r="Q48" s="540"/>
      <c r="R48" s="540"/>
      <c r="S48" s="540"/>
      <c r="T48" s="540"/>
      <c r="U48" s="540"/>
      <c r="V48" s="540"/>
      <c r="W48" s="540"/>
      <c r="X48" s="540"/>
      <c r="Y48" s="540"/>
      <c r="Z48" s="540"/>
      <c r="AA48" s="540"/>
      <c r="AB48" s="540"/>
      <c r="AC48" s="540"/>
      <c r="AD48" s="540"/>
      <c r="AE48" s="540"/>
      <c r="AF48" s="540"/>
      <c r="AG48" s="540"/>
      <c r="AH48" s="540"/>
      <c r="AI48" s="540"/>
      <c r="AJ48" s="540"/>
      <c r="AK48" s="540"/>
      <c r="AL48" s="540"/>
      <c r="AM48" s="540"/>
      <c r="AN48" s="540"/>
      <c r="AO48" s="540"/>
      <c r="AP48" s="540"/>
      <c r="AQ48" s="540"/>
      <c r="AR48" s="540"/>
      <c r="AS48" s="540"/>
      <c r="AT48" s="540"/>
      <c r="AU48" s="540"/>
      <c r="AV48" s="540"/>
      <c r="AW48" s="540"/>
      <c r="AX48" s="540"/>
      <c r="AY48" s="540"/>
      <c r="AZ48" s="540"/>
      <c r="BA48" s="540"/>
      <c r="BB48" s="540"/>
      <c r="BC48" s="540"/>
      <c r="BD48" s="540"/>
      <c r="BE48" s="540"/>
      <c r="BF48" s="540"/>
      <c r="BG48" s="540"/>
      <c r="BH48" s="540"/>
      <c r="BI48" s="540"/>
      <c r="BJ48" s="540"/>
      <c r="BK48" s="540"/>
      <c r="BL48" s="540"/>
      <c r="BM48" s="540"/>
      <c r="BN48" s="540"/>
      <c r="BO48" s="540"/>
      <c r="BP48" s="540"/>
      <c r="BQ48" s="540"/>
      <c r="BR48" s="540"/>
      <c r="BS48" s="540"/>
      <c r="BT48" s="540"/>
      <c r="BU48" s="540"/>
    </row>
    <row r="49" spans="1:125" s="396" customFormat="1" ht="21" customHeight="1" thickBot="1">
      <c r="A49" s="638" t="s">
        <v>457</v>
      </c>
      <c r="B49" s="393"/>
      <c r="C49" s="399">
        <v>59000000</v>
      </c>
      <c r="D49" s="543">
        <f t="shared" ref="D49:D50" si="3">SUM(C49)</f>
        <v>59000000</v>
      </c>
      <c r="E49" s="543">
        <v>38152476</v>
      </c>
      <c r="F49" s="569">
        <f t="shared" ref="F49:F50" si="4">E49/D49</f>
        <v>0.64665213559322032</v>
      </c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  <c r="AI49" s="395"/>
      <c r="AJ49" s="395"/>
      <c r="AK49" s="395"/>
      <c r="AL49" s="395"/>
      <c r="AM49" s="395"/>
      <c r="AN49" s="395"/>
      <c r="AO49" s="395"/>
      <c r="AP49" s="395"/>
      <c r="AQ49" s="395"/>
      <c r="AR49" s="395"/>
      <c r="AS49" s="395"/>
      <c r="AT49" s="395"/>
      <c r="AU49" s="395"/>
      <c r="AV49" s="395"/>
      <c r="AW49" s="395"/>
      <c r="AX49" s="395"/>
      <c r="AY49" s="395"/>
      <c r="AZ49" s="395"/>
      <c r="BA49" s="395"/>
      <c r="BB49" s="395"/>
      <c r="BC49" s="395"/>
      <c r="BD49" s="395"/>
      <c r="BE49" s="395"/>
      <c r="BF49" s="395"/>
      <c r="BG49" s="395"/>
      <c r="BH49" s="395"/>
      <c r="BI49" s="395"/>
      <c r="BJ49" s="395"/>
      <c r="BK49" s="395"/>
      <c r="BL49" s="395"/>
      <c r="BM49" s="395"/>
      <c r="BN49" s="395"/>
      <c r="BO49" s="395"/>
      <c r="BP49" s="395"/>
      <c r="BQ49" s="395"/>
      <c r="BR49" s="395"/>
      <c r="BS49" s="395"/>
      <c r="BT49" s="395"/>
      <c r="BU49" s="395"/>
    </row>
    <row r="50" spans="1:125" s="401" customFormat="1" ht="28.5" customHeight="1" thickBot="1">
      <c r="A50" s="638" t="s">
        <v>644</v>
      </c>
      <c r="B50" s="398"/>
      <c r="C50" s="399">
        <f>SUM(B51:B51)</f>
        <v>2000000</v>
      </c>
      <c r="D50" s="543">
        <f t="shared" si="3"/>
        <v>2000000</v>
      </c>
      <c r="E50" s="543"/>
      <c r="F50" s="569">
        <f t="shared" si="4"/>
        <v>0</v>
      </c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400"/>
      <c r="AF50" s="400"/>
      <c r="AG50" s="400"/>
      <c r="AH50" s="400"/>
      <c r="AI50" s="400"/>
      <c r="AJ50" s="400"/>
      <c r="AK50" s="400"/>
      <c r="AL50" s="400"/>
      <c r="AM50" s="400"/>
      <c r="AN50" s="400"/>
      <c r="AO50" s="400"/>
      <c r="AP50" s="400"/>
      <c r="AQ50" s="400"/>
      <c r="AR50" s="400"/>
      <c r="AS50" s="400"/>
      <c r="AT50" s="400"/>
      <c r="AU50" s="400"/>
      <c r="AV50" s="400"/>
      <c r="AW50" s="400"/>
      <c r="AX50" s="400"/>
      <c r="AY50" s="400"/>
      <c r="AZ50" s="400"/>
      <c r="BA50" s="400"/>
      <c r="BB50" s="400"/>
      <c r="BC50" s="400"/>
      <c r="BD50" s="400"/>
      <c r="BE50" s="400"/>
      <c r="BF50" s="400"/>
      <c r="BG50" s="400"/>
      <c r="BH50" s="400"/>
      <c r="BI50" s="400"/>
      <c r="BJ50" s="400"/>
      <c r="BK50" s="400"/>
      <c r="BL50" s="400"/>
      <c r="BM50" s="400"/>
      <c r="BN50" s="400"/>
      <c r="BO50" s="400"/>
      <c r="BP50" s="400"/>
      <c r="BQ50" s="400"/>
      <c r="BR50" s="400"/>
      <c r="BS50" s="400"/>
      <c r="BT50" s="400"/>
      <c r="BU50" s="400"/>
    </row>
    <row r="51" spans="1:125" s="396" customFormat="1" ht="19.5" customHeight="1" thickBot="1">
      <c r="A51" s="397" t="s">
        <v>645</v>
      </c>
      <c r="B51" s="393">
        <v>2000000</v>
      </c>
      <c r="C51" s="394"/>
      <c r="D51" s="425"/>
      <c r="E51" s="425"/>
      <c r="F51" s="707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A51" s="395"/>
      <c r="AB51" s="395"/>
      <c r="AC51" s="395"/>
      <c r="AD51" s="395"/>
      <c r="AE51" s="395"/>
      <c r="AF51" s="395"/>
      <c r="AG51" s="395"/>
      <c r="AH51" s="395"/>
      <c r="AI51" s="395"/>
      <c r="AJ51" s="395"/>
      <c r="AK51" s="395"/>
      <c r="AL51" s="395"/>
      <c r="AM51" s="395"/>
      <c r="AN51" s="395"/>
      <c r="AO51" s="395"/>
      <c r="AP51" s="395"/>
      <c r="AQ51" s="395"/>
      <c r="AR51" s="395"/>
      <c r="AS51" s="395"/>
      <c r="AT51" s="395"/>
      <c r="AU51" s="395"/>
      <c r="AV51" s="395"/>
      <c r="AW51" s="395"/>
      <c r="AX51" s="395"/>
      <c r="AY51" s="395"/>
      <c r="AZ51" s="395"/>
      <c r="BA51" s="395"/>
      <c r="BB51" s="395"/>
      <c r="BC51" s="395"/>
      <c r="BD51" s="395"/>
      <c r="BE51" s="395"/>
      <c r="BF51" s="395"/>
      <c r="BG51" s="395"/>
      <c r="BH51" s="395"/>
      <c r="BI51" s="395"/>
      <c r="BJ51" s="395"/>
      <c r="BK51" s="395"/>
      <c r="BL51" s="395"/>
      <c r="BM51" s="395"/>
      <c r="BN51" s="395"/>
      <c r="BO51" s="395"/>
      <c r="BP51" s="395"/>
      <c r="BQ51" s="395"/>
      <c r="BR51" s="395"/>
      <c r="BS51" s="395"/>
      <c r="BT51" s="395"/>
      <c r="BU51" s="395"/>
    </row>
    <row r="52" spans="1:125" s="396" customFormat="1" ht="29.25" customHeight="1" thickBot="1">
      <c r="A52" s="638" t="s">
        <v>458</v>
      </c>
      <c r="B52" s="393"/>
      <c r="C52" s="399">
        <v>4720000</v>
      </c>
      <c r="D52" s="543">
        <f>SUM(B53:B54)</f>
        <v>2320000</v>
      </c>
      <c r="E52" s="543">
        <f>6034891+211300</f>
        <v>6246191</v>
      </c>
      <c r="F52" s="569">
        <f>E52/D52</f>
        <v>2.6923237068965515</v>
      </c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395"/>
      <c r="AE52" s="395"/>
      <c r="AF52" s="395"/>
      <c r="AG52" s="395"/>
      <c r="AH52" s="395"/>
      <c r="AI52" s="395"/>
      <c r="AJ52" s="395"/>
      <c r="AK52" s="395"/>
      <c r="AL52" s="395"/>
      <c r="AM52" s="395"/>
      <c r="AN52" s="395"/>
      <c r="AO52" s="395"/>
      <c r="AP52" s="395"/>
      <c r="AQ52" s="395"/>
      <c r="AR52" s="395"/>
      <c r="AS52" s="395"/>
      <c r="AT52" s="395"/>
      <c r="AU52" s="395"/>
      <c r="AV52" s="395"/>
      <c r="AW52" s="395"/>
      <c r="AX52" s="395"/>
      <c r="AY52" s="395"/>
      <c r="AZ52" s="395"/>
      <c r="BA52" s="395"/>
      <c r="BB52" s="395"/>
      <c r="BC52" s="395"/>
      <c r="BD52" s="395"/>
      <c r="BE52" s="395"/>
      <c r="BF52" s="395"/>
      <c r="BG52" s="395"/>
      <c r="BH52" s="395"/>
      <c r="BI52" s="395"/>
      <c r="BJ52" s="395"/>
      <c r="BK52" s="395"/>
      <c r="BL52" s="395"/>
      <c r="BM52" s="395"/>
      <c r="BN52" s="395"/>
      <c r="BO52" s="395"/>
      <c r="BP52" s="395"/>
      <c r="BQ52" s="395"/>
      <c r="BR52" s="395"/>
      <c r="BS52" s="395"/>
      <c r="BT52" s="395"/>
      <c r="BU52" s="395"/>
    </row>
    <row r="53" spans="1:125" s="396" customFormat="1" ht="39.75" customHeight="1" thickBot="1">
      <c r="A53" s="397" t="s">
        <v>459</v>
      </c>
      <c r="B53" s="425">
        <f>4000000-2400000</f>
        <v>1600000</v>
      </c>
      <c r="C53" s="399"/>
      <c r="D53" s="543"/>
      <c r="E53" s="543"/>
      <c r="F53" s="569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5"/>
      <c r="AC53" s="395"/>
      <c r="AD53" s="395"/>
      <c r="AE53" s="395"/>
      <c r="AF53" s="395"/>
      <c r="AG53" s="395"/>
      <c r="AH53" s="395"/>
      <c r="AI53" s="395"/>
      <c r="AJ53" s="395"/>
      <c r="AK53" s="395"/>
      <c r="AL53" s="395"/>
      <c r="AM53" s="395"/>
      <c r="AN53" s="395"/>
      <c r="AO53" s="395"/>
      <c r="AP53" s="395"/>
      <c r="AQ53" s="395"/>
      <c r="AR53" s="395"/>
      <c r="AS53" s="395"/>
      <c r="AT53" s="395"/>
      <c r="AU53" s="395"/>
      <c r="AV53" s="395"/>
      <c r="AW53" s="395"/>
      <c r="AX53" s="395"/>
      <c r="AY53" s="395"/>
      <c r="AZ53" s="395"/>
      <c r="BA53" s="395"/>
      <c r="BB53" s="395"/>
      <c r="BC53" s="395"/>
      <c r="BD53" s="395"/>
      <c r="BE53" s="395"/>
      <c r="BF53" s="395"/>
      <c r="BG53" s="395"/>
      <c r="BH53" s="395"/>
      <c r="BI53" s="395"/>
      <c r="BJ53" s="395"/>
      <c r="BK53" s="395"/>
      <c r="BL53" s="395"/>
      <c r="BM53" s="395"/>
      <c r="BN53" s="395"/>
      <c r="BO53" s="395"/>
      <c r="BP53" s="395"/>
      <c r="BQ53" s="395"/>
      <c r="BR53" s="395"/>
      <c r="BS53" s="395"/>
      <c r="BT53" s="395"/>
      <c r="BU53" s="395"/>
    </row>
    <row r="54" spans="1:125" s="435" customFormat="1" ht="21" customHeight="1" thickBot="1">
      <c r="A54" s="397" t="s">
        <v>838</v>
      </c>
      <c r="B54" s="425">
        <v>720000</v>
      </c>
      <c r="C54" s="543"/>
      <c r="D54" s="543"/>
      <c r="E54" s="543"/>
      <c r="F54" s="569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  <c r="BA54" s="278"/>
      <c r="BB54" s="278"/>
      <c r="BC54" s="278"/>
      <c r="BD54" s="278"/>
      <c r="BE54" s="278"/>
      <c r="BF54" s="278"/>
      <c r="BG54" s="278"/>
      <c r="BH54" s="278"/>
      <c r="BI54" s="278"/>
      <c r="BJ54" s="278"/>
      <c r="BK54" s="278"/>
      <c r="BL54" s="278"/>
      <c r="BM54" s="278"/>
      <c r="BN54" s="278"/>
      <c r="BO54" s="278"/>
      <c r="BP54" s="278"/>
      <c r="BQ54" s="278"/>
      <c r="BR54" s="278"/>
      <c r="BS54" s="278"/>
      <c r="BT54" s="278"/>
      <c r="BU54" s="278"/>
      <c r="BV54" s="278"/>
      <c r="BW54" s="278"/>
      <c r="BX54" s="278"/>
      <c r="BY54" s="278"/>
      <c r="BZ54" s="278"/>
      <c r="CA54" s="278"/>
      <c r="CB54" s="278"/>
      <c r="CC54" s="278"/>
      <c r="CD54" s="278"/>
      <c r="CE54" s="278"/>
      <c r="CF54" s="278"/>
      <c r="CG54" s="278"/>
      <c r="CH54" s="278"/>
      <c r="CI54" s="278"/>
      <c r="CJ54" s="278"/>
      <c r="CK54" s="278"/>
      <c r="CL54" s="278"/>
      <c r="CM54" s="278"/>
      <c r="CN54" s="278"/>
      <c r="CO54" s="278"/>
      <c r="CP54" s="278"/>
      <c r="CQ54" s="278"/>
      <c r="CR54" s="278"/>
      <c r="CS54" s="278"/>
      <c r="CT54" s="278"/>
      <c r="CU54" s="278"/>
      <c r="CV54" s="278"/>
      <c r="CW54" s="278"/>
      <c r="CX54" s="278"/>
      <c r="CY54" s="278"/>
      <c r="CZ54" s="278"/>
      <c r="DA54" s="278"/>
      <c r="DB54" s="278"/>
      <c r="DC54" s="278"/>
      <c r="DD54" s="278"/>
      <c r="DE54" s="278"/>
      <c r="DF54" s="278"/>
      <c r="DG54" s="278"/>
      <c r="DH54" s="278"/>
      <c r="DI54" s="278"/>
      <c r="DJ54" s="278"/>
      <c r="DK54" s="278"/>
      <c r="DL54" s="278"/>
      <c r="DM54" s="278"/>
      <c r="DN54" s="278"/>
      <c r="DO54" s="278"/>
      <c r="DP54" s="278"/>
      <c r="DQ54" s="278"/>
      <c r="DR54" s="278"/>
      <c r="DS54" s="278"/>
      <c r="DT54" s="278"/>
      <c r="DU54" s="278"/>
    </row>
    <row r="55" spans="1:125" s="396" customFormat="1" ht="22.5" customHeight="1" thickBot="1">
      <c r="A55" s="638" t="s">
        <v>460</v>
      </c>
      <c r="B55" s="393"/>
      <c r="C55" s="399">
        <v>150000</v>
      </c>
      <c r="D55" s="543">
        <f t="shared" ref="D55:D57" si="5">SUM(C55)</f>
        <v>150000</v>
      </c>
      <c r="E55" s="543">
        <v>0</v>
      </c>
      <c r="F55" s="569">
        <f t="shared" ref="F55:F57" si="6">E55/D55</f>
        <v>0</v>
      </c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95"/>
      <c r="AH55" s="395"/>
      <c r="AI55" s="395"/>
      <c r="AJ55" s="395"/>
      <c r="AK55" s="395"/>
      <c r="AL55" s="395"/>
      <c r="AM55" s="395"/>
      <c r="AN55" s="395"/>
      <c r="AO55" s="395"/>
      <c r="AP55" s="395"/>
      <c r="AQ55" s="395"/>
      <c r="AR55" s="395"/>
      <c r="AS55" s="395"/>
      <c r="AT55" s="395"/>
      <c r="AU55" s="395"/>
      <c r="AV55" s="395"/>
      <c r="AW55" s="395"/>
      <c r="AX55" s="395"/>
      <c r="AY55" s="395"/>
      <c r="AZ55" s="395"/>
      <c r="BA55" s="395"/>
      <c r="BB55" s="395"/>
      <c r="BC55" s="395"/>
      <c r="BD55" s="395"/>
      <c r="BE55" s="395"/>
      <c r="BF55" s="395"/>
      <c r="BG55" s="395"/>
      <c r="BH55" s="395"/>
      <c r="BI55" s="395"/>
      <c r="BJ55" s="395"/>
      <c r="BK55" s="395"/>
      <c r="BL55" s="395"/>
      <c r="BM55" s="395"/>
      <c r="BN55" s="395"/>
      <c r="BO55" s="395"/>
      <c r="BP55" s="395"/>
      <c r="BQ55" s="395"/>
      <c r="BR55" s="395"/>
      <c r="BS55" s="395"/>
      <c r="BT55" s="395"/>
      <c r="BU55" s="395"/>
    </row>
    <row r="56" spans="1:125" s="541" customFormat="1" ht="66.75" customHeight="1" thickBot="1">
      <c r="A56" s="537" t="s">
        <v>456</v>
      </c>
      <c r="B56" s="550"/>
      <c r="C56" s="539" t="s">
        <v>343</v>
      </c>
      <c r="D56" s="673" t="s">
        <v>344</v>
      </c>
      <c r="E56" s="673" t="s">
        <v>285</v>
      </c>
      <c r="F56" s="704" t="s">
        <v>286</v>
      </c>
      <c r="G56" s="278"/>
      <c r="H56" s="540"/>
      <c r="I56" s="540"/>
      <c r="J56" s="540"/>
      <c r="K56" s="540"/>
      <c r="L56" s="540"/>
      <c r="M56" s="540"/>
      <c r="N56" s="540"/>
      <c r="O56" s="540"/>
      <c r="P56" s="540"/>
      <c r="Q56" s="540"/>
      <c r="R56" s="540"/>
      <c r="S56" s="540"/>
      <c r="T56" s="540"/>
      <c r="U56" s="540"/>
      <c r="V56" s="540"/>
      <c r="W56" s="540"/>
      <c r="X56" s="540"/>
      <c r="Y56" s="540"/>
      <c r="Z56" s="540"/>
      <c r="AA56" s="540"/>
      <c r="AB56" s="540"/>
      <c r="AC56" s="540"/>
      <c r="AD56" s="540"/>
      <c r="AE56" s="540"/>
      <c r="AF56" s="540"/>
      <c r="AG56" s="540"/>
      <c r="AH56" s="540"/>
      <c r="AI56" s="540"/>
      <c r="AJ56" s="540"/>
      <c r="AK56" s="540"/>
      <c r="AL56" s="540"/>
      <c r="AM56" s="540"/>
      <c r="AN56" s="540"/>
      <c r="AO56" s="540"/>
      <c r="AP56" s="540"/>
      <c r="AQ56" s="540"/>
      <c r="AR56" s="540"/>
      <c r="AS56" s="540"/>
      <c r="AT56" s="540"/>
      <c r="AU56" s="540"/>
      <c r="AV56" s="540"/>
      <c r="AW56" s="540"/>
      <c r="AX56" s="540"/>
      <c r="AY56" s="540"/>
      <c r="AZ56" s="540"/>
      <c r="BA56" s="540"/>
      <c r="BB56" s="540"/>
      <c r="BC56" s="540"/>
      <c r="BD56" s="540"/>
      <c r="BE56" s="540"/>
      <c r="BF56" s="540"/>
      <c r="BG56" s="540"/>
      <c r="BH56" s="540"/>
      <c r="BI56" s="540"/>
      <c r="BJ56" s="540"/>
      <c r="BK56" s="540"/>
      <c r="BL56" s="540"/>
      <c r="BM56" s="540"/>
      <c r="BN56" s="540"/>
      <c r="BO56" s="540"/>
      <c r="BP56" s="540"/>
      <c r="BQ56" s="540"/>
      <c r="BR56" s="540"/>
      <c r="BS56" s="540"/>
      <c r="BT56" s="540"/>
      <c r="BU56" s="540"/>
    </row>
    <row r="57" spans="1:125" s="396" customFormat="1" ht="22.5" customHeight="1" thickBot="1">
      <c r="A57" s="638" t="s">
        <v>461</v>
      </c>
      <c r="B57" s="393"/>
      <c r="C57" s="399">
        <f>SUM(B58:B58)</f>
        <v>1223772</v>
      </c>
      <c r="D57" s="543">
        <f t="shared" si="5"/>
        <v>1223772</v>
      </c>
      <c r="E57" s="543">
        <v>917829</v>
      </c>
      <c r="F57" s="569">
        <f t="shared" si="6"/>
        <v>0.75</v>
      </c>
      <c r="G57" s="395"/>
      <c r="H57" s="395"/>
      <c r="I57" s="395"/>
      <c r="J57" s="395"/>
      <c r="K57" s="395"/>
      <c r="L57" s="395"/>
      <c r="M57" s="395"/>
      <c r="N57" s="395"/>
      <c r="O57" s="395"/>
      <c r="P57" s="395"/>
      <c r="Q57" s="395"/>
      <c r="R57" s="395"/>
      <c r="S57" s="395"/>
      <c r="T57" s="395"/>
      <c r="U57" s="395"/>
      <c r="V57" s="395"/>
      <c r="W57" s="395"/>
      <c r="X57" s="395"/>
      <c r="Y57" s="395"/>
      <c r="Z57" s="395"/>
      <c r="AA57" s="395"/>
      <c r="AB57" s="395"/>
      <c r="AC57" s="395"/>
      <c r="AD57" s="395"/>
      <c r="AE57" s="395"/>
      <c r="AF57" s="395"/>
      <c r="AG57" s="395"/>
      <c r="AH57" s="395"/>
      <c r="AI57" s="395"/>
      <c r="AJ57" s="395"/>
      <c r="AK57" s="395"/>
      <c r="AL57" s="395"/>
      <c r="AM57" s="395"/>
      <c r="AN57" s="395"/>
      <c r="AO57" s="395"/>
      <c r="AP57" s="395"/>
      <c r="AQ57" s="395"/>
      <c r="AR57" s="395"/>
      <c r="AS57" s="395"/>
      <c r="AT57" s="395"/>
      <c r="AU57" s="395"/>
      <c r="AV57" s="395"/>
      <c r="AW57" s="395"/>
      <c r="AX57" s="395"/>
      <c r="AY57" s="395"/>
      <c r="AZ57" s="395"/>
      <c r="BA57" s="395"/>
      <c r="BB57" s="395"/>
      <c r="BC57" s="395"/>
      <c r="BD57" s="395"/>
      <c r="BE57" s="395"/>
      <c r="BF57" s="395"/>
      <c r="BG57" s="395"/>
      <c r="BH57" s="395"/>
      <c r="BI57" s="395"/>
      <c r="BJ57" s="395"/>
      <c r="BK57" s="395"/>
      <c r="BL57" s="395"/>
      <c r="BM57" s="395"/>
      <c r="BN57" s="395"/>
      <c r="BO57" s="395"/>
      <c r="BP57" s="395"/>
      <c r="BQ57" s="395"/>
      <c r="BR57" s="395"/>
      <c r="BS57" s="395"/>
      <c r="BT57" s="395"/>
      <c r="BU57" s="395"/>
    </row>
    <row r="58" spans="1:125" s="396" customFormat="1" ht="22.5" customHeight="1" thickBot="1">
      <c r="A58" s="397" t="s">
        <v>839</v>
      </c>
      <c r="B58" s="393">
        <f>963600*1.27</f>
        <v>1223772</v>
      </c>
      <c r="C58" s="399"/>
      <c r="D58" s="543"/>
      <c r="E58" s="543"/>
      <c r="F58" s="569"/>
      <c r="G58" s="395"/>
      <c r="H58" s="395"/>
      <c r="I58" s="395"/>
      <c r="J58" s="395"/>
      <c r="K58" s="395"/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5"/>
      <c r="Y58" s="395"/>
      <c r="Z58" s="395"/>
      <c r="AA58" s="395"/>
      <c r="AB58" s="395"/>
      <c r="AC58" s="395"/>
      <c r="AD58" s="395"/>
      <c r="AE58" s="395"/>
      <c r="AF58" s="395"/>
      <c r="AG58" s="395"/>
      <c r="AH58" s="395"/>
      <c r="AI58" s="395"/>
      <c r="AJ58" s="395"/>
      <c r="AK58" s="395"/>
      <c r="AL58" s="395"/>
      <c r="AM58" s="395"/>
      <c r="AN58" s="395"/>
      <c r="AO58" s="395"/>
      <c r="AP58" s="395"/>
      <c r="AQ58" s="395"/>
      <c r="AR58" s="395"/>
      <c r="AS58" s="395"/>
      <c r="AT58" s="395"/>
      <c r="AU58" s="395"/>
      <c r="AV58" s="395"/>
      <c r="AW58" s="395"/>
      <c r="AX58" s="395"/>
      <c r="AY58" s="395"/>
      <c r="AZ58" s="395"/>
      <c r="BA58" s="395"/>
      <c r="BB58" s="395"/>
      <c r="BC58" s="395"/>
      <c r="BD58" s="395"/>
      <c r="BE58" s="395"/>
      <c r="BF58" s="395"/>
      <c r="BG58" s="395"/>
      <c r="BH58" s="395"/>
      <c r="BI58" s="395"/>
      <c r="BJ58" s="395"/>
      <c r="BK58" s="395"/>
      <c r="BL58" s="395"/>
      <c r="BM58" s="395"/>
      <c r="BN58" s="395"/>
      <c r="BO58" s="395"/>
      <c r="BP58" s="395"/>
      <c r="BQ58" s="395"/>
      <c r="BR58" s="395"/>
      <c r="BS58" s="395"/>
      <c r="BT58" s="395"/>
      <c r="BU58" s="395"/>
    </row>
    <row r="59" spans="1:125" s="396" customFormat="1" ht="22.5" customHeight="1" thickBot="1">
      <c r="A59" s="638" t="s">
        <v>462</v>
      </c>
      <c r="B59" s="393"/>
      <c r="C59" s="399">
        <f>SUM(B61:B63)</f>
        <v>21126250</v>
      </c>
      <c r="D59" s="543">
        <f>SUM(B61:B64)</f>
        <v>21963250</v>
      </c>
      <c r="E59" s="543">
        <f>846853+19346000</f>
        <v>20192853</v>
      </c>
      <c r="F59" s="315">
        <f>E59/D59</f>
        <v>0.91939275835771117</v>
      </c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395"/>
      <c r="Y59" s="395"/>
      <c r="Z59" s="395"/>
      <c r="AA59" s="395"/>
      <c r="AB59" s="395"/>
      <c r="AC59" s="395"/>
      <c r="AD59" s="395"/>
      <c r="AE59" s="395"/>
      <c r="AF59" s="395"/>
      <c r="AG59" s="395"/>
      <c r="AH59" s="395"/>
      <c r="AI59" s="395"/>
      <c r="AJ59" s="395"/>
      <c r="AK59" s="395"/>
      <c r="AL59" s="395"/>
      <c r="AM59" s="395"/>
      <c r="AN59" s="395"/>
      <c r="AO59" s="395"/>
      <c r="AP59" s="395"/>
      <c r="AQ59" s="395"/>
      <c r="AR59" s="395"/>
      <c r="AS59" s="395"/>
      <c r="AT59" s="395"/>
      <c r="AU59" s="395"/>
      <c r="AV59" s="395"/>
      <c r="AW59" s="395"/>
      <c r="AX59" s="395"/>
      <c r="AY59" s="395"/>
      <c r="AZ59" s="395"/>
      <c r="BA59" s="395"/>
      <c r="BB59" s="395"/>
      <c r="BC59" s="395"/>
      <c r="BD59" s="395"/>
      <c r="BE59" s="395"/>
      <c r="BF59" s="395"/>
      <c r="BG59" s="395"/>
      <c r="BH59" s="395"/>
      <c r="BI59" s="395"/>
      <c r="BJ59" s="395"/>
      <c r="BK59" s="395"/>
      <c r="BL59" s="395"/>
      <c r="BM59" s="395"/>
      <c r="BN59" s="395"/>
      <c r="BO59" s="395"/>
      <c r="BP59" s="395"/>
      <c r="BQ59" s="395"/>
      <c r="BR59" s="395"/>
      <c r="BS59" s="395"/>
      <c r="BT59" s="395"/>
      <c r="BU59" s="395"/>
    </row>
    <row r="60" spans="1:125" s="396" customFormat="1" ht="22.5" customHeight="1" thickBot="1">
      <c r="A60" s="397" t="s">
        <v>427</v>
      </c>
      <c r="B60" s="393"/>
      <c r="C60" s="399"/>
      <c r="D60" s="543"/>
      <c r="E60" s="543"/>
      <c r="F60" s="569"/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95"/>
      <c r="R60" s="395"/>
      <c r="S60" s="395"/>
      <c r="T60" s="395"/>
      <c r="U60" s="395"/>
      <c r="V60" s="395"/>
      <c r="W60" s="395"/>
      <c r="X60" s="395"/>
      <c r="Y60" s="395"/>
      <c r="Z60" s="395"/>
      <c r="AA60" s="395"/>
      <c r="AB60" s="395"/>
      <c r="AC60" s="395"/>
      <c r="AD60" s="395"/>
      <c r="AE60" s="395"/>
      <c r="AF60" s="395"/>
      <c r="AG60" s="395"/>
      <c r="AH60" s="395"/>
      <c r="AI60" s="395"/>
      <c r="AJ60" s="395"/>
      <c r="AK60" s="395"/>
      <c r="AL60" s="395"/>
      <c r="AM60" s="395"/>
      <c r="AN60" s="395"/>
      <c r="AO60" s="395"/>
      <c r="AP60" s="395"/>
      <c r="AQ60" s="395"/>
      <c r="AR60" s="395"/>
      <c r="AS60" s="395"/>
      <c r="AT60" s="395"/>
      <c r="AU60" s="395"/>
      <c r="AV60" s="395"/>
      <c r="AW60" s="395"/>
      <c r="AX60" s="395"/>
      <c r="AY60" s="395"/>
      <c r="AZ60" s="395"/>
      <c r="BA60" s="395"/>
      <c r="BB60" s="395"/>
      <c r="BC60" s="395"/>
      <c r="BD60" s="395"/>
      <c r="BE60" s="395"/>
      <c r="BF60" s="395"/>
      <c r="BG60" s="395"/>
      <c r="BH60" s="395"/>
      <c r="BI60" s="395"/>
      <c r="BJ60" s="395"/>
      <c r="BK60" s="395"/>
      <c r="BL60" s="395"/>
      <c r="BM60" s="395"/>
      <c r="BN60" s="395"/>
      <c r="BO60" s="395"/>
      <c r="BP60" s="395"/>
      <c r="BQ60" s="395"/>
      <c r="BR60" s="395"/>
      <c r="BS60" s="395"/>
      <c r="BT60" s="395"/>
      <c r="BU60" s="395"/>
    </row>
    <row r="61" spans="1:125" s="396" customFormat="1" ht="22.5" customHeight="1" thickBot="1">
      <c r="A61" s="397" t="s">
        <v>463</v>
      </c>
      <c r="B61" s="393">
        <v>50000</v>
      </c>
      <c r="C61" s="399"/>
      <c r="D61" s="543"/>
      <c r="E61" s="543"/>
      <c r="F61" s="569"/>
      <c r="G61" s="395"/>
      <c r="H61" s="395"/>
      <c r="I61" s="395"/>
      <c r="J61" s="395"/>
      <c r="K61" s="395"/>
      <c r="L61" s="395"/>
      <c r="M61" s="395"/>
      <c r="N61" s="395"/>
      <c r="O61" s="395"/>
      <c r="P61" s="395"/>
      <c r="Q61" s="395"/>
      <c r="R61" s="395"/>
      <c r="S61" s="395"/>
      <c r="T61" s="395"/>
      <c r="U61" s="395"/>
      <c r="V61" s="395"/>
      <c r="W61" s="395"/>
      <c r="X61" s="395"/>
      <c r="Y61" s="395"/>
      <c r="Z61" s="395"/>
      <c r="AA61" s="395"/>
      <c r="AB61" s="395"/>
      <c r="AC61" s="395"/>
      <c r="AD61" s="395"/>
      <c r="AE61" s="395"/>
      <c r="AF61" s="395"/>
      <c r="AG61" s="395"/>
      <c r="AH61" s="395"/>
      <c r="AI61" s="395"/>
      <c r="AJ61" s="395"/>
      <c r="AK61" s="395"/>
      <c r="AL61" s="395"/>
      <c r="AM61" s="395"/>
      <c r="AN61" s="395"/>
      <c r="AO61" s="395"/>
      <c r="AP61" s="395"/>
      <c r="AQ61" s="395"/>
      <c r="AR61" s="395"/>
      <c r="AS61" s="395"/>
      <c r="AT61" s="395"/>
      <c r="AU61" s="395"/>
      <c r="AV61" s="395"/>
      <c r="AW61" s="395"/>
      <c r="AX61" s="395"/>
      <c r="AY61" s="395"/>
      <c r="AZ61" s="395"/>
      <c r="BA61" s="395"/>
      <c r="BB61" s="395"/>
      <c r="BC61" s="395"/>
      <c r="BD61" s="395"/>
      <c r="BE61" s="395"/>
      <c r="BF61" s="395"/>
      <c r="BG61" s="395"/>
      <c r="BH61" s="395"/>
      <c r="BI61" s="395"/>
      <c r="BJ61" s="395"/>
      <c r="BK61" s="395"/>
      <c r="BL61" s="395"/>
      <c r="BM61" s="395"/>
      <c r="BN61" s="395"/>
      <c r="BO61" s="395"/>
      <c r="BP61" s="395"/>
      <c r="BQ61" s="395"/>
      <c r="BR61" s="395"/>
      <c r="BS61" s="395"/>
      <c r="BT61" s="395"/>
      <c r="BU61" s="395"/>
    </row>
    <row r="62" spans="1:125" s="396" customFormat="1" ht="22.5" customHeight="1" thickBot="1">
      <c r="A62" s="397" t="s">
        <v>647</v>
      </c>
      <c r="B62" s="393">
        <v>1000000</v>
      </c>
      <c r="C62" s="399"/>
      <c r="D62" s="543"/>
      <c r="E62" s="543"/>
      <c r="F62" s="569"/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S62" s="395"/>
      <c r="T62" s="395"/>
      <c r="U62" s="395"/>
      <c r="V62" s="395"/>
      <c r="W62" s="395"/>
      <c r="X62" s="395"/>
      <c r="Y62" s="395"/>
      <c r="Z62" s="395"/>
      <c r="AA62" s="395"/>
      <c r="AB62" s="395"/>
      <c r="AC62" s="395"/>
      <c r="AD62" s="395"/>
      <c r="AE62" s="395"/>
      <c r="AF62" s="395"/>
      <c r="AG62" s="395"/>
      <c r="AH62" s="395"/>
      <c r="AI62" s="395"/>
      <c r="AJ62" s="395"/>
      <c r="AK62" s="395"/>
      <c r="AL62" s="395"/>
      <c r="AM62" s="395"/>
      <c r="AN62" s="395"/>
      <c r="AO62" s="395"/>
      <c r="AP62" s="395"/>
      <c r="AQ62" s="395"/>
      <c r="AR62" s="395"/>
      <c r="AS62" s="395"/>
      <c r="AT62" s="395"/>
      <c r="AU62" s="395"/>
      <c r="AV62" s="395"/>
      <c r="AW62" s="395"/>
      <c r="AX62" s="395"/>
      <c r="AY62" s="395"/>
      <c r="AZ62" s="395"/>
      <c r="BA62" s="395"/>
      <c r="BB62" s="395"/>
      <c r="BC62" s="395"/>
      <c r="BD62" s="395"/>
      <c r="BE62" s="395"/>
      <c r="BF62" s="395"/>
      <c r="BG62" s="395"/>
      <c r="BH62" s="395"/>
      <c r="BI62" s="395"/>
      <c r="BJ62" s="395"/>
      <c r="BK62" s="395"/>
      <c r="BL62" s="395"/>
      <c r="BM62" s="395"/>
      <c r="BN62" s="395"/>
      <c r="BO62" s="395"/>
      <c r="BP62" s="395"/>
      <c r="BQ62" s="395"/>
      <c r="BR62" s="395"/>
      <c r="BS62" s="395"/>
      <c r="BT62" s="395"/>
      <c r="BU62" s="395"/>
    </row>
    <row r="63" spans="1:125" s="396" customFormat="1" ht="22.5" customHeight="1" thickBot="1">
      <c r="A63" s="397" t="s">
        <v>841</v>
      </c>
      <c r="B63" s="393">
        <v>20076250</v>
      </c>
      <c r="C63" s="399"/>
      <c r="D63" s="543"/>
      <c r="E63" s="543"/>
      <c r="F63" s="569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  <c r="AC63" s="395"/>
      <c r="AD63" s="395"/>
      <c r="AE63" s="395"/>
      <c r="AF63" s="395"/>
      <c r="AG63" s="395"/>
      <c r="AH63" s="395"/>
      <c r="AI63" s="395"/>
      <c r="AJ63" s="395"/>
      <c r="AK63" s="395"/>
      <c r="AL63" s="395"/>
      <c r="AM63" s="395"/>
      <c r="AN63" s="395"/>
      <c r="AO63" s="395"/>
      <c r="AP63" s="395"/>
      <c r="AQ63" s="395"/>
      <c r="AR63" s="395"/>
      <c r="AS63" s="395"/>
      <c r="AT63" s="395"/>
      <c r="AU63" s="395"/>
      <c r="AV63" s="395"/>
      <c r="AW63" s="395"/>
      <c r="AX63" s="395"/>
      <c r="AY63" s="395"/>
      <c r="AZ63" s="395"/>
      <c r="BA63" s="395"/>
      <c r="BB63" s="395"/>
      <c r="BC63" s="395"/>
      <c r="BD63" s="395"/>
      <c r="BE63" s="395"/>
      <c r="BF63" s="395"/>
      <c r="BG63" s="395"/>
      <c r="BH63" s="395"/>
      <c r="BI63" s="395"/>
      <c r="BJ63" s="395"/>
      <c r="BK63" s="395"/>
      <c r="BL63" s="395"/>
      <c r="BM63" s="395"/>
      <c r="BN63" s="395"/>
      <c r="BO63" s="395"/>
      <c r="BP63" s="395"/>
      <c r="BQ63" s="395"/>
      <c r="BR63" s="395"/>
      <c r="BS63" s="395"/>
      <c r="BT63" s="395"/>
      <c r="BU63" s="395"/>
    </row>
    <row r="64" spans="1:125" s="396" customFormat="1" ht="22.5" customHeight="1" thickBot="1">
      <c r="A64" s="397" t="s">
        <v>842</v>
      </c>
      <c r="B64" s="393">
        <v>837000</v>
      </c>
      <c r="C64" s="399"/>
      <c r="D64" s="543"/>
      <c r="E64" s="543"/>
      <c r="F64" s="569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  <c r="X64" s="395"/>
      <c r="Y64" s="395"/>
      <c r="Z64" s="395"/>
      <c r="AA64" s="395"/>
      <c r="AB64" s="395"/>
      <c r="AC64" s="395"/>
      <c r="AD64" s="395"/>
      <c r="AE64" s="395"/>
      <c r="AF64" s="395"/>
      <c r="AG64" s="395"/>
      <c r="AH64" s="395"/>
      <c r="AI64" s="395"/>
      <c r="AJ64" s="395"/>
      <c r="AK64" s="395"/>
      <c r="AL64" s="395"/>
      <c r="AM64" s="395"/>
      <c r="AN64" s="395"/>
      <c r="AO64" s="395"/>
      <c r="AP64" s="395"/>
      <c r="AQ64" s="395"/>
      <c r="AR64" s="395"/>
      <c r="AS64" s="395"/>
      <c r="AT64" s="395"/>
      <c r="AU64" s="395"/>
      <c r="AV64" s="395"/>
      <c r="AW64" s="395"/>
      <c r="AX64" s="395"/>
      <c r="AY64" s="395"/>
      <c r="AZ64" s="395"/>
      <c r="BA64" s="395"/>
      <c r="BB64" s="395"/>
      <c r="BC64" s="395"/>
      <c r="BD64" s="395"/>
      <c r="BE64" s="395"/>
      <c r="BF64" s="395"/>
      <c r="BG64" s="395"/>
      <c r="BH64" s="395"/>
      <c r="BI64" s="395"/>
      <c r="BJ64" s="395"/>
      <c r="BK64" s="395"/>
      <c r="BL64" s="395"/>
      <c r="BM64" s="395"/>
      <c r="BN64" s="395"/>
      <c r="BO64" s="395"/>
      <c r="BP64" s="395"/>
      <c r="BQ64" s="395"/>
      <c r="BR64" s="395"/>
      <c r="BS64" s="395"/>
      <c r="BT64" s="395"/>
      <c r="BU64" s="395"/>
    </row>
    <row r="65" spans="1:73" s="401" customFormat="1" ht="22.5" customHeight="1" thickBot="1">
      <c r="A65" s="638" t="s">
        <v>843</v>
      </c>
      <c r="B65" s="398"/>
      <c r="C65" s="399"/>
      <c r="D65" s="543">
        <f>60000+15000</f>
        <v>75000</v>
      </c>
      <c r="E65" s="543">
        <v>487500</v>
      </c>
      <c r="F65" s="569">
        <f t="shared" ref="F65:F66" si="7">E65/D65</f>
        <v>6.5</v>
      </c>
      <c r="G65" s="400"/>
      <c r="H65" s="400"/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  <c r="U65" s="400"/>
      <c r="V65" s="400"/>
      <c r="W65" s="400"/>
      <c r="X65" s="400"/>
      <c r="Y65" s="400"/>
      <c r="Z65" s="400"/>
      <c r="AA65" s="400"/>
      <c r="AB65" s="400"/>
      <c r="AC65" s="400"/>
      <c r="AD65" s="400"/>
      <c r="AE65" s="400"/>
      <c r="AF65" s="400"/>
      <c r="AG65" s="400"/>
      <c r="AH65" s="400"/>
      <c r="AI65" s="400"/>
      <c r="AJ65" s="400"/>
      <c r="AK65" s="400"/>
      <c r="AL65" s="400"/>
      <c r="AM65" s="400"/>
      <c r="AN65" s="400"/>
      <c r="AO65" s="400"/>
      <c r="AP65" s="400"/>
      <c r="AQ65" s="400"/>
      <c r="AR65" s="400"/>
      <c r="AS65" s="400"/>
      <c r="AT65" s="400"/>
      <c r="AU65" s="400"/>
      <c r="AV65" s="400"/>
      <c r="AW65" s="400"/>
      <c r="AX65" s="400"/>
      <c r="AY65" s="400"/>
      <c r="AZ65" s="400"/>
      <c r="BA65" s="400"/>
      <c r="BB65" s="400"/>
      <c r="BC65" s="400"/>
      <c r="BD65" s="400"/>
      <c r="BE65" s="400"/>
      <c r="BF65" s="400"/>
      <c r="BG65" s="400"/>
      <c r="BH65" s="400"/>
      <c r="BI65" s="400"/>
      <c r="BJ65" s="400"/>
      <c r="BK65" s="400"/>
      <c r="BL65" s="400"/>
      <c r="BM65" s="400"/>
      <c r="BN65" s="400"/>
      <c r="BO65" s="400"/>
      <c r="BP65" s="400"/>
      <c r="BQ65" s="400"/>
      <c r="BR65" s="400"/>
      <c r="BS65" s="400"/>
      <c r="BT65" s="400"/>
      <c r="BU65" s="400"/>
    </row>
    <row r="66" spans="1:73" s="396" customFormat="1" ht="22.5" customHeight="1" thickBot="1">
      <c r="A66" s="638" t="s">
        <v>464</v>
      </c>
      <c r="B66" s="393"/>
      <c r="C66" s="399">
        <v>3409188</v>
      </c>
      <c r="D66" s="543">
        <f>SUM(B68:B69)</f>
        <v>3459188</v>
      </c>
      <c r="E66" s="543">
        <f>2556891+79919</f>
        <v>2636810</v>
      </c>
      <c r="F66" s="569">
        <f t="shared" si="7"/>
        <v>0.76226270442658794</v>
      </c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  <c r="X66" s="395"/>
      <c r="Y66" s="395"/>
      <c r="Z66" s="395"/>
      <c r="AA66" s="395"/>
      <c r="AB66" s="395"/>
      <c r="AC66" s="395"/>
      <c r="AD66" s="395"/>
      <c r="AE66" s="395"/>
      <c r="AF66" s="395"/>
      <c r="AG66" s="395"/>
      <c r="AH66" s="395"/>
      <c r="AI66" s="395"/>
      <c r="AJ66" s="395"/>
      <c r="AK66" s="395"/>
      <c r="AL66" s="395"/>
      <c r="AM66" s="395"/>
      <c r="AN66" s="395"/>
      <c r="AO66" s="395"/>
      <c r="AP66" s="395"/>
      <c r="AQ66" s="395"/>
      <c r="AR66" s="395"/>
      <c r="AS66" s="395"/>
      <c r="AT66" s="395"/>
      <c r="AU66" s="395"/>
      <c r="AV66" s="395"/>
      <c r="AW66" s="395"/>
      <c r="AX66" s="395"/>
      <c r="AY66" s="395"/>
      <c r="AZ66" s="395"/>
      <c r="BA66" s="395"/>
      <c r="BB66" s="395"/>
      <c r="BC66" s="395"/>
      <c r="BD66" s="395"/>
      <c r="BE66" s="395"/>
      <c r="BF66" s="395"/>
      <c r="BG66" s="395"/>
      <c r="BH66" s="395"/>
      <c r="BI66" s="395"/>
      <c r="BJ66" s="395"/>
      <c r="BK66" s="395"/>
      <c r="BL66" s="395"/>
      <c r="BM66" s="395"/>
      <c r="BN66" s="395"/>
      <c r="BO66" s="395"/>
      <c r="BP66" s="395"/>
      <c r="BQ66" s="395"/>
      <c r="BR66" s="395"/>
      <c r="BS66" s="395"/>
      <c r="BT66" s="395"/>
      <c r="BU66" s="395"/>
    </row>
    <row r="67" spans="1:73" s="396" customFormat="1" ht="22.5" customHeight="1" thickBot="1">
      <c r="A67" s="397" t="s">
        <v>427</v>
      </c>
      <c r="B67" s="393"/>
      <c r="C67" s="399"/>
      <c r="D67" s="543"/>
      <c r="E67" s="543"/>
      <c r="F67" s="569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  <c r="X67" s="395"/>
      <c r="Y67" s="395"/>
      <c r="Z67" s="395"/>
      <c r="AA67" s="395"/>
      <c r="AB67" s="395"/>
      <c r="AC67" s="395"/>
      <c r="AD67" s="395"/>
      <c r="AE67" s="395"/>
      <c r="AF67" s="395"/>
      <c r="AG67" s="395"/>
      <c r="AH67" s="395"/>
      <c r="AI67" s="395"/>
      <c r="AJ67" s="395"/>
      <c r="AK67" s="395"/>
      <c r="AL67" s="395"/>
      <c r="AM67" s="395"/>
      <c r="AN67" s="395"/>
      <c r="AO67" s="395"/>
      <c r="AP67" s="395"/>
      <c r="AQ67" s="395"/>
      <c r="AR67" s="395"/>
      <c r="AS67" s="395"/>
      <c r="AT67" s="395"/>
      <c r="AU67" s="395"/>
      <c r="AV67" s="395"/>
      <c r="AW67" s="395"/>
      <c r="AX67" s="395"/>
      <c r="AY67" s="395"/>
      <c r="AZ67" s="395"/>
      <c r="BA67" s="395"/>
      <c r="BB67" s="395"/>
      <c r="BC67" s="395"/>
      <c r="BD67" s="395"/>
      <c r="BE67" s="395"/>
      <c r="BF67" s="395"/>
      <c r="BG67" s="395"/>
      <c r="BH67" s="395"/>
      <c r="BI67" s="395"/>
      <c r="BJ67" s="395"/>
      <c r="BK67" s="395"/>
      <c r="BL67" s="395"/>
      <c r="BM67" s="395"/>
      <c r="BN67" s="395"/>
      <c r="BO67" s="395"/>
      <c r="BP67" s="395"/>
      <c r="BQ67" s="395"/>
      <c r="BR67" s="395"/>
      <c r="BS67" s="395"/>
      <c r="BT67" s="395"/>
      <c r="BU67" s="395"/>
    </row>
    <row r="68" spans="1:73" s="396" customFormat="1" ht="22.5" customHeight="1" thickBot="1">
      <c r="A68" s="397" t="s">
        <v>844</v>
      </c>
      <c r="B68" s="393">
        <v>3409188</v>
      </c>
      <c r="C68" s="399"/>
      <c r="D68" s="543"/>
      <c r="E68" s="543"/>
      <c r="F68" s="569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  <c r="X68" s="395"/>
      <c r="Y68" s="395"/>
      <c r="Z68" s="395"/>
      <c r="AA68" s="395"/>
      <c r="AB68" s="395"/>
      <c r="AC68" s="395"/>
      <c r="AD68" s="395"/>
      <c r="AE68" s="395"/>
      <c r="AF68" s="395"/>
      <c r="AG68" s="395"/>
      <c r="AH68" s="395"/>
      <c r="AI68" s="395"/>
      <c r="AJ68" s="395"/>
      <c r="AK68" s="395"/>
      <c r="AL68" s="395"/>
      <c r="AM68" s="395"/>
      <c r="AN68" s="395"/>
      <c r="AO68" s="395"/>
      <c r="AP68" s="395"/>
      <c r="AQ68" s="395"/>
      <c r="AR68" s="395"/>
      <c r="AS68" s="395"/>
      <c r="AT68" s="395"/>
      <c r="AU68" s="395"/>
      <c r="AV68" s="395"/>
      <c r="AW68" s="395"/>
      <c r="AX68" s="395"/>
      <c r="AY68" s="395"/>
      <c r="AZ68" s="395"/>
      <c r="BA68" s="395"/>
      <c r="BB68" s="395"/>
      <c r="BC68" s="395"/>
      <c r="BD68" s="395"/>
      <c r="BE68" s="395"/>
      <c r="BF68" s="395"/>
      <c r="BG68" s="395"/>
      <c r="BH68" s="395"/>
      <c r="BI68" s="395"/>
      <c r="BJ68" s="395"/>
      <c r="BK68" s="395"/>
      <c r="BL68" s="395"/>
      <c r="BM68" s="395"/>
      <c r="BN68" s="395"/>
      <c r="BO68" s="395"/>
      <c r="BP68" s="395"/>
      <c r="BQ68" s="395"/>
      <c r="BR68" s="395"/>
      <c r="BS68" s="395"/>
      <c r="BT68" s="395"/>
      <c r="BU68" s="395"/>
    </row>
    <row r="69" spans="1:73" s="396" customFormat="1" ht="28.5" customHeight="1" thickBot="1">
      <c r="A69" s="397" t="s">
        <v>465</v>
      </c>
      <c r="B69" s="393">
        <v>50000</v>
      </c>
      <c r="C69" s="399"/>
      <c r="D69" s="543"/>
      <c r="E69" s="543"/>
      <c r="F69" s="569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  <c r="X69" s="395"/>
      <c r="Y69" s="395"/>
      <c r="Z69" s="395"/>
      <c r="AA69" s="395"/>
      <c r="AB69" s="395"/>
      <c r="AC69" s="395"/>
      <c r="AD69" s="395"/>
      <c r="AE69" s="395"/>
      <c r="AF69" s="395"/>
      <c r="AG69" s="395"/>
      <c r="AH69" s="395"/>
      <c r="AI69" s="395"/>
      <c r="AJ69" s="395"/>
      <c r="AK69" s="395"/>
      <c r="AL69" s="395"/>
      <c r="AM69" s="395"/>
      <c r="AN69" s="395"/>
      <c r="AO69" s="395"/>
      <c r="AP69" s="395"/>
      <c r="AQ69" s="395"/>
      <c r="AR69" s="395"/>
      <c r="AS69" s="395"/>
      <c r="AT69" s="395"/>
      <c r="AU69" s="395"/>
      <c r="AV69" s="395"/>
      <c r="AW69" s="395"/>
      <c r="AX69" s="395"/>
      <c r="AY69" s="395"/>
      <c r="AZ69" s="395"/>
      <c r="BA69" s="395"/>
      <c r="BB69" s="395"/>
      <c r="BC69" s="395"/>
      <c r="BD69" s="395"/>
      <c r="BE69" s="395"/>
      <c r="BF69" s="395"/>
      <c r="BG69" s="395"/>
      <c r="BH69" s="395"/>
      <c r="BI69" s="395"/>
      <c r="BJ69" s="395"/>
      <c r="BK69" s="395"/>
      <c r="BL69" s="395"/>
      <c r="BM69" s="395"/>
      <c r="BN69" s="395"/>
      <c r="BO69" s="395"/>
      <c r="BP69" s="395"/>
      <c r="BQ69" s="395"/>
      <c r="BR69" s="395"/>
      <c r="BS69" s="395"/>
      <c r="BT69" s="395"/>
      <c r="BU69" s="395"/>
    </row>
    <row r="70" spans="1:73" s="396" customFormat="1" ht="38.25" customHeight="1" thickBot="1">
      <c r="A70" s="638" t="s">
        <v>918</v>
      </c>
      <c r="B70" s="393"/>
      <c r="C70" s="399">
        <f>SUM(B72:B73)</f>
        <v>39412360</v>
      </c>
      <c r="D70" s="543">
        <f t="shared" ref="D70" si="8">SUM(C70)</f>
        <v>39412360</v>
      </c>
      <c r="E70" s="543">
        <f>28516000+1206000</f>
        <v>29722000</v>
      </c>
      <c r="F70" s="569">
        <f>E70/D70</f>
        <v>0.75412890778425856</v>
      </c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  <c r="X70" s="395"/>
      <c r="Y70" s="395"/>
      <c r="Z70" s="395"/>
      <c r="AA70" s="395"/>
      <c r="AB70" s="395"/>
      <c r="AC70" s="395"/>
      <c r="AD70" s="395"/>
      <c r="AE70" s="395"/>
      <c r="AF70" s="395"/>
      <c r="AG70" s="395"/>
      <c r="AH70" s="395"/>
      <c r="AI70" s="395"/>
      <c r="AJ70" s="395"/>
      <c r="AK70" s="395"/>
      <c r="AL70" s="395"/>
      <c r="AM70" s="395"/>
      <c r="AN70" s="395"/>
      <c r="AO70" s="395"/>
      <c r="AP70" s="395"/>
      <c r="AQ70" s="395"/>
      <c r="AR70" s="395"/>
      <c r="AS70" s="395"/>
      <c r="AT70" s="395"/>
      <c r="AU70" s="395"/>
      <c r="AV70" s="395"/>
      <c r="AW70" s="395"/>
      <c r="AX70" s="395"/>
      <c r="AY70" s="395"/>
      <c r="AZ70" s="395"/>
      <c r="BA70" s="395"/>
      <c r="BB70" s="395"/>
      <c r="BC70" s="395"/>
      <c r="BD70" s="395"/>
      <c r="BE70" s="395"/>
      <c r="BF70" s="395"/>
      <c r="BG70" s="395"/>
      <c r="BH70" s="395"/>
      <c r="BI70" s="395"/>
      <c r="BJ70" s="395"/>
      <c r="BK70" s="395"/>
      <c r="BL70" s="395"/>
      <c r="BM70" s="395"/>
      <c r="BN70" s="395"/>
      <c r="BO70" s="395"/>
      <c r="BP70" s="395"/>
      <c r="BQ70" s="395"/>
      <c r="BR70" s="395"/>
      <c r="BS70" s="395"/>
      <c r="BT70" s="395"/>
      <c r="BU70" s="395"/>
    </row>
    <row r="71" spans="1:73" s="396" customFormat="1" ht="24" customHeight="1" thickBot="1">
      <c r="A71" s="397" t="s">
        <v>470</v>
      </c>
      <c r="B71" s="393"/>
      <c r="C71" s="399"/>
      <c r="D71" s="543"/>
      <c r="E71" s="543"/>
      <c r="F71" s="569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  <c r="X71" s="395"/>
      <c r="Y71" s="395"/>
      <c r="Z71" s="395"/>
      <c r="AA71" s="395"/>
      <c r="AB71" s="395"/>
      <c r="AC71" s="395"/>
      <c r="AD71" s="395"/>
      <c r="AE71" s="395"/>
      <c r="AF71" s="395"/>
      <c r="AG71" s="395"/>
      <c r="AH71" s="395"/>
      <c r="AI71" s="395"/>
      <c r="AJ71" s="395"/>
      <c r="AK71" s="395"/>
      <c r="AL71" s="395"/>
      <c r="AM71" s="395"/>
      <c r="AN71" s="395"/>
      <c r="AO71" s="395"/>
      <c r="AP71" s="395"/>
      <c r="AQ71" s="395"/>
      <c r="AR71" s="395"/>
      <c r="AS71" s="395"/>
      <c r="AT71" s="395"/>
      <c r="AU71" s="395"/>
      <c r="AV71" s="395"/>
      <c r="AW71" s="395"/>
      <c r="AX71" s="395"/>
      <c r="AY71" s="395"/>
      <c r="AZ71" s="395"/>
      <c r="BA71" s="395"/>
      <c r="BB71" s="395"/>
      <c r="BC71" s="395"/>
      <c r="BD71" s="395"/>
      <c r="BE71" s="395"/>
      <c r="BF71" s="395"/>
      <c r="BG71" s="395"/>
      <c r="BH71" s="395"/>
      <c r="BI71" s="395"/>
      <c r="BJ71" s="395"/>
      <c r="BK71" s="395"/>
      <c r="BL71" s="395"/>
      <c r="BM71" s="395"/>
      <c r="BN71" s="395"/>
      <c r="BO71" s="395"/>
      <c r="BP71" s="395"/>
      <c r="BQ71" s="395"/>
      <c r="BR71" s="395"/>
      <c r="BS71" s="395"/>
      <c r="BT71" s="395"/>
      <c r="BU71" s="395"/>
    </row>
    <row r="72" spans="1:73" s="396" customFormat="1" ht="24" customHeight="1" thickBot="1">
      <c r="A72" s="397" t="s">
        <v>854</v>
      </c>
      <c r="B72" s="393">
        <v>8677000</v>
      </c>
      <c r="C72" s="399"/>
      <c r="D72" s="543"/>
      <c r="E72" s="543"/>
      <c r="F72" s="569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  <c r="X72" s="395"/>
      <c r="Y72" s="395"/>
      <c r="Z72" s="395"/>
      <c r="AA72" s="395"/>
      <c r="AB72" s="395"/>
      <c r="AC72" s="395"/>
      <c r="AD72" s="395"/>
      <c r="AE72" s="395"/>
      <c r="AF72" s="395"/>
      <c r="AG72" s="395"/>
      <c r="AH72" s="395"/>
      <c r="AI72" s="395"/>
      <c r="AJ72" s="395"/>
      <c r="AK72" s="395"/>
      <c r="AL72" s="395"/>
      <c r="AM72" s="395"/>
      <c r="AN72" s="395"/>
      <c r="AO72" s="395"/>
      <c r="AP72" s="395"/>
      <c r="AQ72" s="395"/>
      <c r="AR72" s="395"/>
      <c r="AS72" s="395"/>
      <c r="AT72" s="395"/>
      <c r="AU72" s="395"/>
      <c r="AV72" s="395"/>
      <c r="AW72" s="395"/>
      <c r="AX72" s="395"/>
      <c r="AY72" s="395"/>
      <c r="AZ72" s="395"/>
      <c r="BA72" s="395"/>
      <c r="BB72" s="395"/>
      <c r="BC72" s="395"/>
      <c r="BD72" s="395"/>
      <c r="BE72" s="395"/>
      <c r="BF72" s="395"/>
      <c r="BG72" s="395"/>
      <c r="BH72" s="395"/>
      <c r="BI72" s="395"/>
      <c r="BJ72" s="395"/>
      <c r="BK72" s="395"/>
      <c r="BL72" s="395"/>
      <c r="BM72" s="395"/>
      <c r="BN72" s="395"/>
      <c r="BO72" s="395"/>
      <c r="BP72" s="395"/>
      <c r="BQ72" s="395"/>
      <c r="BR72" s="395"/>
      <c r="BS72" s="395"/>
      <c r="BT72" s="395"/>
      <c r="BU72" s="395"/>
    </row>
    <row r="73" spans="1:73" s="396" customFormat="1" ht="24" customHeight="1" thickBot="1">
      <c r="A73" s="397" t="s">
        <v>855</v>
      </c>
      <c r="B73" s="393">
        <v>30735360</v>
      </c>
      <c r="C73" s="399"/>
      <c r="D73" s="543"/>
      <c r="E73" s="543"/>
      <c r="F73" s="569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5"/>
      <c r="X73" s="395"/>
      <c r="Y73" s="395"/>
      <c r="Z73" s="395"/>
      <c r="AA73" s="395"/>
      <c r="AB73" s="395"/>
      <c r="AC73" s="395"/>
      <c r="AD73" s="395"/>
      <c r="AE73" s="395"/>
      <c r="AF73" s="395"/>
      <c r="AG73" s="395"/>
      <c r="AH73" s="395"/>
      <c r="AI73" s="395"/>
      <c r="AJ73" s="395"/>
      <c r="AK73" s="395"/>
      <c r="AL73" s="395"/>
      <c r="AM73" s="395"/>
      <c r="AN73" s="395"/>
      <c r="AO73" s="395"/>
      <c r="AP73" s="395"/>
      <c r="AQ73" s="395"/>
      <c r="AR73" s="395"/>
      <c r="AS73" s="395"/>
      <c r="AT73" s="395"/>
      <c r="AU73" s="395"/>
      <c r="AV73" s="395"/>
      <c r="AW73" s="395"/>
      <c r="AX73" s="395"/>
      <c r="AY73" s="395"/>
      <c r="AZ73" s="395"/>
      <c r="BA73" s="395"/>
      <c r="BB73" s="395"/>
      <c r="BC73" s="395"/>
      <c r="BD73" s="395"/>
      <c r="BE73" s="395"/>
      <c r="BF73" s="395"/>
      <c r="BG73" s="395"/>
      <c r="BH73" s="395"/>
      <c r="BI73" s="395"/>
      <c r="BJ73" s="395"/>
      <c r="BK73" s="395"/>
      <c r="BL73" s="395"/>
      <c r="BM73" s="395"/>
      <c r="BN73" s="395"/>
      <c r="BO73" s="395"/>
      <c r="BP73" s="395"/>
      <c r="BQ73" s="395"/>
      <c r="BR73" s="395"/>
      <c r="BS73" s="395"/>
      <c r="BT73" s="395"/>
      <c r="BU73" s="395"/>
    </row>
    <row r="74" spans="1:73" s="401" customFormat="1" ht="32.25" customHeight="1" thickBot="1">
      <c r="A74" s="638" t="s">
        <v>472</v>
      </c>
      <c r="B74" s="398"/>
      <c r="C74" s="399">
        <v>2400000</v>
      </c>
      <c r="D74" s="543">
        <f>SUM(B75)</f>
        <v>4800000</v>
      </c>
      <c r="E74" s="543">
        <v>1738691</v>
      </c>
      <c r="F74" s="569">
        <f>E74/D74</f>
        <v>0.36222729166666667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0"/>
      <c r="Q74" s="400"/>
      <c r="R74" s="400"/>
      <c r="S74" s="400"/>
      <c r="T74" s="400"/>
      <c r="U74" s="400"/>
      <c r="V74" s="400"/>
      <c r="W74" s="400"/>
      <c r="X74" s="400"/>
      <c r="Y74" s="400"/>
      <c r="Z74" s="400"/>
      <c r="AA74" s="400"/>
      <c r="AB74" s="400"/>
      <c r="AC74" s="400"/>
      <c r="AD74" s="400"/>
      <c r="AE74" s="400"/>
      <c r="AF74" s="400"/>
      <c r="AG74" s="400"/>
      <c r="AH74" s="400"/>
      <c r="AI74" s="400"/>
      <c r="AJ74" s="400"/>
      <c r="AK74" s="400"/>
      <c r="AL74" s="400"/>
      <c r="AM74" s="400"/>
      <c r="AN74" s="400"/>
      <c r="AO74" s="400"/>
      <c r="AP74" s="400"/>
      <c r="AQ74" s="400"/>
      <c r="AR74" s="400"/>
      <c r="AS74" s="400"/>
      <c r="AT74" s="400"/>
      <c r="AU74" s="400"/>
      <c r="AV74" s="400"/>
      <c r="AW74" s="400"/>
      <c r="AX74" s="400"/>
      <c r="AY74" s="400"/>
      <c r="AZ74" s="400"/>
      <c r="BA74" s="400"/>
      <c r="BB74" s="400"/>
      <c r="BC74" s="400"/>
      <c r="BD74" s="400"/>
      <c r="BE74" s="400"/>
      <c r="BF74" s="400"/>
      <c r="BG74" s="400"/>
      <c r="BH74" s="400"/>
      <c r="BI74" s="400"/>
      <c r="BJ74" s="400"/>
      <c r="BK74" s="400"/>
      <c r="BL74" s="400"/>
      <c r="BM74" s="400"/>
      <c r="BN74" s="400"/>
      <c r="BO74" s="400"/>
      <c r="BP74" s="400"/>
      <c r="BQ74" s="400"/>
      <c r="BR74" s="400"/>
      <c r="BS74" s="400"/>
      <c r="BT74" s="400"/>
      <c r="BU74" s="400"/>
    </row>
    <row r="75" spans="1:73" s="396" customFormat="1" ht="87.75" customHeight="1" thickBot="1">
      <c r="A75" s="397" t="s">
        <v>860</v>
      </c>
      <c r="B75" s="393">
        <f>2400000+2400000</f>
        <v>4800000</v>
      </c>
      <c r="C75" s="394"/>
      <c r="D75" s="425"/>
      <c r="E75" s="425"/>
      <c r="F75" s="707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Q75" s="395"/>
      <c r="R75" s="395"/>
      <c r="S75" s="395"/>
      <c r="T75" s="395"/>
      <c r="U75" s="395"/>
      <c r="V75" s="395"/>
      <c r="W75" s="395"/>
      <c r="X75" s="395"/>
      <c r="Y75" s="395"/>
      <c r="Z75" s="395"/>
      <c r="AA75" s="395"/>
      <c r="AB75" s="395"/>
      <c r="AC75" s="395"/>
      <c r="AD75" s="395"/>
      <c r="AE75" s="395"/>
      <c r="AF75" s="395"/>
      <c r="AG75" s="395"/>
      <c r="AH75" s="395"/>
      <c r="AI75" s="395"/>
      <c r="AJ75" s="395"/>
      <c r="AK75" s="395"/>
      <c r="AL75" s="395"/>
      <c r="AM75" s="395"/>
      <c r="AN75" s="395"/>
      <c r="AO75" s="395"/>
      <c r="AP75" s="395"/>
      <c r="AQ75" s="395"/>
      <c r="AR75" s="395"/>
      <c r="AS75" s="395"/>
      <c r="AT75" s="395"/>
      <c r="AU75" s="395"/>
      <c r="AV75" s="395"/>
      <c r="AW75" s="395"/>
      <c r="AX75" s="395"/>
      <c r="AY75" s="395"/>
      <c r="AZ75" s="395"/>
      <c r="BA75" s="395"/>
      <c r="BB75" s="395"/>
      <c r="BC75" s="395"/>
      <c r="BD75" s="395"/>
      <c r="BE75" s="395"/>
      <c r="BF75" s="395"/>
      <c r="BG75" s="395"/>
      <c r="BH75" s="395"/>
      <c r="BI75" s="395"/>
      <c r="BJ75" s="395"/>
      <c r="BK75" s="395"/>
      <c r="BL75" s="395"/>
      <c r="BM75" s="395"/>
      <c r="BN75" s="395"/>
      <c r="BO75" s="395"/>
      <c r="BP75" s="395"/>
      <c r="BQ75" s="395"/>
      <c r="BR75" s="395"/>
      <c r="BS75" s="395"/>
      <c r="BT75" s="395"/>
      <c r="BU75" s="395"/>
    </row>
    <row r="76" spans="1:73" s="401" customFormat="1" ht="33.75" customHeight="1" thickBot="1">
      <c r="A76" s="638" t="s">
        <v>862</v>
      </c>
      <c r="B76" s="398"/>
      <c r="C76" s="399"/>
      <c r="D76" s="543">
        <v>17539448</v>
      </c>
      <c r="E76" s="543"/>
      <c r="F76" s="569">
        <f>E76/D76</f>
        <v>0</v>
      </c>
      <c r="G76" s="400"/>
      <c r="H76" s="400"/>
      <c r="I76" s="400"/>
      <c r="J76" s="400"/>
      <c r="K76" s="400"/>
      <c r="L76" s="400"/>
      <c r="M76" s="400"/>
      <c r="N76" s="400"/>
      <c r="O76" s="400"/>
      <c r="P76" s="400"/>
      <c r="Q76" s="400"/>
      <c r="R76" s="400"/>
      <c r="S76" s="400"/>
      <c r="T76" s="400"/>
      <c r="U76" s="400"/>
      <c r="V76" s="400"/>
      <c r="W76" s="400"/>
      <c r="X76" s="400"/>
      <c r="Y76" s="400"/>
      <c r="Z76" s="400"/>
      <c r="AA76" s="400"/>
      <c r="AB76" s="400"/>
      <c r="AC76" s="400"/>
      <c r="AD76" s="400"/>
      <c r="AE76" s="400"/>
      <c r="AF76" s="400"/>
      <c r="AG76" s="400"/>
      <c r="AH76" s="400"/>
      <c r="AI76" s="400"/>
      <c r="AJ76" s="400"/>
      <c r="AK76" s="400"/>
      <c r="AL76" s="400"/>
      <c r="AM76" s="400"/>
      <c r="AN76" s="400"/>
      <c r="AO76" s="400"/>
      <c r="AP76" s="400"/>
      <c r="AQ76" s="400"/>
      <c r="AR76" s="400"/>
      <c r="AS76" s="400"/>
      <c r="AT76" s="400"/>
      <c r="AU76" s="400"/>
      <c r="AV76" s="400"/>
      <c r="AW76" s="400"/>
      <c r="AX76" s="400"/>
      <c r="AY76" s="400"/>
      <c r="AZ76" s="400"/>
      <c r="BA76" s="400"/>
      <c r="BB76" s="400"/>
      <c r="BC76" s="400"/>
      <c r="BD76" s="400"/>
      <c r="BE76" s="400"/>
      <c r="BF76" s="400"/>
      <c r="BG76" s="400"/>
      <c r="BH76" s="400"/>
      <c r="BI76" s="400"/>
      <c r="BJ76" s="400"/>
      <c r="BK76" s="400"/>
      <c r="BL76" s="400"/>
      <c r="BM76" s="400"/>
      <c r="BN76" s="400"/>
      <c r="BO76" s="400"/>
      <c r="BP76" s="400"/>
      <c r="BQ76" s="400"/>
      <c r="BR76" s="400"/>
      <c r="BS76" s="400"/>
      <c r="BT76" s="400"/>
      <c r="BU76" s="400"/>
    </row>
    <row r="77" spans="1:73" s="396" customFormat="1" ht="39.75" customHeight="1" thickBot="1">
      <c r="A77" s="638" t="s">
        <v>475</v>
      </c>
      <c r="B77" s="393"/>
      <c r="C77" s="399">
        <f>SUM(B79:B83)</f>
        <v>20472118</v>
      </c>
      <c r="D77" s="543">
        <f t="shared" ref="D77" si="9">SUM(C77)</f>
        <v>20472118</v>
      </c>
      <c r="E77" s="543">
        <f>1873646+2547+196385+952500+2133175+15876+3015+3015+3000+2980+3623018+7113378+2643870+6137958</f>
        <v>24704363</v>
      </c>
      <c r="F77" s="569">
        <f>E77/D77</f>
        <v>1.2067321515047931</v>
      </c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Q77" s="395"/>
      <c r="R77" s="395"/>
      <c r="S77" s="395"/>
      <c r="T77" s="395"/>
      <c r="U77" s="395"/>
      <c r="V77" s="395"/>
      <c r="W77" s="395"/>
      <c r="X77" s="395"/>
      <c r="Y77" s="395"/>
      <c r="Z77" s="395"/>
      <c r="AA77" s="395"/>
      <c r="AB77" s="395"/>
      <c r="AC77" s="395"/>
      <c r="AD77" s="395"/>
      <c r="AE77" s="395"/>
      <c r="AF77" s="395"/>
      <c r="AG77" s="395"/>
      <c r="AH77" s="395"/>
      <c r="AI77" s="395"/>
      <c r="AJ77" s="395"/>
      <c r="AK77" s="395"/>
      <c r="AL77" s="395"/>
      <c r="AM77" s="395"/>
      <c r="AN77" s="395"/>
      <c r="AO77" s="395"/>
      <c r="AP77" s="395"/>
      <c r="AQ77" s="395"/>
      <c r="AR77" s="395"/>
      <c r="AS77" s="395"/>
      <c r="AT77" s="395"/>
      <c r="AU77" s="395"/>
      <c r="AV77" s="395"/>
      <c r="AW77" s="395"/>
      <c r="AX77" s="395"/>
      <c r="AY77" s="395"/>
      <c r="AZ77" s="395"/>
      <c r="BA77" s="395"/>
      <c r="BB77" s="395"/>
      <c r="BC77" s="395"/>
      <c r="BD77" s="395"/>
      <c r="BE77" s="395"/>
      <c r="BF77" s="395"/>
      <c r="BG77" s="395"/>
      <c r="BH77" s="395"/>
      <c r="BI77" s="395"/>
      <c r="BJ77" s="395"/>
      <c r="BK77" s="395"/>
      <c r="BL77" s="395"/>
      <c r="BM77" s="395"/>
      <c r="BN77" s="395"/>
      <c r="BO77" s="395"/>
      <c r="BP77" s="395"/>
      <c r="BQ77" s="395"/>
      <c r="BR77" s="395"/>
      <c r="BS77" s="395"/>
      <c r="BT77" s="395"/>
      <c r="BU77" s="395"/>
    </row>
    <row r="78" spans="1:73" s="396" customFormat="1" ht="21.75" customHeight="1" thickBot="1">
      <c r="A78" s="397" t="s">
        <v>427</v>
      </c>
      <c r="B78" s="393"/>
      <c r="C78" s="399"/>
      <c r="D78" s="543"/>
      <c r="E78" s="543"/>
      <c r="F78" s="569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  <c r="X78" s="395"/>
      <c r="Y78" s="395"/>
      <c r="Z78" s="395"/>
      <c r="AA78" s="395"/>
      <c r="AB78" s="395"/>
      <c r="AC78" s="395"/>
      <c r="AD78" s="395"/>
      <c r="AE78" s="395"/>
      <c r="AF78" s="395"/>
      <c r="AG78" s="395"/>
      <c r="AH78" s="395"/>
      <c r="AI78" s="395"/>
      <c r="AJ78" s="395"/>
      <c r="AK78" s="395"/>
      <c r="AL78" s="395"/>
      <c r="AM78" s="395"/>
      <c r="AN78" s="395"/>
      <c r="AO78" s="395"/>
      <c r="AP78" s="395"/>
      <c r="AQ78" s="395"/>
      <c r="AR78" s="395"/>
      <c r="AS78" s="395"/>
      <c r="AT78" s="395"/>
      <c r="AU78" s="395"/>
      <c r="AV78" s="395"/>
      <c r="AW78" s="395"/>
      <c r="AX78" s="395"/>
      <c r="AY78" s="395"/>
      <c r="AZ78" s="395"/>
      <c r="BA78" s="395"/>
      <c r="BB78" s="395"/>
      <c r="BC78" s="395"/>
      <c r="BD78" s="395"/>
      <c r="BE78" s="395"/>
      <c r="BF78" s="395"/>
      <c r="BG78" s="395"/>
      <c r="BH78" s="395"/>
      <c r="BI78" s="395"/>
      <c r="BJ78" s="395"/>
      <c r="BK78" s="395"/>
      <c r="BL78" s="395"/>
      <c r="BM78" s="395"/>
      <c r="BN78" s="395"/>
      <c r="BO78" s="395"/>
      <c r="BP78" s="395"/>
      <c r="BQ78" s="395"/>
      <c r="BR78" s="395"/>
      <c r="BS78" s="395"/>
      <c r="BT78" s="395"/>
      <c r="BU78" s="395"/>
    </row>
    <row r="79" spans="1:73" s="396" customFormat="1" ht="21.75" customHeight="1" thickBot="1">
      <c r="A79" s="397" t="s">
        <v>476</v>
      </c>
      <c r="B79" s="393">
        <v>13000000</v>
      </c>
      <c r="C79" s="399"/>
      <c r="D79" s="543"/>
      <c r="E79" s="543"/>
      <c r="F79" s="569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Q79" s="395"/>
      <c r="R79" s="395"/>
      <c r="S79" s="395"/>
      <c r="T79" s="395"/>
      <c r="U79" s="395"/>
      <c r="V79" s="395"/>
      <c r="W79" s="395"/>
      <c r="X79" s="395"/>
      <c r="Y79" s="395"/>
      <c r="Z79" s="395"/>
      <c r="AA79" s="395"/>
      <c r="AB79" s="395"/>
      <c r="AC79" s="395"/>
      <c r="AD79" s="395"/>
      <c r="AE79" s="395"/>
      <c r="AF79" s="395"/>
      <c r="AG79" s="395"/>
      <c r="AH79" s="395"/>
      <c r="AI79" s="395"/>
      <c r="AJ79" s="395"/>
      <c r="AK79" s="395"/>
      <c r="AL79" s="395"/>
      <c r="AM79" s="395"/>
      <c r="AN79" s="395"/>
      <c r="AO79" s="395"/>
      <c r="AP79" s="395"/>
      <c r="AQ79" s="395"/>
      <c r="AR79" s="395"/>
      <c r="AS79" s="395"/>
      <c r="AT79" s="395"/>
      <c r="AU79" s="395"/>
      <c r="AV79" s="395"/>
      <c r="AW79" s="395"/>
      <c r="AX79" s="395"/>
      <c r="AY79" s="395"/>
      <c r="AZ79" s="395"/>
      <c r="BA79" s="395"/>
      <c r="BB79" s="395"/>
      <c r="BC79" s="395"/>
      <c r="BD79" s="395"/>
      <c r="BE79" s="395"/>
      <c r="BF79" s="395"/>
      <c r="BG79" s="395"/>
      <c r="BH79" s="395"/>
      <c r="BI79" s="395"/>
      <c r="BJ79" s="395"/>
      <c r="BK79" s="395"/>
      <c r="BL79" s="395"/>
      <c r="BM79" s="395"/>
      <c r="BN79" s="395"/>
      <c r="BO79" s="395"/>
      <c r="BP79" s="395"/>
      <c r="BQ79" s="395"/>
      <c r="BR79" s="395"/>
      <c r="BS79" s="395"/>
      <c r="BT79" s="395"/>
      <c r="BU79" s="395"/>
    </row>
    <row r="80" spans="1:73" s="396" customFormat="1" ht="21.75" customHeight="1" thickBot="1">
      <c r="A80" s="397" t="s">
        <v>477</v>
      </c>
      <c r="B80" s="393">
        <v>3472118</v>
      </c>
      <c r="C80" s="399"/>
      <c r="D80" s="543"/>
      <c r="E80" s="543"/>
      <c r="F80" s="569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Q80" s="395"/>
      <c r="R80" s="395"/>
      <c r="S80" s="395"/>
      <c r="T80" s="395"/>
      <c r="U80" s="395"/>
      <c r="V80" s="395"/>
      <c r="W80" s="395"/>
      <c r="X80" s="395"/>
      <c r="Y80" s="395"/>
      <c r="Z80" s="395"/>
      <c r="AA80" s="395"/>
      <c r="AB80" s="395"/>
      <c r="AC80" s="395"/>
      <c r="AD80" s="395"/>
      <c r="AE80" s="395"/>
      <c r="AF80" s="395"/>
      <c r="AG80" s="395"/>
      <c r="AH80" s="395"/>
      <c r="AI80" s="395"/>
      <c r="AJ80" s="395"/>
      <c r="AK80" s="395"/>
      <c r="AL80" s="395"/>
      <c r="AM80" s="395"/>
      <c r="AN80" s="395"/>
      <c r="AO80" s="395"/>
      <c r="AP80" s="395"/>
      <c r="AQ80" s="395"/>
      <c r="AR80" s="395"/>
      <c r="AS80" s="395"/>
      <c r="AT80" s="395"/>
      <c r="AU80" s="395"/>
      <c r="AV80" s="395"/>
      <c r="AW80" s="395"/>
      <c r="AX80" s="395"/>
      <c r="AY80" s="395"/>
      <c r="AZ80" s="395"/>
      <c r="BA80" s="395"/>
      <c r="BB80" s="395"/>
      <c r="BC80" s="395"/>
      <c r="BD80" s="395"/>
      <c r="BE80" s="395"/>
      <c r="BF80" s="395"/>
      <c r="BG80" s="395"/>
      <c r="BH80" s="395"/>
      <c r="BI80" s="395"/>
      <c r="BJ80" s="395"/>
      <c r="BK80" s="395"/>
      <c r="BL80" s="395"/>
      <c r="BM80" s="395"/>
      <c r="BN80" s="395"/>
      <c r="BO80" s="395"/>
      <c r="BP80" s="395"/>
      <c r="BQ80" s="395"/>
      <c r="BR80" s="395"/>
      <c r="BS80" s="395"/>
      <c r="BT80" s="395"/>
      <c r="BU80" s="395"/>
    </row>
    <row r="81" spans="1:73" s="396" customFormat="1" ht="21.75" customHeight="1" thickBot="1">
      <c r="A81" s="397" t="s">
        <v>478</v>
      </c>
      <c r="B81" s="393">
        <v>2000000</v>
      </c>
      <c r="C81" s="399"/>
      <c r="D81" s="543"/>
      <c r="E81" s="543"/>
      <c r="F81" s="569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  <c r="T81" s="395"/>
      <c r="U81" s="395"/>
      <c r="V81" s="395"/>
      <c r="W81" s="395"/>
      <c r="X81" s="395"/>
      <c r="Y81" s="395"/>
      <c r="Z81" s="395"/>
      <c r="AA81" s="395"/>
      <c r="AB81" s="395"/>
      <c r="AC81" s="395"/>
      <c r="AD81" s="395"/>
      <c r="AE81" s="395"/>
      <c r="AF81" s="395"/>
      <c r="AG81" s="395"/>
      <c r="AH81" s="395"/>
      <c r="AI81" s="395"/>
      <c r="AJ81" s="395"/>
      <c r="AK81" s="395"/>
      <c r="AL81" s="395"/>
      <c r="AM81" s="395"/>
      <c r="AN81" s="395"/>
      <c r="AO81" s="395"/>
      <c r="AP81" s="395"/>
      <c r="AQ81" s="395"/>
      <c r="AR81" s="395"/>
      <c r="AS81" s="395"/>
      <c r="AT81" s="395"/>
      <c r="AU81" s="395"/>
      <c r="AV81" s="395"/>
      <c r="AW81" s="395"/>
      <c r="AX81" s="395"/>
      <c r="AY81" s="395"/>
      <c r="AZ81" s="395"/>
      <c r="BA81" s="395"/>
      <c r="BB81" s="395"/>
      <c r="BC81" s="395"/>
      <c r="BD81" s="395"/>
      <c r="BE81" s="395"/>
      <c r="BF81" s="395"/>
      <c r="BG81" s="395"/>
      <c r="BH81" s="395"/>
      <c r="BI81" s="395"/>
      <c r="BJ81" s="395"/>
      <c r="BK81" s="395"/>
      <c r="BL81" s="395"/>
      <c r="BM81" s="395"/>
      <c r="BN81" s="395"/>
      <c r="BO81" s="395"/>
      <c r="BP81" s="395"/>
      <c r="BQ81" s="395"/>
      <c r="BR81" s="395"/>
      <c r="BS81" s="395"/>
      <c r="BT81" s="395"/>
      <c r="BU81" s="395"/>
    </row>
    <row r="82" spans="1:73" s="396" customFormat="1" ht="21.75" customHeight="1" thickBot="1">
      <c r="A82" s="397" t="s">
        <v>479</v>
      </c>
      <c r="B82" s="393">
        <v>1000000</v>
      </c>
      <c r="C82" s="399"/>
      <c r="D82" s="543"/>
      <c r="E82" s="543"/>
      <c r="F82" s="569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Q82" s="395"/>
      <c r="R82" s="395"/>
      <c r="S82" s="395"/>
      <c r="T82" s="395"/>
      <c r="U82" s="395"/>
      <c r="V82" s="395"/>
      <c r="W82" s="395"/>
      <c r="X82" s="395"/>
      <c r="Y82" s="395"/>
      <c r="Z82" s="395"/>
      <c r="AA82" s="395"/>
      <c r="AB82" s="395"/>
      <c r="AC82" s="395"/>
      <c r="AD82" s="395"/>
      <c r="AE82" s="395"/>
      <c r="AF82" s="395"/>
      <c r="AG82" s="395"/>
      <c r="AH82" s="395"/>
      <c r="AI82" s="395"/>
      <c r="AJ82" s="395"/>
      <c r="AK82" s="395"/>
      <c r="AL82" s="395"/>
      <c r="AM82" s="395"/>
      <c r="AN82" s="395"/>
      <c r="AO82" s="395"/>
      <c r="AP82" s="395"/>
      <c r="AQ82" s="395"/>
      <c r="AR82" s="395"/>
      <c r="AS82" s="395"/>
      <c r="AT82" s="395"/>
      <c r="AU82" s="395"/>
      <c r="AV82" s="395"/>
      <c r="AW82" s="395"/>
      <c r="AX82" s="395"/>
      <c r="AY82" s="395"/>
      <c r="AZ82" s="395"/>
      <c r="BA82" s="395"/>
      <c r="BB82" s="395"/>
      <c r="BC82" s="395"/>
      <c r="BD82" s="395"/>
      <c r="BE82" s="395"/>
      <c r="BF82" s="395"/>
      <c r="BG82" s="395"/>
      <c r="BH82" s="395"/>
      <c r="BI82" s="395"/>
      <c r="BJ82" s="395"/>
      <c r="BK82" s="395"/>
      <c r="BL82" s="395"/>
      <c r="BM82" s="395"/>
      <c r="BN82" s="395"/>
      <c r="BO82" s="395"/>
      <c r="BP82" s="395"/>
      <c r="BQ82" s="395"/>
      <c r="BR82" s="395"/>
      <c r="BS82" s="395"/>
      <c r="BT82" s="395"/>
      <c r="BU82" s="395"/>
    </row>
    <row r="83" spans="1:73" s="396" customFormat="1" ht="21.75" customHeight="1" thickBot="1">
      <c r="A83" s="397" t="s">
        <v>650</v>
      </c>
      <c r="B83" s="393">
        <v>1000000</v>
      </c>
      <c r="C83" s="422"/>
      <c r="D83" s="668"/>
      <c r="E83" s="668"/>
      <c r="F83" s="701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Q83" s="395"/>
      <c r="R83" s="395"/>
      <c r="S83" s="395"/>
      <c r="T83" s="395"/>
      <c r="U83" s="395"/>
      <c r="V83" s="395"/>
      <c r="W83" s="395"/>
      <c r="X83" s="395"/>
      <c r="Y83" s="395"/>
      <c r="Z83" s="395"/>
      <c r="AA83" s="395"/>
      <c r="AB83" s="395"/>
      <c r="AC83" s="395"/>
      <c r="AD83" s="395"/>
      <c r="AE83" s="395"/>
      <c r="AF83" s="395"/>
      <c r="AG83" s="395"/>
      <c r="AH83" s="395"/>
      <c r="AI83" s="395"/>
      <c r="AJ83" s="395"/>
      <c r="AK83" s="395"/>
      <c r="AL83" s="395"/>
      <c r="AM83" s="395"/>
      <c r="AN83" s="395"/>
      <c r="AO83" s="395"/>
      <c r="AP83" s="395"/>
      <c r="AQ83" s="395"/>
      <c r="AR83" s="395"/>
      <c r="AS83" s="395"/>
      <c r="AT83" s="395"/>
      <c r="AU83" s="395"/>
      <c r="AV83" s="395"/>
      <c r="AW83" s="395"/>
      <c r="AX83" s="395"/>
      <c r="AY83" s="395"/>
      <c r="AZ83" s="395"/>
      <c r="BA83" s="395"/>
      <c r="BB83" s="395"/>
      <c r="BC83" s="395"/>
      <c r="BD83" s="395"/>
      <c r="BE83" s="395"/>
      <c r="BF83" s="395"/>
      <c r="BG83" s="395"/>
      <c r="BH83" s="395"/>
      <c r="BI83" s="395"/>
      <c r="BJ83" s="395"/>
      <c r="BK83" s="395"/>
      <c r="BL83" s="395"/>
      <c r="BM83" s="395"/>
      <c r="BN83" s="395"/>
      <c r="BO83" s="395"/>
      <c r="BP83" s="395"/>
      <c r="BQ83" s="395"/>
      <c r="BR83" s="395"/>
      <c r="BS83" s="395"/>
      <c r="BT83" s="395"/>
      <c r="BU83" s="395"/>
    </row>
    <row r="84" spans="1:73" s="401" customFormat="1" ht="56.25" customHeight="1" thickBot="1">
      <c r="A84" s="640" t="s">
        <v>649</v>
      </c>
      <c r="B84" s="398"/>
      <c r="C84" s="399"/>
      <c r="D84" s="543"/>
      <c r="E84" s="543">
        <v>177800</v>
      </c>
      <c r="F84" s="569">
        <v>0</v>
      </c>
      <c r="G84" s="400"/>
      <c r="H84" s="400"/>
      <c r="I84" s="400"/>
      <c r="J84" s="400"/>
      <c r="K84" s="400"/>
      <c r="L84" s="400"/>
      <c r="M84" s="400"/>
      <c r="N84" s="400"/>
      <c r="O84" s="400"/>
      <c r="P84" s="400"/>
      <c r="Q84" s="400"/>
      <c r="R84" s="400"/>
      <c r="S84" s="400"/>
      <c r="T84" s="400"/>
      <c r="U84" s="400"/>
      <c r="V84" s="400"/>
      <c r="W84" s="400"/>
      <c r="X84" s="400"/>
      <c r="Y84" s="400"/>
      <c r="Z84" s="400"/>
      <c r="AA84" s="400"/>
      <c r="AB84" s="400"/>
      <c r="AC84" s="400"/>
      <c r="AD84" s="400"/>
      <c r="AE84" s="400"/>
      <c r="AF84" s="400"/>
      <c r="AG84" s="400"/>
      <c r="AH84" s="400"/>
      <c r="AI84" s="400"/>
      <c r="AJ84" s="400"/>
      <c r="AK84" s="400"/>
      <c r="AL84" s="400"/>
      <c r="AM84" s="400"/>
      <c r="AN84" s="400"/>
      <c r="AO84" s="400"/>
      <c r="AP84" s="400"/>
      <c r="AQ84" s="400"/>
      <c r="AR84" s="400"/>
      <c r="AS84" s="400"/>
      <c r="AT84" s="400"/>
      <c r="AU84" s="400"/>
      <c r="AV84" s="400"/>
      <c r="AW84" s="400"/>
      <c r="AX84" s="400"/>
      <c r="AY84" s="400"/>
      <c r="AZ84" s="400"/>
      <c r="BA84" s="400"/>
      <c r="BB84" s="400"/>
      <c r="BC84" s="400"/>
      <c r="BD84" s="400"/>
      <c r="BE84" s="400"/>
      <c r="BF84" s="400"/>
      <c r="BG84" s="400"/>
      <c r="BH84" s="400"/>
      <c r="BI84" s="400"/>
      <c r="BJ84" s="400"/>
      <c r="BK84" s="400"/>
      <c r="BL84" s="400"/>
      <c r="BM84" s="400"/>
      <c r="BN84" s="400"/>
      <c r="BO84" s="400"/>
      <c r="BP84" s="400"/>
      <c r="BQ84" s="400"/>
      <c r="BR84" s="400"/>
      <c r="BS84" s="400"/>
      <c r="BT84" s="400"/>
      <c r="BU84" s="400"/>
    </row>
    <row r="85" spans="1:73" s="401" customFormat="1" ht="69.75" customHeight="1" thickBot="1">
      <c r="A85" s="917" t="s">
        <v>906</v>
      </c>
      <c r="B85" s="918"/>
      <c r="C85" s="399">
        <f>3733800+2540000+762000+8354060</f>
        <v>15389860</v>
      </c>
      <c r="D85" s="543">
        <f>SUM(C85)+5980000+3733800+570363</f>
        <v>25674023</v>
      </c>
      <c r="E85" s="543">
        <f>26410769+759460</f>
        <v>27170229</v>
      </c>
      <c r="F85" s="569">
        <f t="shared" ref="F85:F100" si="10">E85/D85</f>
        <v>1.0582770374553299</v>
      </c>
      <c r="G85" s="400"/>
      <c r="H85" s="400"/>
      <c r="I85" s="400"/>
      <c r="J85" s="400"/>
      <c r="K85" s="400"/>
      <c r="L85" s="400"/>
      <c r="M85" s="400"/>
      <c r="N85" s="400"/>
      <c r="O85" s="400"/>
      <c r="P85" s="400"/>
      <c r="Q85" s="400"/>
      <c r="R85" s="400"/>
      <c r="S85" s="400"/>
      <c r="T85" s="400"/>
      <c r="U85" s="400"/>
      <c r="V85" s="400"/>
      <c r="W85" s="400"/>
      <c r="X85" s="400"/>
      <c r="Y85" s="400"/>
      <c r="Z85" s="400"/>
      <c r="AA85" s="400"/>
      <c r="AB85" s="400"/>
      <c r="AC85" s="400"/>
      <c r="AD85" s="400"/>
      <c r="AE85" s="400"/>
      <c r="AF85" s="400"/>
      <c r="AG85" s="400"/>
      <c r="AH85" s="400"/>
      <c r="AI85" s="400"/>
      <c r="AJ85" s="400"/>
      <c r="AK85" s="400"/>
      <c r="AL85" s="400"/>
      <c r="AM85" s="400"/>
      <c r="AN85" s="400"/>
      <c r="AO85" s="400"/>
      <c r="AP85" s="400"/>
      <c r="AQ85" s="400"/>
      <c r="AR85" s="400"/>
      <c r="AS85" s="400"/>
      <c r="AT85" s="400"/>
      <c r="AU85" s="400"/>
      <c r="AV85" s="400"/>
      <c r="AW85" s="400"/>
      <c r="AX85" s="400"/>
      <c r="AY85" s="400"/>
      <c r="AZ85" s="400"/>
      <c r="BA85" s="400"/>
      <c r="BB85" s="400"/>
      <c r="BC85" s="400"/>
      <c r="BD85" s="400"/>
      <c r="BE85" s="400"/>
      <c r="BF85" s="400"/>
      <c r="BG85" s="400"/>
      <c r="BH85" s="400"/>
      <c r="BI85" s="400"/>
      <c r="BJ85" s="400"/>
      <c r="BK85" s="400"/>
      <c r="BL85" s="400"/>
      <c r="BM85" s="400"/>
      <c r="BN85" s="400"/>
      <c r="BO85" s="400"/>
      <c r="BP85" s="400"/>
      <c r="BQ85" s="400"/>
      <c r="BR85" s="400"/>
      <c r="BS85" s="400"/>
      <c r="BT85" s="400"/>
      <c r="BU85" s="400"/>
    </row>
    <row r="86" spans="1:73" s="401" customFormat="1" ht="69.75" customHeight="1" thickBot="1">
      <c r="A86" s="911" t="s">
        <v>863</v>
      </c>
      <c r="B86" s="912"/>
      <c r="C86" s="399"/>
      <c r="D86" s="543"/>
      <c r="E86" s="543">
        <v>350000</v>
      </c>
      <c r="F86" s="569">
        <v>0</v>
      </c>
      <c r="G86" s="400"/>
      <c r="H86" s="400"/>
      <c r="I86" s="400"/>
      <c r="J86" s="400"/>
      <c r="K86" s="400"/>
      <c r="L86" s="400"/>
      <c r="M86" s="400"/>
      <c r="N86" s="400"/>
      <c r="O86" s="400"/>
      <c r="P86" s="400"/>
      <c r="Q86" s="400"/>
      <c r="R86" s="400"/>
      <c r="S86" s="400"/>
      <c r="T86" s="400"/>
      <c r="U86" s="400"/>
      <c r="V86" s="400"/>
      <c r="W86" s="400"/>
      <c r="X86" s="400"/>
      <c r="Y86" s="400"/>
      <c r="Z86" s="400"/>
      <c r="AA86" s="400"/>
      <c r="AB86" s="400"/>
      <c r="AC86" s="400"/>
      <c r="AD86" s="400"/>
      <c r="AE86" s="400"/>
      <c r="AF86" s="400"/>
      <c r="AG86" s="400"/>
      <c r="AH86" s="400"/>
      <c r="AI86" s="400"/>
      <c r="AJ86" s="400"/>
      <c r="AK86" s="400"/>
      <c r="AL86" s="400"/>
      <c r="AM86" s="400"/>
      <c r="AN86" s="400"/>
      <c r="AO86" s="400"/>
      <c r="AP86" s="400"/>
      <c r="AQ86" s="400"/>
      <c r="AR86" s="400"/>
      <c r="AS86" s="400"/>
      <c r="AT86" s="400"/>
      <c r="AU86" s="400"/>
      <c r="AV86" s="400"/>
      <c r="AW86" s="400"/>
      <c r="AX86" s="400"/>
      <c r="AY86" s="400"/>
      <c r="AZ86" s="400"/>
      <c r="BA86" s="400"/>
      <c r="BB86" s="400"/>
      <c r="BC86" s="400"/>
      <c r="BD86" s="400"/>
      <c r="BE86" s="400"/>
      <c r="BF86" s="400"/>
      <c r="BG86" s="400"/>
      <c r="BH86" s="400"/>
      <c r="BI86" s="400"/>
      <c r="BJ86" s="400"/>
      <c r="BK86" s="400"/>
      <c r="BL86" s="400"/>
      <c r="BM86" s="400"/>
      <c r="BN86" s="400"/>
      <c r="BO86" s="400"/>
      <c r="BP86" s="400"/>
      <c r="BQ86" s="400"/>
      <c r="BR86" s="400"/>
      <c r="BS86" s="400"/>
      <c r="BT86" s="400"/>
      <c r="BU86" s="400"/>
    </row>
    <row r="87" spans="1:73" s="652" customFormat="1" ht="38.25" customHeight="1" thickBot="1">
      <c r="A87" s="911" t="s">
        <v>864</v>
      </c>
      <c r="B87" s="912"/>
      <c r="C87" s="399">
        <f>7366000+2451735+7429500+7535000</f>
        <v>24782235</v>
      </c>
      <c r="D87" s="543">
        <f>SUM(C87)+1930500+385100</f>
        <v>27097835</v>
      </c>
      <c r="E87" s="543">
        <v>7293365</v>
      </c>
      <c r="F87" s="569">
        <f t="shared" si="10"/>
        <v>0.26914936193242006</v>
      </c>
      <c r="G87" s="400"/>
      <c r="H87" s="651"/>
      <c r="I87" s="651"/>
      <c r="J87" s="651"/>
      <c r="K87" s="651"/>
      <c r="L87" s="651"/>
      <c r="M87" s="651"/>
      <c r="N87" s="651"/>
      <c r="O87" s="651"/>
      <c r="P87" s="651"/>
      <c r="Q87" s="651"/>
      <c r="R87" s="651"/>
      <c r="S87" s="651"/>
      <c r="T87" s="651"/>
      <c r="U87" s="651"/>
      <c r="V87" s="651"/>
      <c r="W87" s="651"/>
      <c r="X87" s="651"/>
      <c r="Y87" s="651"/>
      <c r="Z87" s="651"/>
      <c r="AA87" s="651"/>
      <c r="AB87" s="651"/>
      <c r="AC87" s="651"/>
      <c r="AD87" s="651"/>
      <c r="AE87" s="651"/>
      <c r="AF87" s="651"/>
      <c r="AG87" s="651"/>
      <c r="AH87" s="651"/>
      <c r="AI87" s="651"/>
      <c r="AJ87" s="651"/>
      <c r="AK87" s="651"/>
      <c r="AL87" s="651"/>
      <c r="AM87" s="651"/>
      <c r="AN87" s="651"/>
      <c r="AO87" s="651"/>
      <c r="AP87" s="651"/>
      <c r="AQ87" s="651"/>
      <c r="AR87" s="651"/>
      <c r="AS87" s="651"/>
      <c r="AT87" s="651"/>
      <c r="AU87" s="651"/>
      <c r="AV87" s="651"/>
      <c r="AW87" s="651"/>
      <c r="AX87" s="651"/>
      <c r="AY87" s="651"/>
      <c r="AZ87" s="651"/>
      <c r="BA87" s="651"/>
      <c r="BB87" s="651"/>
      <c r="BC87" s="651"/>
      <c r="BD87" s="651"/>
      <c r="BE87" s="651"/>
      <c r="BF87" s="651"/>
      <c r="BG87" s="651"/>
      <c r="BH87" s="651"/>
      <c r="BI87" s="651"/>
      <c r="BJ87" s="651"/>
      <c r="BK87" s="651"/>
      <c r="BL87" s="651"/>
      <c r="BM87" s="651"/>
      <c r="BN87" s="651"/>
      <c r="BO87" s="651"/>
      <c r="BP87" s="651"/>
      <c r="BQ87" s="651"/>
      <c r="BR87" s="651"/>
      <c r="BS87" s="651"/>
      <c r="BT87" s="651"/>
      <c r="BU87" s="651"/>
    </row>
    <row r="88" spans="1:73" s="401" customFormat="1" ht="52.5" customHeight="1" thickBot="1">
      <c r="A88" s="316" t="s">
        <v>865</v>
      </c>
      <c r="B88" s="551"/>
      <c r="C88" s="399">
        <f>25312174-2640000-514800</f>
        <v>22157374</v>
      </c>
      <c r="D88" s="543">
        <f>SUM(C88)+419291+200900+28590</f>
        <v>22806155</v>
      </c>
      <c r="E88" s="543">
        <v>7358809</v>
      </c>
      <c r="F88" s="569">
        <f t="shared" si="10"/>
        <v>0.32266767458170831</v>
      </c>
      <c r="G88" s="400"/>
      <c r="H88" s="400"/>
      <c r="I88" s="400"/>
      <c r="J88" s="400"/>
      <c r="K88" s="400"/>
      <c r="L88" s="400"/>
      <c r="M88" s="400"/>
      <c r="N88" s="400"/>
      <c r="O88" s="400"/>
      <c r="P88" s="400"/>
      <c r="Q88" s="400"/>
      <c r="R88" s="400"/>
      <c r="S88" s="400"/>
      <c r="T88" s="400"/>
      <c r="U88" s="400"/>
      <c r="V88" s="400"/>
      <c r="W88" s="400"/>
      <c r="X88" s="400"/>
      <c r="Y88" s="400"/>
      <c r="Z88" s="400"/>
      <c r="AA88" s="400"/>
      <c r="AB88" s="400"/>
      <c r="AC88" s="400"/>
      <c r="AD88" s="400"/>
      <c r="AE88" s="400"/>
      <c r="AF88" s="400"/>
      <c r="AG88" s="400"/>
      <c r="AH88" s="400"/>
      <c r="AI88" s="400"/>
      <c r="AJ88" s="400"/>
      <c r="AK88" s="400"/>
      <c r="AL88" s="400"/>
      <c r="AM88" s="400"/>
      <c r="AN88" s="400"/>
      <c r="AO88" s="400"/>
      <c r="AP88" s="400"/>
      <c r="AQ88" s="400"/>
      <c r="AR88" s="400"/>
      <c r="AS88" s="400"/>
      <c r="AT88" s="400"/>
      <c r="AU88" s="400"/>
      <c r="AV88" s="400"/>
      <c r="AW88" s="400"/>
      <c r="AX88" s="400"/>
      <c r="AY88" s="400"/>
      <c r="AZ88" s="400"/>
      <c r="BA88" s="400"/>
      <c r="BB88" s="400"/>
      <c r="BC88" s="400"/>
      <c r="BD88" s="400"/>
      <c r="BE88" s="400"/>
      <c r="BF88" s="400"/>
      <c r="BG88" s="400"/>
      <c r="BH88" s="400"/>
      <c r="BI88" s="400"/>
      <c r="BJ88" s="400"/>
      <c r="BK88" s="400"/>
      <c r="BL88" s="400"/>
      <c r="BM88" s="400"/>
      <c r="BN88" s="400"/>
      <c r="BO88" s="400"/>
      <c r="BP88" s="400"/>
      <c r="BQ88" s="400"/>
      <c r="BR88" s="400"/>
      <c r="BS88" s="400"/>
      <c r="BT88" s="400"/>
      <c r="BU88" s="400"/>
    </row>
    <row r="89" spans="1:73" s="401" customFormat="1" ht="52.5" customHeight="1" thickBot="1">
      <c r="A89" s="316" t="s">
        <v>866</v>
      </c>
      <c r="B89" s="551"/>
      <c r="C89" s="399">
        <f>1228697+6250000+2500000</f>
        <v>9978697</v>
      </c>
      <c r="D89" s="543">
        <f>SUM(C89)+967478</f>
        <v>10946175</v>
      </c>
      <c r="E89" s="543">
        <v>5807171</v>
      </c>
      <c r="F89" s="569">
        <f t="shared" si="10"/>
        <v>0.53052056997078889</v>
      </c>
      <c r="G89" s="400"/>
      <c r="H89" s="400"/>
      <c r="I89" s="400"/>
      <c r="J89" s="400"/>
      <c r="K89" s="400"/>
      <c r="L89" s="400"/>
      <c r="M89" s="400"/>
      <c r="N89" s="400"/>
      <c r="O89" s="400"/>
      <c r="P89" s="400"/>
      <c r="Q89" s="400"/>
      <c r="R89" s="400"/>
      <c r="S89" s="400"/>
      <c r="T89" s="400"/>
      <c r="U89" s="400"/>
      <c r="V89" s="400"/>
      <c r="W89" s="400"/>
      <c r="X89" s="400"/>
      <c r="Y89" s="400"/>
      <c r="Z89" s="400"/>
      <c r="AA89" s="400"/>
      <c r="AB89" s="400"/>
      <c r="AC89" s="400"/>
      <c r="AD89" s="400"/>
      <c r="AE89" s="400"/>
      <c r="AF89" s="400"/>
      <c r="AG89" s="400"/>
      <c r="AH89" s="400"/>
      <c r="AI89" s="400"/>
      <c r="AJ89" s="400"/>
      <c r="AK89" s="400"/>
      <c r="AL89" s="400"/>
      <c r="AM89" s="400"/>
      <c r="AN89" s="400"/>
      <c r="AO89" s="400"/>
      <c r="AP89" s="400"/>
      <c r="AQ89" s="400"/>
      <c r="AR89" s="400"/>
      <c r="AS89" s="400"/>
      <c r="AT89" s="400"/>
      <c r="AU89" s="400"/>
      <c r="AV89" s="400"/>
      <c r="AW89" s="400"/>
      <c r="AX89" s="400"/>
      <c r="AY89" s="400"/>
      <c r="AZ89" s="400"/>
      <c r="BA89" s="400"/>
      <c r="BB89" s="400"/>
      <c r="BC89" s="400"/>
      <c r="BD89" s="400"/>
      <c r="BE89" s="400"/>
      <c r="BF89" s="400"/>
      <c r="BG89" s="400"/>
      <c r="BH89" s="400"/>
      <c r="BI89" s="400"/>
      <c r="BJ89" s="400"/>
      <c r="BK89" s="400"/>
      <c r="BL89" s="400"/>
      <c r="BM89" s="400"/>
      <c r="BN89" s="400"/>
      <c r="BO89" s="400"/>
      <c r="BP89" s="400"/>
      <c r="BQ89" s="400"/>
      <c r="BR89" s="400"/>
      <c r="BS89" s="400"/>
      <c r="BT89" s="400"/>
      <c r="BU89" s="400"/>
    </row>
    <row r="90" spans="1:73" s="401" customFormat="1" ht="52.5" customHeight="1" thickBot="1">
      <c r="A90" s="316" t="s">
        <v>867</v>
      </c>
      <c r="B90" s="551"/>
      <c r="C90" s="399">
        <f>910800+2500000+2884047</f>
        <v>6294847</v>
      </c>
      <c r="D90" s="543">
        <f>SUM(C90)+717165+5768450</f>
        <v>12780462</v>
      </c>
      <c r="E90" s="543">
        <v>6791811</v>
      </c>
      <c r="F90" s="569">
        <f t="shared" si="10"/>
        <v>0.5314213993203063</v>
      </c>
      <c r="G90" s="400"/>
      <c r="H90" s="400"/>
      <c r="I90" s="400"/>
      <c r="J90" s="400"/>
      <c r="K90" s="400"/>
      <c r="L90" s="400"/>
      <c r="M90" s="400"/>
      <c r="N90" s="400"/>
      <c r="O90" s="400"/>
      <c r="P90" s="400"/>
      <c r="Q90" s="400"/>
      <c r="R90" s="400"/>
      <c r="S90" s="400"/>
      <c r="T90" s="400"/>
      <c r="U90" s="400"/>
      <c r="V90" s="400"/>
      <c r="W90" s="400"/>
      <c r="X90" s="400"/>
      <c r="Y90" s="400"/>
      <c r="Z90" s="400"/>
      <c r="AA90" s="400"/>
      <c r="AB90" s="400"/>
      <c r="AC90" s="400"/>
      <c r="AD90" s="400"/>
      <c r="AE90" s="400"/>
      <c r="AF90" s="400"/>
      <c r="AG90" s="400"/>
      <c r="AH90" s="400"/>
      <c r="AI90" s="400"/>
      <c r="AJ90" s="400"/>
      <c r="AK90" s="400"/>
      <c r="AL90" s="400"/>
      <c r="AM90" s="400"/>
      <c r="AN90" s="400"/>
      <c r="AO90" s="400"/>
      <c r="AP90" s="400"/>
      <c r="AQ90" s="400"/>
      <c r="AR90" s="400"/>
      <c r="AS90" s="400"/>
      <c r="AT90" s="400"/>
      <c r="AU90" s="400"/>
      <c r="AV90" s="400"/>
      <c r="AW90" s="400"/>
      <c r="AX90" s="400"/>
      <c r="AY90" s="400"/>
      <c r="AZ90" s="400"/>
      <c r="BA90" s="400"/>
      <c r="BB90" s="400"/>
      <c r="BC90" s="400"/>
      <c r="BD90" s="400"/>
      <c r="BE90" s="400"/>
      <c r="BF90" s="400"/>
      <c r="BG90" s="400"/>
      <c r="BH90" s="400"/>
      <c r="BI90" s="400"/>
      <c r="BJ90" s="400"/>
      <c r="BK90" s="400"/>
      <c r="BL90" s="400"/>
      <c r="BM90" s="400"/>
      <c r="BN90" s="400"/>
      <c r="BO90" s="400"/>
      <c r="BP90" s="400"/>
      <c r="BQ90" s="400"/>
      <c r="BR90" s="400"/>
      <c r="BS90" s="400"/>
      <c r="BT90" s="400"/>
      <c r="BU90" s="400"/>
    </row>
    <row r="91" spans="1:73" s="401" customFormat="1" ht="52.5" customHeight="1" thickBot="1">
      <c r="A91" s="316" t="s">
        <v>907</v>
      </c>
      <c r="B91" s="551"/>
      <c r="C91" s="399">
        <f>697950+3525000+2990000</f>
        <v>7212950</v>
      </c>
      <c r="D91" s="543">
        <f>SUM(C91)+549567</f>
        <v>7762517</v>
      </c>
      <c r="E91" s="543">
        <v>5304709</v>
      </c>
      <c r="F91" s="569">
        <f t="shared" si="10"/>
        <v>0.68337486410657777</v>
      </c>
      <c r="G91" s="400"/>
      <c r="H91" s="400"/>
      <c r="I91" s="400"/>
      <c r="J91" s="400"/>
      <c r="K91" s="400"/>
      <c r="L91" s="400"/>
      <c r="M91" s="400"/>
      <c r="N91" s="400"/>
      <c r="O91" s="400"/>
      <c r="P91" s="400"/>
      <c r="Q91" s="400"/>
      <c r="R91" s="400"/>
      <c r="S91" s="400"/>
      <c r="T91" s="400"/>
      <c r="U91" s="400"/>
      <c r="V91" s="400"/>
      <c r="W91" s="400"/>
      <c r="X91" s="400"/>
      <c r="Y91" s="400"/>
      <c r="Z91" s="400"/>
      <c r="AA91" s="400"/>
      <c r="AB91" s="400"/>
      <c r="AC91" s="400"/>
      <c r="AD91" s="400"/>
      <c r="AE91" s="400"/>
      <c r="AF91" s="400"/>
      <c r="AG91" s="400"/>
      <c r="AH91" s="400"/>
      <c r="AI91" s="400"/>
      <c r="AJ91" s="400"/>
      <c r="AK91" s="400"/>
      <c r="AL91" s="400"/>
      <c r="AM91" s="400"/>
      <c r="AN91" s="400"/>
      <c r="AO91" s="400"/>
      <c r="AP91" s="400"/>
      <c r="AQ91" s="400"/>
      <c r="AR91" s="400"/>
      <c r="AS91" s="400"/>
      <c r="AT91" s="400"/>
      <c r="AU91" s="400"/>
      <c r="AV91" s="400"/>
      <c r="AW91" s="400"/>
      <c r="AX91" s="400"/>
      <c r="AY91" s="400"/>
      <c r="AZ91" s="400"/>
      <c r="BA91" s="400"/>
      <c r="BB91" s="400"/>
      <c r="BC91" s="400"/>
      <c r="BD91" s="400"/>
      <c r="BE91" s="400"/>
      <c r="BF91" s="400"/>
      <c r="BG91" s="400"/>
      <c r="BH91" s="400"/>
      <c r="BI91" s="400"/>
      <c r="BJ91" s="400"/>
      <c r="BK91" s="400"/>
      <c r="BL91" s="400"/>
      <c r="BM91" s="400"/>
      <c r="BN91" s="400"/>
      <c r="BO91" s="400"/>
      <c r="BP91" s="400"/>
      <c r="BQ91" s="400"/>
      <c r="BR91" s="400"/>
      <c r="BS91" s="400"/>
      <c r="BT91" s="400"/>
      <c r="BU91" s="400"/>
    </row>
    <row r="92" spans="1:73" s="401" customFormat="1" ht="52.5" customHeight="1" thickBot="1">
      <c r="A92" s="316" t="s">
        <v>870</v>
      </c>
      <c r="B92" s="551"/>
      <c r="C92" s="399">
        <f>989999+2476500+185000</f>
        <v>3651499</v>
      </c>
      <c r="D92" s="543">
        <f>SUM(C92)+779528+50000</f>
        <v>4481027</v>
      </c>
      <c r="E92" s="543">
        <v>2227036</v>
      </c>
      <c r="F92" s="569">
        <f t="shared" si="10"/>
        <v>0.49699231894831253</v>
      </c>
      <c r="G92" s="400"/>
      <c r="H92" s="400"/>
      <c r="I92" s="400"/>
      <c r="J92" s="400"/>
      <c r="K92" s="400"/>
      <c r="L92" s="400"/>
      <c r="M92" s="400"/>
      <c r="N92" s="400"/>
      <c r="O92" s="400"/>
      <c r="P92" s="400"/>
      <c r="Q92" s="400"/>
      <c r="R92" s="400"/>
      <c r="S92" s="400"/>
      <c r="T92" s="400"/>
      <c r="U92" s="400"/>
      <c r="V92" s="400"/>
      <c r="W92" s="400"/>
      <c r="X92" s="400"/>
      <c r="Y92" s="400"/>
      <c r="Z92" s="400"/>
      <c r="AA92" s="400"/>
      <c r="AB92" s="400"/>
      <c r="AC92" s="400"/>
      <c r="AD92" s="400"/>
      <c r="AE92" s="400"/>
      <c r="AF92" s="400"/>
      <c r="AG92" s="400"/>
      <c r="AH92" s="400"/>
      <c r="AI92" s="400"/>
      <c r="AJ92" s="400"/>
      <c r="AK92" s="400"/>
      <c r="AL92" s="400"/>
      <c r="AM92" s="400"/>
      <c r="AN92" s="400"/>
      <c r="AO92" s="400"/>
      <c r="AP92" s="400"/>
      <c r="AQ92" s="400"/>
      <c r="AR92" s="400"/>
      <c r="AS92" s="400"/>
      <c r="AT92" s="400"/>
      <c r="AU92" s="400"/>
      <c r="AV92" s="400"/>
      <c r="AW92" s="400"/>
      <c r="AX92" s="400"/>
      <c r="AY92" s="400"/>
      <c r="AZ92" s="400"/>
      <c r="BA92" s="400"/>
      <c r="BB92" s="400"/>
      <c r="BC92" s="400"/>
      <c r="BD92" s="400"/>
      <c r="BE92" s="400"/>
      <c r="BF92" s="400"/>
      <c r="BG92" s="400"/>
      <c r="BH92" s="400"/>
      <c r="BI92" s="400"/>
      <c r="BJ92" s="400"/>
      <c r="BK92" s="400"/>
      <c r="BL92" s="400"/>
      <c r="BM92" s="400"/>
      <c r="BN92" s="400"/>
      <c r="BO92" s="400"/>
      <c r="BP92" s="400"/>
      <c r="BQ92" s="400"/>
      <c r="BR92" s="400"/>
      <c r="BS92" s="400"/>
      <c r="BT92" s="400"/>
      <c r="BU92" s="400"/>
    </row>
    <row r="93" spans="1:73" s="401" customFormat="1" ht="38.25" customHeight="1" thickBot="1">
      <c r="A93" s="316" t="s">
        <v>802</v>
      </c>
      <c r="B93" s="551"/>
      <c r="C93" s="399">
        <f>3850000</f>
        <v>3850000</v>
      </c>
      <c r="D93" s="543">
        <f>SUM(C93)-3850000</f>
        <v>0</v>
      </c>
      <c r="E93" s="543">
        <v>0</v>
      </c>
      <c r="F93" s="569">
        <v>0</v>
      </c>
      <c r="G93" s="400"/>
      <c r="H93" s="400"/>
      <c r="I93" s="400"/>
      <c r="J93" s="400"/>
      <c r="K93" s="400"/>
      <c r="L93" s="400"/>
      <c r="M93" s="400"/>
      <c r="N93" s="400"/>
      <c r="O93" s="400"/>
      <c r="P93" s="400"/>
      <c r="Q93" s="400"/>
      <c r="R93" s="400"/>
      <c r="S93" s="400"/>
      <c r="T93" s="400"/>
      <c r="U93" s="400"/>
      <c r="V93" s="400"/>
      <c r="W93" s="400"/>
      <c r="X93" s="400"/>
      <c r="Y93" s="400"/>
      <c r="Z93" s="400"/>
      <c r="AA93" s="400"/>
      <c r="AB93" s="400"/>
      <c r="AC93" s="400"/>
      <c r="AD93" s="400"/>
      <c r="AE93" s="400"/>
      <c r="AF93" s="400"/>
      <c r="AG93" s="400"/>
      <c r="AH93" s="400"/>
      <c r="AI93" s="400"/>
      <c r="AJ93" s="400"/>
      <c r="AK93" s="400"/>
      <c r="AL93" s="400"/>
      <c r="AM93" s="400"/>
      <c r="AN93" s="400"/>
      <c r="AO93" s="400"/>
      <c r="AP93" s="400"/>
      <c r="AQ93" s="400"/>
      <c r="AR93" s="400"/>
      <c r="AS93" s="400"/>
      <c r="AT93" s="400"/>
      <c r="AU93" s="400"/>
      <c r="AV93" s="400"/>
      <c r="AW93" s="400"/>
      <c r="AX93" s="400"/>
      <c r="AY93" s="400"/>
      <c r="AZ93" s="400"/>
      <c r="BA93" s="400"/>
      <c r="BB93" s="400"/>
      <c r="BC93" s="400"/>
      <c r="BD93" s="400"/>
      <c r="BE93" s="400"/>
      <c r="BF93" s="400"/>
      <c r="BG93" s="400"/>
      <c r="BH93" s="400"/>
      <c r="BI93" s="400"/>
      <c r="BJ93" s="400"/>
      <c r="BK93" s="400"/>
      <c r="BL93" s="400"/>
      <c r="BM93" s="400"/>
      <c r="BN93" s="400"/>
      <c r="BO93" s="400"/>
      <c r="BP93" s="400"/>
      <c r="BQ93" s="400"/>
      <c r="BR93" s="400"/>
      <c r="BS93" s="400"/>
      <c r="BT93" s="400"/>
      <c r="BU93" s="400"/>
    </row>
    <row r="94" spans="1:73" s="288" customFormat="1" ht="78" customHeight="1" thickBot="1">
      <c r="A94" s="659" t="s">
        <v>811</v>
      </c>
      <c r="B94" s="660"/>
      <c r="C94" s="399"/>
      <c r="D94" s="399">
        <v>10980000</v>
      </c>
      <c r="E94" s="399">
        <v>2603851</v>
      </c>
      <c r="F94" s="569">
        <f t="shared" si="10"/>
        <v>0.23714489981785064</v>
      </c>
      <c r="G94" s="408"/>
      <c r="H94" s="408"/>
      <c r="I94" s="408"/>
      <c r="J94" s="408"/>
      <c r="K94" s="408"/>
      <c r="L94" s="408"/>
      <c r="M94" s="408"/>
      <c r="N94" s="408"/>
      <c r="O94" s="408"/>
      <c r="P94" s="408"/>
      <c r="Q94" s="408"/>
      <c r="R94" s="408"/>
      <c r="S94" s="408"/>
      <c r="T94" s="408"/>
      <c r="U94" s="408"/>
      <c r="V94" s="408"/>
      <c r="W94" s="408"/>
      <c r="X94" s="408"/>
      <c r="Y94" s="408"/>
      <c r="Z94" s="408"/>
      <c r="AA94" s="408"/>
      <c r="AB94" s="408"/>
      <c r="AC94" s="408"/>
      <c r="AD94" s="408"/>
      <c r="AE94" s="408"/>
      <c r="AF94" s="408"/>
      <c r="AG94" s="408"/>
      <c r="AH94" s="408"/>
      <c r="AI94" s="408"/>
      <c r="AJ94" s="408"/>
      <c r="AK94" s="408"/>
      <c r="AL94" s="408"/>
      <c r="AM94" s="408"/>
      <c r="AN94" s="408"/>
      <c r="AO94" s="408"/>
      <c r="AP94" s="408"/>
      <c r="AQ94" s="408"/>
      <c r="AR94" s="408"/>
      <c r="AS94" s="408"/>
      <c r="AT94" s="408"/>
      <c r="AU94" s="408"/>
      <c r="AV94" s="408"/>
      <c r="AW94" s="408"/>
      <c r="AX94" s="408"/>
      <c r="AY94" s="408"/>
      <c r="AZ94" s="408"/>
      <c r="BA94" s="408"/>
      <c r="BB94" s="408"/>
      <c r="BC94" s="408"/>
      <c r="BD94" s="408"/>
      <c r="BE94" s="408"/>
      <c r="BF94" s="408"/>
      <c r="BG94" s="408"/>
      <c r="BH94" s="408"/>
      <c r="BI94" s="408"/>
      <c r="BJ94" s="408"/>
      <c r="BK94" s="408"/>
      <c r="BL94" s="408"/>
      <c r="BM94" s="408"/>
      <c r="BN94" s="408"/>
      <c r="BO94" s="408"/>
      <c r="BP94" s="408"/>
      <c r="BQ94" s="408"/>
      <c r="BR94" s="408"/>
      <c r="BS94" s="408"/>
      <c r="BT94" s="408"/>
      <c r="BU94" s="408"/>
    </row>
    <row r="95" spans="1:73" s="658" customFormat="1" ht="38.25" customHeight="1" thickBot="1">
      <c r="A95" s="655" t="s">
        <v>808</v>
      </c>
      <c r="B95" s="656"/>
      <c r="C95" s="399"/>
      <c r="D95" s="399">
        <v>51714618</v>
      </c>
      <c r="E95" s="399">
        <v>0</v>
      </c>
      <c r="F95" s="569">
        <f t="shared" si="10"/>
        <v>0</v>
      </c>
      <c r="G95" s="408"/>
      <c r="H95" s="657"/>
      <c r="I95" s="657"/>
      <c r="J95" s="657"/>
      <c r="K95" s="657"/>
      <c r="L95" s="657"/>
      <c r="M95" s="657"/>
      <c r="N95" s="657"/>
      <c r="O95" s="657"/>
      <c r="P95" s="657"/>
      <c r="Q95" s="657"/>
      <c r="R95" s="657"/>
      <c r="S95" s="657"/>
      <c r="T95" s="657"/>
      <c r="U95" s="657"/>
      <c r="V95" s="657"/>
      <c r="W95" s="657"/>
      <c r="X95" s="657"/>
      <c r="Y95" s="657"/>
      <c r="Z95" s="657"/>
      <c r="AA95" s="657"/>
      <c r="AB95" s="657"/>
      <c r="AC95" s="657"/>
      <c r="AD95" s="657"/>
      <c r="AE95" s="657"/>
      <c r="AF95" s="657"/>
      <c r="AG95" s="657"/>
      <c r="AH95" s="657"/>
      <c r="AI95" s="657"/>
      <c r="AJ95" s="657"/>
      <c r="AK95" s="657"/>
      <c r="AL95" s="657"/>
      <c r="AM95" s="657"/>
      <c r="AN95" s="657"/>
      <c r="AO95" s="657"/>
      <c r="AP95" s="657"/>
      <c r="AQ95" s="657"/>
      <c r="AR95" s="657"/>
      <c r="AS95" s="657"/>
      <c r="AT95" s="657"/>
      <c r="AU95" s="657"/>
      <c r="AV95" s="657"/>
      <c r="AW95" s="657"/>
      <c r="AX95" s="657"/>
      <c r="AY95" s="657"/>
      <c r="AZ95" s="657"/>
      <c r="BA95" s="657"/>
      <c r="BB95" s="657"/>
      <c r="BC95" s="657"/>
      <c r="BD95" s="657"/>
      <c r="BE95" s="657"/>
      <c r="BF95" s="657"/>
      <c r="BG95" s="657"/>
      <c r="BH95" s="657"/>
      <c r="BI95" s="657"/>
      <c r="BJ95" s="657"/>
      <c r="BK95" s="657"/>
      <c r="BL95" s="657"/>
      <c r="BM95" s="657"/>
      <c r="BN95" s="657"/>
      <c r="BO95" s="657"/>
      <c r="BP95" s="657"/>
      <c r="BQ95" s="657"/>
      <c r="BR95" s="657"/>
      <c r="BS95" s="657"/>
      <c r="BT95" s="657"/>
      <c r="BU95" s="657"/>
    </row>
    <row r="96" spans="1:73" s="288" customFormat="1" ht="57" thickBot="1">
      <c r="A96" s="659" t="s">
        <v>908</v>
      </c>
      <c r="B96" s="660"/>
      <c r="C96" s="399"/>
      <c r="D96" s="399">
        <v>255000</v>
      </c>
      <c r="E96" s="399">
        <v>1208697</v>
      </c>
      <c r="F96" s="569">
        <f t="shared" si="10"/>
        <v>4.7399882352941178</v>
      </c>
      <c r="G96" s="408"/>
      <c r="H96" s="408"/>
      <c r="I96" s="408"/>
      <c r="J96" s="408"/>
      <c r="K96" s="408"/>
      <c r="L96" s="408"/>
      <c r="M96" s="408"/>
      <c r="N96" s="408"/>
      <c r="O96" s="408"/>
      <c r="P96" s="408"/>
      <c r="Q96" s="408"/>
      <c r="R96" s="408"/>
      <c r="S96" s="408"/>
      <c r="T96" s="408"/>
      <c r="U96" s="408"/>
      <c r="V96" s="408"/>
      <c r="W96" s="408"/>
      <c r="X96" s="408"/>
      <c r="Y96" s="408"/>
      <c r="Z96" s="408"/>
      <c r="AA96" s="408"/>
      <c r="AB96" s="408"/>
      <c r="AC96" s="408"/>
      <c r="AD96" s="408"/>
      <c r="AE96" s="408"/>
      <c r="AF96" s="408"/>
      <c r="AG96" s="408"/>
      <c r="AH96" s="408"/>
      <c r="AI96" s="408"/>
      <c r="AJ96" s="408"/>
      <c r="AK96" s="408"/>
      <c r="AL96" s="408"/>
      <c r="AM96" s="408"/>
      <c r="AN96" s="408"/>
      <c r="AO96" s="408"/>
      <c r="AP96" s="408"/>
      <c r="AQ96" s="408"/>
      <c r="AR96" s="408"/>
      <c r="AS96" s="408"/>
      <c r="AT96" s="408"/>
      <c r="AU96" s="408"/>
      <c r="AV96" s="408"/>
      <c r="AW96" s="408"/>
      <c r="AX96" s="408"/>
      <c r="AY96" s="408"/>
      <c r="AZ96" s="408"/>
      <c r="BA96" s="408"/>
      <c r="BB96" s="408"/>
      <c r="BC96" s="408"/>
      <c r="BD96" s="408"/>
      <c r="BE96" s="408"/>
      <c r="BF96" s="408"/>
      <c r="BG96" s="408"/>
      <c r="BH96" s="408"/>
      <c r="BI96" s="408"/>
      <c r="BJ96" s="408"/>
      <c r="BK96" s="408"/>
      <c r="BL96" s="408"/>
      <c r="BM96" s="408"/>
      <c r="BN96" s="408"/>
      <c r="BO96" s="408"/>
      <c r="BP96" s="408"/>
      <c r="BQ96" s="408"/>
      <c r="BR96" s="408"/>
      <c r="BS96" s="408"/>
      <c r="BT96" s="408"/>
      <c r="BU96" s="408"/>
    </row>
    <row r="97" spans="1:73" s="288" customFormat="1" ht="74.25" customHeight="1" thickBot="1">
      <c r="A97" s="659" t="s">
        <v>810</v>
      </c>
      <c r="B97" s="660"/>
      <c r="C97" s="399"/>
      <c r="D97" s="399"/>
      <c r="E97" s="399">
        <v>12025</v>
      </c>
      <c r="F97" s="569">
        <v>0</v>
      </c>
      <c r="G97" s="408"/>
      <c r="H97" s="408"/>
      <c r="I97" s="408"/>
      <c r="J97" s="408"/>
      <c r="K97" s="408"/>
      <c r="L97" s="408"/>
      <c r="M97" s="408"/>
      <c r="N97" s="408"/>
      <c r="O97" s="408"/>
      <c r="P97" s="408"/>
      <c r="Q97" s="408"/>
      <c r="R97" s="408"/>
      <c r="S97" s="408"/>
      <c r="T97" s="408"/>
      <c r="U97" s="408"/>
      <c r="V97" s="408"/>
      <c r="W97" s="408"/>
      <c r="X97" s="408"/>
      <c r="Y97" s="408"/>
      <c r="Z97" s="408"/>
      <c r="AA97" s="408"/>
      <c r="AB97" s="408"/>
      <c r="AC97" s="408"/>
      <c r="AD97" s="408"/>
      <c r="AE97" s="408"/>
      <c r="AF97" s="408"/>
      <c r="AG97" s="408"/>
      <c r="AH97" s="408"/>
      <c r="AI97" s="408"/>
      <c r="AJ97" s="408"/>
      <c r="AK97" s="408"/>
      <c r="AL97" s="408"/>
      <c r="AM97" s="408"/>
      <c r="AN97" s="408"/>
      <c r="AO97" s="408"/>
      <c r="AP97" s="408"/>
      <c r="AQ97" s="408"/>
      <c r="AR97" s="408"/>
      <c r="AS97" s="408"/>
      <c r="AT97" s="408"/>
      <c r="AU97" s="408"/>
      <c r="AV97" s="408"/>
      <c r="AW97" s="408"/>
      <c r="AX97" s="408"/>
      <c r="AY97" s="408"/>
      <c r="AZ97" s="408"/>
      <c r="BA97" s="408"/>
      <c r="BB97" s="408"/>
      <c r="BC97" s="408"/>
      <c r="BD97" s="408"/>
      <c r="BE97" s="408"/>
      <c r="BF97" s="408"/>
      <c r="BG97" s="408"/>
      <c r="BH97" s="408"/>
      <c r="BI97" s="408"/>
      <c r="BJ97" s="408"/>
      <c r="BK97" s="408"/>
      <c r="BL97" s="408"/>
      <c r="BM97" s="408"/>
      <c r="BN97" s="408"/>
      <c r="BO97" s="408"/>
      <c r="BP97" s="408"/>
      <c r="BQ97" s="408"/>
      <c r="BR97" s="408"/>
      <c r="BS97" s="408"/>
      <c r="BT97" s="408"/>
      <c r="BU97" s="408"/>
    </row>
    <row r="98" spans="1:73" s="396" customFormat="1" ht="56.25" customHeight="1" thickBot="1">
      <c r="A98" s="638" t="s">
        <v>664</v>
      </c>
      <c r="B98" s="398"/>
      <c r="C98" s="399">
        <v>19050000</v>
      </c>
      <c r="D98" s="543">
        <f t="shared" ref="D98:D99" si="11">SUM(C98)</f>
        <v>19050000</v>
      </c>
      <c r="E98" s="543">
        <v>29050000</v>
      </c>
      <c r="F98" s="569">
        <f t="shared" si="10"/>
        <v>1.5249343832020998</v>
      </c>
      <c r="G98" s="395"/>
      <c r="H98" s="395"/>
      <c r="I98" s="395"/>
      <c r="J98" s="395"/>
      <c r="K98" s="395"/>
      <c r="L98" s="395"/>
      <c r="M98" s="395"/>
      <c r="N98" s="395"/>
      <c r="O98" s="395"/>
      <c r="P98" s="395"/>
      <c r="Q98" s="395"/>
      <c r="R98" s="395"/>
      <c r="S98" s="395"/>
      <c r="T98" s="395"/>
      <c r="U98" s="395"/>
      <c r="V98" s="395"/>
      <c r="W98" s="395"/>
      <c r="X98" s="395"/>
      <c r="Y98" s="395"/>
      <c r="Z98" s="395"/>
      <c r="AA98" s="395"/>
      <c r="AB98" s="395"/>
      <c r="AC98" s="395"/>
      <c r="AD98" s="395"/>
      <c r="AE98" s="395"/>
      <c r="AF98" s="395"/>
      <c r="AG98" s="395"/>
      <c r="AH98" s="395"/>
      <c r="AI98" s="395"/>
      <c r="AJ98" s="395"/>
      <c r="AK98" s="395"/>
      <c r="AL98" s="395"/>
      <c r="AM98" s="395"/>
      <c r="AN98" s="395"/>
      <c r="AO98" s="395"/>
      <c r="AP98" s="395"/>
      <c r="AQ98" s="395"/>
      <c r="AR98" s="395"/>
      <c r="AS98" s="395"/>
      <c r="AT98" s="395"/>
      <c r="AU98" s="395"/>
      <c r="AV98" s="395"/>
      <c r="AW98" s="395"/>
      <c r="AX98" s="395"/>
      <c r="AY98" s="395"/>
      <c r="AZ98" s="395"/>
      <c r="BA98" s="395"/>
      <c r="BB98" s="395"/>
      <c r="BC98" s="395"/>
      <c r="BD98" s="395"/>
      <c r="BE98" s="395"/>
      <c r="BF98" s="395"/>
      <c r="BG98" s="395"/>
      <c r="BH98" s="395"/>
      <c r="BI98" s="395"/>
      <c r="BJ98" s="395"/>
      <c r="BK98" s="395"/>
      <c r="BL98" s="395"/>
      <c r="BM98" s="395"/>
      <c r="BN98" s="395"/>
      <c r="BO98" s="395"/>
      <c r="BP98" s="395"/>
      <c r="BQ98" s="395"/>
      <c r="BR98" s="395"/>
      <c r="BS98" s="395"/>
      <c r="BT98" s="395"/>
      <c r="BU98" s="395"/>
    </row>
    <row r="99" spans="1:73" s="396" customFormat="1" ht="27" customHeight="1" thickBot="1">
      <c r="A99" s="638" t="s">
        <v>469</v>
      </c>
      <c r="B99" s="393"/>
      <c r="C99" s="399">
        <v>3000000</v>
      </c>
      <c r="D99" s="543">
        <f t="shared" si="11"/>
        <v>3000000</v>
      </c>
      <c r="E99" s="543">
        <v>3220720</v>
      </c>
      <c r="F99" s="569">
        <f t="shared" si="10"/>
        <v>1.0735733333333333</v>
      </c>
      <c r="G99" s="395"/>
      <c r="H99" s="395"/>
      <c r="I99" s="395"/>
      <c r="J99" s="395"/>
      <c r="K99" s="395"/>
      <c r="L99" s="395"/>
      <c r="M99" s="395"/>
      <c r="N99" s="395"/>
      <c r="O99" s="395"/>
      <c r="P99" s="395"/>
      <c r="Q99" s="395"/>
      <c r="R99" s="395"/>
      <c r="S99" s="395"/>
      <c r="T99" s="395"/>
      <c r="U99" s="395"/>
      <c r="V99" s="395"/>
      <c r="W99" s="395"/>
      <c r="X99" s="395"/>
      <c r="Y99" s="395"/>
      <c r="Z99" s="395"/>
      <c r="AA99" s="395"/>
      <c r="AB99" s="395"/>
      <c r="AC99" s="395"/>
      <c r="AD99" s="395"/>
      <c r="AE99" s="395"/>
      <c r="AF99" s="395"/>
      <c r="AG99" s="395"/>
      <c r="AH99" s="395"/>
      <c r="AI99" s="395"/>
      <c r="AJ99" s="395"/>
      <c r="AK99" s="395"/>
      <c r="AL99" s="395"/>
      <c r="AM99" s="395"/>
      <c r="AN99" s="395"/>
      <c r="AO99" s="395"/>
      <c r="AP99" s="395"/>
      <c r="AQ99" s="395"/>
      <c r="AR99" s="395"/>
      <c r="AS99" s="395"/>
      <c r="AT99" s="395"/>
      <c r="AU99" s="395"/>
      <c r="AV99" s="395"/>
      <c r="AW99" s="395"/>
      <c r="AX99" s="395"/>
      <c r="AY99" s="395"/>
      <c r="AZ99" s="395"/>
      <c r="BA99" s="395"/>
      <c r="BB99" s="395"/>
      <c r="BC99" s="395"/>
      <c r="BD99" s="395"/>
      <c r="BE99" s="395"/>
      <c r="BF99" s="395"/>
      <c r="BG99" s="395"/>
      <c r="BH99" s="395"/>
      <c r="BI99" s="395"/>
      <c r="BJ99" s="395"/>
      <c r="BK99" s="395"/>
      <c r="BL99" s="395"/>
      <c r="BM99" s="395"/>
      <c r="BN99" s="395"/>
      <c r="BO99" s="395"/>
      <c r="BP99" s="395"/>
      <c r="BQ99" s="395"/>
      <c r="BR99" s="395"/>
      <c r="BS99" s="395"/>
      <c r="BT99" s="395"/>
      <c r="BU99" s="395"/>
    </row>
    <row r="100" spans="1:73" s="401" customFormat="1" ht="29.25" customHeight="1" thickBot="1">
      <c r="A100" s="638" t="s">
        <v>653</v>
      </c>
      <c r="B100" s="398"/>
      <c r="C100" s="399">
        <v>2000000</v>
      </c>
      <c r="D100" s="543">
        <f>SUM(B101:B102)+137000+34000+445431</f>
        <v>616431</v>
      </c>
      <c r="E100" s="543">
        <v>0</v>
      </c>
      <c r="F100" s="569">
        <f t="shared" si="10"/>
        <v>0</v>
      </c>
      <c r="G100" s="400"/>
      <c r="H100" s="400"/>
      <c r="I100" s="400"/>
      <c r="J100" s="400"/>
      <c r="K100" s="400"/>
      <c r="L100" s="400"/>
      <c r="M100" s="400"/>
      <c r="N100" s="400"/>
      <c r="O100" s="400"/>
      <c r="P100" s="400"/>
      <c r="Q100" s="400"/>
      <c r="R100" s="400"/>
      <c r="S100" s="400"/>
      <c r="T100" s="400"/>
      <c r="U100" s="400"/>
      <c r="V100" s="400"/>
      <c r="W100" s="400"/>
      <c r="X100" s="400"/>
      <c r="Y100" s="400"/>
      <c r="Z100" s="400"/>
      <c r="AA100" s="400"/>
      <c r="AB100" s="400"/>
      <c r="AC100" s="400"/>
      <c r="AD100" s="400"/>
      <c r="AE100" s="400"/>
      <c r="AF100" s="400"/>
      <c r="AG100" s="400"/>
      <c r="AH100" s="400"/>
      <c r="AI100" s="400"/>
      <c r="AJ100" s="400"/>
      <c r="AK100" s="400"/>
      <c r="AL100" s="400"/>
      <c r="AM100" s="400"/>
      <c r="AN100" s="400"/>
      <c r="AO100" s="400"/>
      <c r="AP100" s="400"/>
      <c r="AQ100" s="400"/>
      <c r="AR100" s="400"/>
      <c r="AS100" s="400"/>
      <c r="AT100" s="400"/>
      <c r="AU100" s="400"/>
      <c r="AV100" s="400"/>
      <c r="AW100" s="400"/>
      <c r="AX100" s="400"/>
      <c r="AY100" s="400"/>
      <c r="AZ100" s="400"/>
      <c r="BA100" s="400"/>
      <c r="BB100" s="400"/>
      <c r="BC100" s="400"/>
      <c r="BD100" s="400"/>
      <c r="BE100" s="400"/>
      <c r="BF100" s="400"/>
      <c r="BG100" s="400"/>
      <c r="BH100" s="400"/>
      <c r="BI100" s="400"/>
      <c r="BJ100" s="400"/>
      <c r="BK100" s="400"/>
      <c r="BL100" s="400"/>
      <c r="BM100" s="400"/>
      <c r="BN100" s="400"/>
      <c r="BO100" s="400"/>
      <c r="BP100" s="400"/>
      <c r="BQ100" s="400"/>
      <c r="BR100" s="400"/>
      <c r="BS100" s="400"/>
      <c r="BT100" s="400"/>
      <c r="BU100" s="400"/>
    </row>
    <row r="101" spans="1:73" s="396" customFormat="1" ht="24.75" customHeight="1" thickBot="1">
      <c r="A101" s="397" t="s">
        <v>909</v>
      </c>
      <c r="B101" s="393"/>
      <c r="C101" s="399"/>
      <c r="D101" s="543"/>
      <c r="E101" s="543"/>
      <c r="F101" s="569"/>
      <c r="G101" s="395"/>
      <c r="H101" s="395"/>
      <c r="I101" s="395"/>
      <c r="J101" s="395"/>
      <c r="K101" s="395"/>
      <c r="L101" s="395"/>
      <c r="M101" s="395"/>
      <c r="N101" s="395"/>
      <c r="O101" s="395"/>
      <c r="P101" s="395"/>
      <c r="Q101" s="395"/>
      <c r="R101" s="395"/>
      <c r="S101" s="395"/>
      <c r="T101" s="395"/>
      <c r="U101" s="395"/>
      <c r="V101" s="395"/>
      <c r="W101" s="395"/>
      <c r="X101" s="395"/>
      <c r="Y101" s="395"/>
      <c r="Z101" s="395"/>
      <c r="AA101" s="395"/>
      <c r="AB101" s="395"/>
      <c r="AC101" s="395"/>
      <c r="AD101" s="395"/>
      <c r="AE101" s="395"/>
      <c r="AF101" s="395"/>
      <c r="AG101" s="395"/>
      <c r="AH101" s="395"/>
      <c r="AI101" s="395"/>
      <c r="AJ101" s="395"/>
      <c r="AK101" s="395"/>
      <c r="AL101" s="395"/>
      <c r="AM101" s="395"/>
      <c r="AN101" s="395"/>
      <c r="AO101" s="395"/>
      <c r="AP101" s="395"/>
      <c r="AQ101" s="395"/>
      <c r="AR101" s="395"/>
      <c r="AS101" s="395"/>
      <c r="AT101" s="395"/>
      <c r="AU101" s="395"/>
      <c r="AV101" s="395"/>
      <c r="AW101" s="395"/>
      <c r="AX101" s="395"/>
      <c r="AY101" s="395"/>
      <c r="AZ101" s="395"/>
      <c r="BA101" s="395"/>
      <c r="BB101" s="395"/>
      <c r="BC101" s="395"/>
      <c r="BD101" s="395"/>
      <c r="BE101" s="395"/>
      <c r="BF101" s="395"/>
      <c r="BG101" s="395"/>
      <c r="BH101" s="395"/>
      <c r="BI101" s="395"/>
      <c r="BJ101" s="395"/>
      <c r="BK101" s="395"/>
      <c r="BL101" s="395"/>
      <c r="BM101" s="395"/>
      <c r="BN101" s="395"/>
      <c r="BO101" s="395"/>
      <c r="BP101" s="395"/>
      <c r="BQ101" s="395"/>
      <c r="BR101" s="395"/>
      <c r="BS101" s="395"/>
      <c r="BT101" s="395"/>
      <c r="BU101" s="395"/>
    </row>
    <row r="102" spans="1:73" s="396" customFormat="1" ht="24.75" customHeight="1" thickBot="1">
      <c r="A102" s="397" t="s">
        <v>655</v>
      </c>
      <c r="B102" s="393"/>
      <c r="C102" s="399"/>
      <c r="D102" s="543"/>
      <c r="E102" s="543"/>
      <c r="F102" s="569"/>
      <c r="G102" s="395"/>
      <c r="H102" s="395"/>
      <c r="I102" s="395"/>
      <c r="J102" s="395"/>
      <c r="K102" s="395"/>
      <c r="L102" s="395"/>
      <c r="M102" s="395"/>
      <c r="N102" s="395"/>
      <c r="O102" s="395"/>
      <c r="P102" s="395"/>
      <c r="Q102" s="395"/>
      <c r="R102" s="395"/>
      <c r="S102" s="395"/>
      <c r="T102" s="395"/>
      <c r="U102" s="395"/>
      <c r="V102" s="395"/>
      <c r="W102" s="395"/>
      <c r="X102" s="395"/>
      <c r="Y102" s="395"/>
      <c r="Z102" s="395"/>
      <c r="AA102" s="395"/>
      <c r="AB102" s="395"/>
      <c r="AC102" s="395"/>
      <c r="AD102" s="395"/>
      <c r="AE102" s="395"/>
      <c r="AF102" s="395"/>
      <c r="AG102" s="395"/>
      <c r="AH102" s="395"/>
      <c r="AI102" s="395"/>
      <c r="AJ102" s="395"/>
      <c r="AK102" s="395"/>
      <c r="AL102" s="395"/>
      <c r="AM102" s="395"/>
      <c r="AN102" s="395"/>
      <c r="AO102" s="395"/>
      <c r="AP102" s="395"/>
      <c r="AQ102" s="395"/>
      <c r="AR102" s="395"/>
      <c r="AS102" s="395"/>
      <c r="AT102" s="395"/>
      <c r="AU102" s="395"/>
      <c r="AV102" s="395"/>
      <c r="AW102" s="395"/>
      <c r="AX102" s="395"/>
      <c r="AY102" s="395"/>
      <c r="AZ102" s="395"/>
      <c r="BA102" s="395"/>
      <c r="BB102" s="395"/>
      <c r="BC102" s="395"/>
      <c r="BD102" s="395"/>
      <c r="BE102" s="395"/>
      <c r="BF102" s="395"/>
      <c r="BG102" s="395"/>
      <c r="BH102" s="395"/>
      <c r="BI102" s="395"/>
      <c r="BJ102" s="395"/>
      <c r="BK102" s="395"/>
      <c r="BL102" s="395"/>
      <c r="BM102" s="395"/>
      <c r="BN102" s="395"/>
      <c r="BO102" s="395"/>
      <c r="BP102" s="395"/>
      <c r="BQ102" s="395"/>
      <c r="BR102" s="395"/>
      <c r="BS102" s="395"/>
      <c r="BT102" s="395"/>
      <c r="BU102" s="395"/>
    </row>
    <row r="103" spans="1:73" s="401" customFormat="1" ht="30.75" customHeight="1" thickBot="1">
      <c r="A103" s="316" t="s">
        <v>657</v>
      </c>
      <c r="B103" s="317"/>
      <c r="C103" s="318">
        <v>500000</v>
      </c>
      <c r="D103" s="543">
        <f t="shared" ref="D103:D111" si="12">SUM(C103)</f>
        <v>500000</v>
      </c>
      <c r="E103" s="543">
        <v>509610</v>
      </c>
      <c r="F103" s="569">
        <f>E103/D103</f>
        <v>1.01922</v>
      </c>
      <c r="G103" s="400"/>
      <c r="H103" s="400"/>
      <c r="I103" s="400"/>
      <c r="J103" s="400"/>
      <c r="K103" s="400"/>
      <c r="L103" s="400"/>
      <c r="M103" s="400"/>
      <c r="N103" s="400"/>
      <c r="O103" s="400"/>
      <c r="P103" s="400"/>
      <c r="Q103" s="400"/>
      <c r="R103" s="400"/>
      <c r="S103" s="400"/>
      <c r="T103" s="400"/>
      <c r="U103" s="400"/>
      <c r="V103" s="400"/>
      <c r="W103" s="400"/>
      <c r="X103" s="400"/>
      <c r="Y103" s="400"/>
      <c r="Z103" s="400"/>
      <c r="AA103" s="400"/>
      <c r="AB103" s="400"/>
      <c r="AC103" s="400"/>
      <c r="AD103" s="400"/>
      <c r="AE103" s="400"/>
      <c r="AF103" s="400"/>
      <c r="AG103" s="400"/>
      <c r="AH103" s="400"/>
      <c r="AI103" s="400"/>
      <c r="AJ103" s="400"/>
      <c r="AK103" s="400"/>
      <c r="AL103" s="400"/>
      <c r="AM103" s="400"/>
      <c r="AN103" s="400"/>
      <c r="AO103" s="400"/>
      <c r="AP103" s="400"/>
      <c r="AQ103" s="400"/>
      <c r="AR103" s="400"/>
      <c r="AS103" s="400"/>
      <c r="AT103" s="400"/>
      <c r="AU103" s="400"/>
      <c r="AV103" s="400"/>
      <c r="AW103" s="400"/>
      <c r="AX103" s="400"/>
      <c r="AY103" s="400"/>
      <c r="AZ103" s="400"/>
      <c r="BA103" s="400"/>
      <c r="BB103" s="400"/>
      <c r="BC103" s="400"/>
      <c r="BD103" s="400"/>
      <c r="BE103" s="400"/>
      <c r="BF103" s="400"/>
      <c r="BG103" s="400"/>
      <c r="BH103" s="400"/>
      <c r="BI103" s="400"/>
      <c r="BJ103" s="400"/>
      <c r="BK103" s="400"/>
      <c r="BL103" s="400"/>
      <c r="BM103" s="400"/>
      <c r="BN103" s="400"/>
      <c r="BO103" s="400"/>
      <c r="BP103" s="400"/>
      <c r="BQ103" s="400"/>
      <c r="BR103" s="400"/>
      <c r="BS103" s="400"/>
      <c r="BT103" s="400"/>
      <c r="BU103" s="400"/>
    </row>
    <row r="104" spans="1:73" s="541" customFormat="1" ht="66.75" customHeight="1" thickBot="1">
      <c r="A104" s="537" t="s">
        <v>456</v>
      </c>
      <c r="B104" s="550"/>
      <c r="C104" s="539" t="s">
        <v>343</v>
      </c>
      <c r="D104" s="673" t="s">
        <v>344</v>
      </c>
      <c r="E104" s="673" t="s">
        <v>285</v>
      </c>
      <c r="F104" s="704" t="s">
        <v>286</v>
      </c>
      <c r="G104" s="278"/>
      <c r="H104" s="540"/>
      <c r="I104" s="540"/>
      <c r="J104" s="540"/>
      <c r="K104" s="540"/>
      <c r="L104" s="540"/>
      <c r="M104" s="540"/>
      <c r="N104" s="540"/>
      <c r="O104" s="540"/>
      <c r="P104" s="540"/>
      <c r="Q104" s="540"/>
      <c r="R104" s="540"/>
      <c r="S104" s="540"/>
      <c r="T104" s="540"/>
      <c r="U104" s="540"/>
      <c r="V104" s="540"/>
      <c r="W104" s="540"/>
      <c r="X104" s="540"/>
      <c r="Y104" s="540"/>
      <c r="Z104" s="540"/>
      <c r="AA104" s="540"/>
      <c r="AB104" s="540"/>
      <c r="AC104" s="540"/>
      <c r="AD104" s="540"/>
      <c r="AE104" s="540"/>
      <c r="AF104" s="540"/>
      <c r="AG104" s="540"/>
      <c r="AH104" s="540"/>
      <c r="AI104" s="540"/>
      <c r="AJ104" s="540"/>
      <c r="AK104" s="540"/>
      <c r="AL104" s="540"/>
      <c r="AM104" s="540"/>
      <c r="AN104" s="540"/>
      <c r="AO104" s="540"/>
      <c r="AP104" s="540"/>
      <c r="AQ104" s="540"/>
      <c r="AR104" s="540"/>
      <c r="AS104" s="540"/>
      <c r="AT104" s="540"/>
      <c r="AU104" s="540"/>
      <c r="AV104" s="540"/>
      <c r="AW104" s="540"/>
      <c r="AX104" s="540"/>
      <c r="AY104" s="540"/>
      <c r="AZ104" s="540"/>
      <c r="BA104" s="540"/>
      <c r="BB104" s="540"/>
      <c r="BC104" s="540"/>
      <c r="BD104" s="540"/>
      <c r="BE104" s="540"/>
      <c r="BF104" s="540"/>
      <c r="BG104" s="540"/>
      <c r="BH104" s="540"/>
      <c r="BI104" s="540"/>
      <c r="BJ104" s="540"/>
      <c r="BK104" s="540"/>
      <c r="BL104" s="540"/>
      <c r="BM104" s="540"/>
      <c r="BN104" s="540"/>
      <c r="BO104" s="540"/>
      <c r="BP104" s="540"/>
      <c r="BQ104" s="540"/>
      <c r="BR104" s="540"/>
      <c r="BS104" s="540"/>
      <c r="BT104" s="540"/>
      <c r="BU104" s="540"/>
    </row>
    <row r="105" spans="1:73" s="396" customFormat="1" ht="51" customHeight="1" thickBot="1">
      <c r="A105" s="638" t="s">
        <v>488</v>
      </c>
      <c r="B105" s="398"/>
      <c r="C105" s="399">
        <v>2000000</v>
      </c>
      <c r="D105" s="543">
        <f>SUM(C105)+-341324</f>
        <v>1658676</v>
      </c>
      <c r="E105" s="543">
        <f>3572983+10321+48662+7860</f>
        <v>3639826</v>
      </c>
      <c r="F105" s="569">
        <f t="shared" ref="F105:F111" si="13">E105/D105</f>
        <v>2.1944165105180278</v>
      </c>
      <c r="G105" s="395"/>
      <c r="H105" s="395"/>
      <c r="I105" s="395"/>
      <c r="J105" s="395"/>
      <c r="K105" s="395"/>
      <c r="L105" s="395"/>
      <c r="M105" s="395"/>
      <c r="N105" s="395"/>
      <c r="O105" s="395"/>
      <c r="P105" s="395"/>
      <c r="Q105" s="395"/>
      <c r="R105" s="395"/>
      <c r="S105" s="395"/>
      <c r="T105" s="395"/>
      <c r="U105" s="395"/>
      <c r="V105" s="395"/>
      <c r="W105" s="395"/>
      <c r="X105" s="395"/>
      <c r="Y105" s="395"/>
      <c r="Z105" s="395"/>
      <c r="AA105" s="395"/>
      <c r="AB105" s="395"/>
      <c r="AC105" s="395"/>
      <c r="AD105" s="395"/>
      <c r="AE105" s="395"/>
      <c r="AF105" s="395"/>
      <c r="AG105" s="395"/>
      <c r="AH105" s="395"/>
      <c r="AI105" s="395"/>
      <c r="AJ105" s="395"/>
      <c r="AK105" s="395"/>
      <c r="AL105" s="395"/>
      <c r="AM105" s="395"/>
      <c r="AN105" s="395"/>
      <c r="AO105" s="395"/>
      <c r="AP105" s="395"/>
      <c r="AQ105" s="395"/>
      <c r="AR105" s="395"/>
      <c r="AS105" s="395"/>
      <c r="AT105" s="395"/>
      <c r="AU105" s="395"/>
      <c r="AV105" s="395"/>
      <c r="AW105" s="395"/>
      <c r="AX105" s="395"/>
      <c r="AY105" s="395"/>
      <c r="AZ105" s="395"/>
      <c r="BA105" s="395"/>
      <c r="BB105" s="395"/>
      <c r="BC105" s="395"/>
      <c r="BD105" s="395"/>
      <c r="BE105" s="395"/>
      <c r="BF105" s="395"/>
      <c r="BG105" s="395"/>
      <c r="BH105" s="395"/>
      <c r="BI105" s="395"/>
      <c r="BJ105" s="395"/>
      <c r="BK105" s="395"/>
      <c r="BL105" s="395"/>
      <c r="BM105" s="395"/>
      <c r="BN105" s="395"/>
      <c r="BO105" s="395"/>
      <c r="BP105" s="395"/>
      <c r="BQ105" s="395"/>
      <c r="BR105" s="395"/>
      <c r="BS105" s="395"/>
      <c r="BT105" s="395"/>
      <c r="BU105" s="395"/>
    </row>
    <row r="106" spans="1:73" s="396" customFormat="1" ht="34.5" customHeight="1" thickBot="1">
      <c r="A106" s="638" t="s">
        <v>489</v>
      </c>
      <c r="B106" s="398"/>
      <c r="C106" s="399">
        <v>2000000</v>
      </c>
      <c r="D106" s="543">
        <f>SUM(C106)+70570-2070570+25000</f>
        <v>25000</v>
      </c>
      <c r="E106" s="543">
        <f>18857+177865+25778+110493+5062</f>
        <v>338055</v>
      </c>
      <c r="F106" s="569">
        <f t="shared" si="13"/>
        <v>13.5222</v>
      </c>
      <c r="G106" s="395"/>
      <c r="H106" s="395"/>
      <c r="I106" s="395"/>
      <c r="J106" s="395"/>
      <c r="K106" s="395"/>
      <c r="L106" s="395"/>
      <c r="M106" s="395"/>
      <c r="N106" s="395"/>
      <c r="O106" s="395"/>
      <c r="P106" s="395"/>
      <c r="Q106" s="395"/>
      <c r="R106" s="395"/>
      <c r="S106" s="395"/>
      <c r="T106" s="395"/>
      <c r="U106" s="395"/>
      <c r="V106" s="395"/>
      <c r="W106" s="395"/>
      <c r="X106" s="395"/>
      <c r="Y106" s="395"/>
      <c r="Z106" s="395"/>
      <c r="AA106" s="395"/>
      <c r="AB106" s="395"/>
      <c r="AC106" s="395"/>
      <c r="AD106" s="395"/>
      <c r="AE106" s="395"/>
      <c r="AF106" s="395"/>
      <c r="AG106" s="395"/>
      <c r="AH106" s="395"/>
      <c r="AI106" s="395"/>
      <c r="AJ106" s="395"/>
      <c r="AK106" s="395"/>
      <c r="AL106" s="395"/>
      <c r="AM106" s="395"/>
      <c r="AN106" s="395"/>
      <c r="AO106" s="395"/>
      <c r="AP106" s="395"/>
      <c r="AQ106" s="395"/>
      <c r="AR106" s="395"/>
      <c r="AS106" s="395"/>
      <c r="AT106" s="395"/>
      <c r="AU106" s="395"/>
      <c r="AV106" s="395"/>
      <c r="AW106" s="395"/>
      <c r="AX106" s="395"/>
      <c r="AY106" s="395"/>
      <c r="AZ106" s="395"/>
      <c r="BA106" s="395"/>
      <c r="BB106" s="395"/>
      <c r="BC106" s="395"/>
      <c r="BD106" s="395"/>
      <c r="BE106" s="395"/>
      <c r="BF106" s="395"/>
      <c r="BG106" s="395"/>
      <c r="BH106" s="395"/>
      <c r="BI106" s="395"/>
      <c r="BJ106" s="395"/>
      <c r="BK106" s="395"/>
      <c r="BL106" s="395"/>
      <c r="BM106" s="395"/>
      <c r="BN106" s="395"/>
      <c r="BO106" s="395"/>
      <c r="BP106" s="395"/>
      <c r="BQ106" s="395"/>
      <c r="BR106" s="395"/>
      <c r="BS106" s="395"/>
      <c r="BT106" s="395"/>
      <c r="BU106" s="395"/>
    </row>
    <row r="107" spans="1:73" s="396" customFormat="1" ht="34.5" customHeight="1" thickBot="1">
      <c r="A107" s="638" t="s">
        <v>905</v>
      </c>
      <c r="B107" s="398"/>
      <c r="C107" s="399"/>
      <c r="D107" s="399">
        <f>588878-364149</f>
        <v>224729</v>
      </c>
      <c r="E107" s="399">
        <v>224729</v>
      </c>
      <c r="F107" s="569">
        <f t="shared" si="13"/>
        <v>1</v>
      </c>
      <c r="G107" s="395"/>
      <c r="H107" s="395"/>
      <c r="I107" s="395"/>
      <c r="J107" s="395"/>
      <c r="K107" s="395"/>
      <c r="L107" s="395"/>
      <c r="M107" s="395"/>
      <c r="N107" s="395"/>
      <c r="O107" s="395"/>
      <c r="P107" s="395"/>
      <c r="Q107" s="395"/>
      <c r="R107" s="395"/>
      <c r="S107" s="395"/>
      <c r="T107" s="395"/>
      <c r="U107" s="395"/>
      <c r="V107" s="395"/>
      <c r="W107" s="395"/>
      <c r="X107" s="395"/>
      <c r="Y107" s="395"/>
      <c r="Z107" s="395"/>
      <c r="AA107" s="395"/>
      <c r="AB107" s="395"/>
      <c r="AC107" s="395"/>
      <c r="AD107" s="395"/>
      <c r="AE107" s="395"/>
      <c r="AF107" s="395"/>
      <c r="AG107" s="395"/>
      <c r="AH107" s="395"/>
      <c r="AI107" s="395"/>
      <c r="AJ107" s="395"/>
      <c r="AK107" s="395"/>
      <c r="AL107" s="395"/>
      <c r="AM107" s="395"/>
      <c r="AN107" s="395"/>
      <c r="AO107" s="395"/>
      <c r="AP107" s="395"/>
      <c r="AQ107" s="395"/>
      <c r="AR107" s="395"/>
      <c r="AS107" s="395"/>
      <c r="AT107" s="395"/>
      <c r="AU107" s="395"/>
      <c r="AV107" s="395"/>
      <c r="AW107" s="395"/>
      <c r="AX107" s="395"/>
      <c r="AY107" s="395"/>
      <c r="AZ107" s="395"/>
      <c r="BA107" s="395"/>
      <c r="BB107" s="395"/>
      <c r="BC107" s="395"/>
      <c r="BD107" s="395"/>
      <c r="BE107" s="395"/>
      <c r="BF107" s="395"/>
      <c r="BG107" s="395"/>
      <c r="BH107" s="395"/>
      <c r="BI107" s="395"/>
      <c r="BJ107" s="395"/>
      <c r="BK107" s="395"/>
      <c r="BL107" s="395"/>
      <c r="BM107" s="395"/>
      <c r="BN107" s="395"/>
      <c r="BO107" s="395"/>
      <c r="BP107" s="395"/>
      <c r="BQ107" s="395"/>
      <c r="BR107" s="395"/>
      <c r="BS107" s="395"/>
      <c r="BT107" s="395"/>
      <c r="BU107" s="395"/>
    </row>
    <row r="108" spans="1:73" s="396" customFormat="1" ht="34.5" customHeight="1" thickBot="1">
      <c r="A108" s="638" t="s">
        <v>885</v>
      </c>
      <c r="B108" s="398"/>
      <c r="C108" s="399"/>
      <c r="D108" s="543">
        <v>50000</v>
      </c>
      <c r="E108" s="543">
        <v>50000</v>
      </c>
      <c r="F108" s="569">
        <f t="shared" si="13"/>
        <v>1</v>
      </c>
      <c r="G108" s="395"/>
      <c r="H108" s="395"/>
      <c r="I108" s="395"/>
      <c r="J108" s="395"/>
      <c r="K108" s="395"/>
      <c r="L108" s="395"/>
      <c r="M108" s="395"/>
      <c r="N108" s="395"/>
      <c r="O108" s="395"/>
      <c r="P108" s="395"/>
      <c r="Q108" s="395"/>
      <c r="R108" s="395"/>
      <c r="S108" s="395"/>
      <c r="T108" s="395"/>
      <c r="U108" s="395"/>
      <c r="V108" s="395"/>
      <c r="W108" s="395"/>
      <c r="X108" s="395"/>
      <c r="Y108" s="395"/>
      <c r="Z108" s="395"/>
      <c r="AA108" s="395"/>
      <c r="AB108" s="395"/>
      <c r="AC108" s="395"/>
      <c r="AD108" s="395"/>
      <c r="AE108" s="395"/>
      <c r="AF108" s="395"/>
      <c r="AG108" s="395"/>
      <c r="AH108" s="395"/>
      <c r="AI108" s="395"/>
      <c r="AJ108" s="395"/>
      <c r="AK108" s="395"/>
      <c r="AL108" s="395"/>
      <c r="AM108" s="395"/>
      <c r="AN108" s="395"/>
      <c r="AO108" s="395"/>
      <c r="AP108" s="395"/>
      <c r="AQ108" s="395"/>
      <c r="AR108" s="395"/>
      <c r="AS108" s="395"/>
      <c r="AT108" s="395"/>
      <c r="AU108" s="395"/>
      <c r="AV108" s="395"/>
      <c r="AW108" s="395"/>
      <c r="AX108" s="395"/>
      <c r="AY108" s="395"/>
      <c r="AZ108" s="395"/>
      <c r="BA108" s="395"/>
      <c r="BB108" s="395"/>
      <c r="BC108" s="395"/>
      <c r="BD108" s="395"/>
      <c r="BE108" s="395"/>
      <c r="BF108" s="395"/>
      <c r="BG108" s="395"/>
      <c r="BH108" s="395"/>
      <c r="BI108" s="395"/>
      <c r="BJ108" s="395"/>
      <c r="BK108" s="395"/>
      <c r="BL108" s="395"/>
      <c r="BM108" s="395"/>
      <c r="BN108" s="395"/>
      <c r="BO108" s="395"/>
      <c r="BP108" s="395"/>
      <c r="BQ108" s="395"/>
      <c r="BR108" s="395"/>
      <c r="BS108" s="395"/>
      <c r="BT108" s="395"/>
      <c r="BU108" s="395"/>
    </row>
    <row r="109" spans="1:73" s="396" customFormat="1" ht="32.25" customHeight="1" thickBot="1">
      <c r="A109" s="638" t="s">
        <v>887</v>
      </c>
      <c r="B109" s="398"/>
      <c r="C109" s="399">
        <v>1875000</v>
      </c>
      <c r="D109" s="543">
        <f>SUM(C109)+1875000</f>
        <v>3750000</v>
      </c>
      <c r="E109" s="543">
        <v>3750000</v>
      </c>
      <c r="F109" s="569">
        <f t="shared" si="13"/>
        <v>1</v>
      </c>
      <c r="G109" s="395"/>
      <c r="H109" s="395"/>
      <c r="I109" s="395"/>
      <c r="J109" s="395"/>
      <c r="K109" s="395"/>
      <c r="L109" s="395"/>
      <c r="M109" s="395"/>
      <c r="N109" s="395"/>
      <c r="O109" s="395"/>
      <c r="P109" s="395"/>
      <c r="Q109" s="395"/>
      <c r="R109" s="395"/>
      <c r="S109" s="395"/>
      <c r="T109" s="395"/>
      <c r="U109" s="395"/>
      <c r="V109" s="395"/>
      <c r="W109" s="395"/>
      <c r="X109" s="395"/>
      <c r="Y109" s="395"/>
      <c r="Z109" s="395"/>
      <c r="AA109" s="395"/>
      <c r="AB109" s="395"/>
      <c r="AC109" s="395"/>
      <c r="AD109" s="395"/>
      <c r="AE109" s="395"/>
      <c r="AF109" s="395"/>
      <c r="AG109" s="395"/>
      <c r="AH109" s="395"/>
      <c r="AI109" s="395"/>
      <c r="AJ109" s="395"/>
      <c r="AK109" s="395"/>
      <c r="AL109" s="395"/>
      <c r="AM109" s="395"/>
      <c r="AN109" s="395"/>
      <c r="AO109" s="395"/>
      <c r="AP109" s="395"/>
      <c r="AQ109" s="395"/>
      <c r="AR109" s="395"/>
      <c r="AS109" s="395"/>
      <c r="AT109" s="395"/>
      <c r="AU109" s="395"/>
      <c r="AV109" s="395"/>
      <c r="AW109" s="395"/>
      <c r="AX109" s="395"/>
      <c r="AY109" s="395"/>
      <c r="AZ109" s="395"/>
      <c r="BA109" s="395"/>
      <c r="BB109" s="395"/>
      <c r="BC109" s="395"/>
      <c r="BD109" s="395"/>
      <c r="BE109" s="395"/>
      <c r="BF109" s="395"/>
      <c r="BG109" s="395"/>
      <c r="BH109" s="395"/>
      <c r="BI109" s="395"/>
      <c r="BJ109" s="395"/>
      <c r="BK109" s="395"/>
      <c r="BL109" s="395"/>
      <c r="BM109" s="395"/>
      <c r="BN109" s="395"/>
      <c r="BO109" s="395"/>
      <c r="BP109" s="395"/>
      <c r="BQ109" s="395"/>
      <c r="BR109" s="395"/>
      <c r="BS109" s="395"/>
      <c r="BT109" s="395"/>
      <c r="BU109" s="395"/>
    </row>
    <row r="110" spans="1:73" s="396" customFormat="1" ht="32.25" customHeight="1" thickBot="1">
      <c r="A110" s="911" t="s">
        <v>888</v>
      </c>
      <c r="B110" s="912"/>
      <c r="C110" s="399"/>
      <c r="D110" s="543">
        <f>1371600</f>
        <v>1371600</v>
      </c>
      <c r="E110" s="543">
        <v>1143000</v>
      </c>
      <c r="F110" s="569">
        <f t="shared" si="13"/>
        <v>0.83333333333333337</v>
      </c>
      <c r="G110" s="395"/>
      <c r="H110" s="395"/>
      <c r="I110" s="395"/>
      <c r="J110" s="395"/>
      <c r="K110" s="395"/>
      <c r="L110" s="395"/>
      <c r="M110" s="395"/>
      <c r="N110" s="395"/>
      <c r="O110" s="395"/>
      <c r="P110" s="395"/>
      <c r="Q110" s="395"/>
      <c r="R110" s="395"/>
      <c r="S110" s="395"/>
      <c r="T110" s="395"/>
      <c r="U110" s="395"/>
      <c r="V110" s="395"/>
      <c r="W110" s="395"/>
      <c r="X110" s="395"/>
      <c r="Y110" s="395"/>
      <c r="Z110" s="395"/>
      <c r="AA110" s="395"/>
      <c r="AB110" s="395"/>
      <c r="AC110" s="395"/>
      <c r="AD110" s="395"/>
      <c r="AE110" s="395"/>
      <c r="AF110" s="395"/>
      <c r="AG110" s="395"/>
      <c r="AH110" s="395"/>
      <c r="AI110" s="395"/>
      <c r="AJ110" s="395"/>
      <c r="AK110" s="395"/>
      <c r="AL110" s="395"/>
      <c r="AM110" s="395"/>
      <c r="AN110" s="395"/>
      <c r="AO110" s="395"/>
      <c r="AP110" s="395"/>
      <c r="AQ110" s="395"/>
      <c r="AR110" s="395"/>
      <c r="AS110" s="395"/>
      <c r="AT110" s="395"/>
      <c r="AU110" s="395"/>
      <c r="AV110" s="395"/>
      <c r="AW110" s="395"/>
      <c r="AX110" s="395"/>
      <c r="AY110" s="395"/>
      <c r="AZ110" s="395"/>
      <c r="BA110" s="395"/>
      <c r="BB110" s="395"/>
      <c r="BC110" s="395"/>
      <c r="BD110" s="395"/>
      <c r="BE110" s="395"/>
      <c r="BF110" s="395"/>
      <c r="BG110" s="395"/>
      <c r="BH110" s="395"/>
      <c r="BI110" s="395"/>
      <c r="BJ110" s="395"/>
      <c r="BK110" s="395"/>
      <c r="BL110" s="395"/>
      <c r="BM110" s="395"/>
      <c r="BN110" s="395"/>
      <c r="BO110" s="395"/>
      <c r="BP110" s="395"/>
      <c r="BQ110" s="395"/>
      <c r="BR110" s="395"/>
      <c r="BS110" s="395"/>
      <c r="BT110" s="395"/>
      <c r="BU110" s="395"/>
    </row>
    <row r="111" spans="1:73" s="396" customFormat="1" ht="26.25" customHeight="1" thickBot="1">
      <c r="A111" s="638" t="s">
        <v>491</v>
      </c>
      <c r="B111" s="398"/>
      <c r="C111" s="399">
        <f>SUM(B112:B118)</f>
        <v>1438460</v>
      </c>
      <c r="D111" s="543">
        <f t="shared" si="12"/>
        <v>1438460</v>
      </c>
      <c r="E111" s="543">
        <v>850868</v>
      </c>
      <c r="F111" s="569">
        <f t="shared" si="13"/>
        <v>0.59151314600336469</v>
      </c>
      <c r="G111" s="395"/>
      <c r="H111" s="395"/>
      <c r="I111" s="395"/>
      <c r="J111" s="395"/>
      <c r="K111" s="395"/>
      <c r="L111" s="395"/>
      <c r="M111" s="395"/>
      <c r="N111" s="395"/>
      <c r="O111" s="395"/>
      <c r="P111" s="395"/>
      <c r="Q111" s="395"/>
      <c r="R111" s="395"/>
      <c r="S111" s="395"/>
      <c r="T111" s="395"/>
      <c r="U111" s="395"/>
      <c r="V111" s="395"/>
      <c r="W111" s="395"/>
      <c r="X111" s="395"/>
      <c r="Y111" s="395"/>
      <c r="Z111" s="395"/>
      <c r="AA111" s="395"/>
      <c r="AB111" s="395"/>
      <c r="AC111" s="395"/>
      <c r="AD111" s="395"/>
      <c r="AE111" s="395"/>
      <c r="AF111" s="395"/>
      <c r="AG111" s="395"/>
      <c r="AH111" s="395"/>
      <c r="AI111" s="395"/>
      <c r="AJ111" s="395"/>
      <c r="AK111" s="395"/>
      <c r="AL111" s="395"/>
      <c r="AM111" s="395"/>
      <c r="AN111" s="395"/>
      <c r="AO111" s="395"/>
      <c r="AP111" s="395"/>
      <c r="AQ111" s="395"/>
      <c r="AR111" s="395"/>
      <c r="AS111" s="395"/>
      <c r="AT111" s="395"/>
      <c r="AU111" s="395"/>
      <c r="AV111" s="395"/>
      <c r="AW111" s="395"/>
      <c r="AX111" s="395"/>
      <c r="AY111" s="395"/>
      <c r="AZ111" s="395"/>
      <c r="BA111" s="395"/>
      <c r="BB111" s="395"/>
      <c r="BC111" s="395"/>
      <c r="BD111" s="395"/>
      <c r="BE111" s="395"/>
      <c r="BF111" s="395"/>
      <c r="BG111" s="395"/>
      <c r="BH111" s="395"/>
      <c r="BI111" s="395"/>
      <c r="BJ111" s="395"/>
      <c r="BK111" s="395"/>
      <c r="BL111" s="395"/>
      <c r="BM111" s="395"/>
      <c r="BN111" s="395"/>
      <c r="BO111" s="395"/>
      <c r="BP111" s="395"/>
      <c r="BQ111" s="395"/>
      <c r="BR111" s="395"/>
      <c r="BS111" s="395"/>
      <c r="BT111" s="395"/>
      <c r="BU111" s="395"/>
    </row>
    <row r="112" spans="1:73" s="396" customFormat="1" ht="38.25" thickBot="1">
      <c r="A112" s="397" t="s">
        <v>658</v>
      </c>
      <c r="B112" s="393">
        <v>718725</v>
      </c>
      <c r="C112" s="399"/>
      <c r="D112" s="543"/>
      <c r="E112" s="543"/>
      <c r="F112" s="569"/>
      <c r="G112" s="395"/>
      <c r="H112" s="395"/>
      <c r="I112" s="395"/>
      <c r="J112" s="395"/>
      <c r="K112" s="395"/>
      <c r="L112" s="395"/>
      <c r="M112" s="395"/>
      <c r="N112" s="395"/>
      <c r="O112" s="395"/>
      <c r="P112" s="395"/>
      <c r="Q112" s="395"/>
      <c r="R112" s="395"/>
      <c r="S112" s="395"/>
      <c r="T112" s="395"/>
      <c r="U112" s="395"/>
      <c r="V112" s="395"/>
      <c r="W112" s="395"/>
      <c r="X112" s="395"/>
      <c r="Y112" s="395"/>
      <c r="Z112" s="395"/>
      <c r="AA112" s="395"/>
      <c r="AB112" s="395"/>
      <c r="AC112" s="395"/>
      <c r="AD112" s="395"/>
      <c r="AE112" s="395"/>
      <c r="AF112" s="395"/>
      <c r="AG112" s="395"/>
      <c r="AH112" s="395"/>
      <c r="AI112" s="395"/>
      <c r="AJ112" s="395"/>
      <c r="AK112" s="395"/>
      <c r="AL112" s="395"/>
      <c r="AM112" s="395"/>
      <c r="AN112" s="395"/>
      <c r="AO112" s="395"/>
      <c r="AP112" s="395"/>
      <c r="AQ112" s="395"/>
      <c r="AR112" s="395"/>
      <c r="AS112" s="395"/>
      <c r="AT112" s="395"/>
      <c r="AU112" s="395"/>
      <c r="AV112" s="395"/>
      <c r="AW112" s="395"/>
      <c r="AX112" s="395"/>
      <c r="AY112" s="395"/>
      <c r="AZ112" s="395"/>
      <c r="BA112" s="395"/>
      <c r="BB112" s="395"/>
      <c r="BC112" s="395"/>
      <c r="BD112" s="395"/>
      <c r="BE112" s="395"/>
      <c r="BF112" s="395"/>
      <c r="BG112" s="395"/>
      <c r="BH112" s="395"/>
      <c r="BI112" s="395"/>
      <c r="BJ112" s="395"/>
      <c r="BK112" s="395"/>
      <c r="BL112" s="395"/>
      <c r="BM112" s="395"/>
      <c r="BN112" s="395"/>
      <c r="BO112" s="395"/>
      <c r="BP112" s="395"/>
      <c r="BQ112" s="395"/>
      <c r="BR112" s="395"/>
      <c r="BS112" s="395"/>
      <c r="BT112" s="395"/>
      <c r="BU112" s="395"/>
    </row>
    <row r="113" spans="1:73" s="396" customFormat="1" ht="24" customHeight="1" thickBot="1">
      <c r="A113" s="397" t="s">
        <v>659</v>
      </c>
      <c r="B113" s="393">
        <v>50000</v>
      </c>
      <c r="C113" s="399"/>
      <c r="D113" s="543"/>
      <c r="E113" s="543"/>
      <c r="F113" s="569"/>
      <c r="G113" s="395"/>
      <c r="H113" s="395"/>
      <c r="I113" s="395"/>
      <c r="J113" s="395"/>
      <c r="K113" s="395"/>
      <c r="L113" s="395"/>
      <c r="M113" s="395"/>
      <c r="N113" s="395"/>
      <c r="O113" s="395"/>
      <c r="P113" s="395"/>
      <c r="Q113" s="395"/>
      <c r="R113" s="395"/>
      <c r="S113" s="395"/>
      <c r="T113" s="395"/>
      <c r="U113" s="395"/>
      <c r="V113" s="395"/>
      <c r="W113" s="395"/>
      <c r="X113" s="395"/>
      <c r="Y113" s="395"/>
      <c r="Z113" s="395"/>
      <c r="AA113" s="395"/>
      <c r="AB113" s="395"/>
      <c r="AC113" s="395"/>
      <c r="AD113" s="395"/>
      <c r="AE113" s="395"/>
      <c r="AF113" s="395"/>
      <c r="AG113" s="395"/>
      <c r="AH113" s="395"/>
      <c r="AI113" s="395"/>
      <c r="AJ113" s="395"/>
      <c r="AK113" s="395"/>
      <c r="AL113" s="395"/>
      <c r="AM113" s="395"/>
      <c r="AN113" s="395"/>
      <c r="AO113" s="395"/>
      <c r="AP113" s="395"/>
      <c r="AQ113" s="395"/>
      <c r="AR113" s="395"/>
      <c r="AS113" s="395"/>
      <c r="AT113" s="395"/>
      <c r="AU113" s="395"/>
      <c r="AV113" s="395"/>
      <c r="AW113" s="395"/>
      <c r="AX113" s="395"/>
      <c r="AY113" s="395"/>
      <c r="AZ113" s="395"/>
      <c r="BA113" s="395"/>
      <c r="BB113" s="395"/>
      <c r="BC113" s="395"/>
      <c r="BD113" s="395"/>
      <c r="BE113" s="395"/>
      <c r="BF113" s="395"/>
      <c r="BG113" s="395"/>
      <c r="BH113" s="395"/>
      <c r="BI113" s="395"/>
      <c r="BJ113" s="395"/>
      <c r="BK113" s="395"/>
      <c r="BL113" s="395"/>
      <c r="BM113" s="395"/>
      <c r="BN113" s="395"/>
      <c r="BO113" s="395"/>
      <c r="BP113" s="395"/>
      <c r="BQ113" s="395"/>
      <c r="BR113" s="395"/>
      <c r="BS113" s="395"/>
      <c r="BT113" s="395"/>
      <c r="BU113" s="395"/>
    </row>
    <row r="114" spans="1:73" s="396" customFormat="1" ht="62.25" customHeight="1" thickBot="1">
      <c r="A114" s="397" t="s">
        <v>660</v>
      </c>
      <c r="B114" s="393">
        <v>543200</v>
      </c>
      <c r="C114" s="399"/>
      <c r="D114" s="543"/>
      <c r="E114" s="543"/>
      <c r="F114" s="569"/>
      <c r="G114" s="395"/>
      <c r="H114" s="395"/>
      <c r="I114" s="395"/>
      <c r="J114" s="395"/>
      <c r="K114" s="395"/>
      <c r="L114" s="395"/>
      <c r="M114" s="395"/>
      <c r="N114" s="395"/>
      <c r="O114" s="395"/>
      <c r="P114" s="395"/>
      <c r="Q114" s="395"/>
      <c r="R114" s="395"/>
      <c r="S114" s="395"/>
      <c r="T114" s="395"/>
      <c r="U114" s="395"/>
      <c r="V114" s="395"/>
      <c r="W114" s="395"/>
      <c r="X114" s="395"/>
      <c r="Y114" s="395"/>
      <c r="Z114" s="395"/>
      <c r="AA114" s="395"/>
      <c r="AB114" s="395"/>
      <c r="AC114" s="395"/>
      <c r="AD114" s="395"/>
      <c r="AE114" s="395"/>
      <c r="AF114" s="395"/>
      <c r="AG114" s="395"/>
      <c r="AH114" s="395"/>
      <c r="AI114" s="395"/>
      <c r="AJ114" s="395"/>
      <c r="AK114" s="395"/>
      <c r="AL114" s="395"/>
      <c r="AM114" s="395"/>
      <c r="AN114" s="395"/>
      <c r="AO114" s="395"/>
      <c r="AP114" s="395"/>
      <c r="AQ114" s="395"/>
      <c r="AR114" s="395"/>
      <c r="AS114" s="395"/>
      <c r="AT114" s="395"/>
      <c r="AU114" s="395"/>
      <c r="AV114" s="395"/>
      <c r="AW114" s="395"/>
      <c r="AX114" s="395"/>
      <c r="AY114" s="395"/>
      <c r="AZ114" s="395"/>
      <c r="BA114" s="395"/>
      <c r="BB114" s="395"/>
      <c r="BC114" s="395"/>
      <c r="BD114" s="395"/>
      <c r="BE114" s="395"/>
      <c r="BF114" s="395"/>
      <c r="BG114" s="395"/>
      <c r="BH114" s="395"/>
      <c r="BI114" s="395"/>
      <c r="BJ114" s="395"/>
      <c r="BK114" s="395"/>
      <c r="BL114" s="395"/>
      <c r="BM114" s="395"/>
      <c r="BN114" s="395"/>
      <c r="BO114" s="395"/>
      <c r="BP114" s="395"/>
      <c r="BQ114" s="395"/>
      <c r="BR114" s="395"/>
      <c r="BS114" s="395"/>
      <c r="BT114" s="395"/>
      <c r="BU114" s="395"/>
    </row>
    <row r="115" spans="1:73" s="396" customFormat="1" ht="30.75" customHeight="1" thickBot="1">
      <c r="A115" s="397" t="s">
        <v>661</v>
      </c>
      <c r="B115" s="393">
        <v>20535</v>
      </c>
      <c r="C115" s="399"/>
      <c r="D115" s="543"/>
      <c r="E115" s="543"/>
      <c r="F115" s="569"/>
      <c r="G115" s="395"/>
      <c r="H115" s="395"/>
      <c r="I115" s="395"/>
      <c r="J115" s="395"/>
      <c r="K115" s="395"/>
      <c r="L115" s="395"/>
      <c r="M115" s="395"/>
      <c r="N115" s="395"/>
      <c r="O115" s="395"/>
      <c r="P115" s="395"/>
      <c r="Q115" s="395"/>
      <c r="R115" s="395"/>
      <c r="S115" s="395"/>
      <c r="T115" s="395"/>
      <c r="U115" s="395"/>
      <c r="V115" s="395"/>
      <c r="W115" s="395"/>
      <c r="X115" s="395"/>
      <c r="Y115" s="395"/>
      <c r="Z115" s="395"/>
      <c r="AA115" s="395"/>
      <c r="AB115" s="395"/>
      <c r="AC115" s="395"/>
      <c r="AD115" s="395"/>
      <c r="AE115" s="395"/>
      <c r="AF115" s="395"/>
      <c r="AG115" s="395"/>
      <c r="AH115" s="395"/>
      <c r="AI115" s="395"/>
      <c r="AJ115" s="395"/>
      <c r="AK115" s="395"/>
      <c r="AL115" s="395"/>
      <c r="AM115" s="395"/>
      <c r="AN115" s="395"/>
      <c r="AO115" s="395"/>
      <c r="AP115" s="395"/>
      <c r="AQ115" s="395"/>
      <c r="AR115" s="395"/>
      <c r="AS115" s="395"/>
      <c r="AT115" s="395"/>
      <c r="AU115" s="395"/>
      <c r="AV115" s="395"/>
      <c r="AW115" s="395"/>
      <c r="AX115" s="395"/>
      <c r="AY115" s="395"/>
      <c r="AZ115" s="395"/>
      <c r="BA115" s="395"/>
      <c r="BB115" s="395"/>
      <c r="BC115" s="395"/>
      <c r="BD115" s="395"/>
      <c r="BE115" s="395"/>
      <c r="BF115" s="395"/>
      <c r="BG115" s="395"/>
      <c r="BH115" s="395"/>
      <c r="BI115" s="395"/>
      <c r="BJ115" s="395"/>
      <c r="BK115" s="395"/>
      <c r="BL115" s="395"/>
      <c r="BM115" s="395"/>
      <c r="BN115" s="395"/>
      <c r="BO115" s="395"/>
      <c r="BP115" s="395"/>
      <c r="BQ115" s="395"/>
      <c r="BR115" s="395"/>
      <c r="BS115" s="395"/>
      <c r="BT115" s="395"/>
      <c r="BU115" s="395"/>
    </row>
    <row r="116" spans="1:73" s="396" customFormat="1" ht="37.5" customHeight="1" thickBot="1">
      <c r="A116" s="397" t="s">
        <v>492</v>
      </c>
      <c r="B116" s="393">
        <v>1000</v>
      </c>
      <c r="C116" s="399"/>
      <c r="D116" s="543"/>
      <c r="E116" s="543"/>
      <c r="F116" s="569"/>
      <c r="G116" s="395"/>
      <c r="H116" s="395"/>
      <c r="I116" s="395"/>
      <c r="J116" s="395"/>
      <c r="K116" s="395"/>
      <c r="L116" s="395"/>
      <c r="M116" s="395"/>
      <c r="N116" s="395"/>
      <c r="O116" s="395"/>
      <c r="P116" s="395"/>
      <c r="Q116" s="395"/>
      <c r="R116" s="395"/>
      <c r="S116" s="395"/>
      <c r="T116" s="395"/>
      <c r="U116" s="395"/>
      <c r="V116" s="395"/>
      <c r="W116" s="395"/>
      <c r="X116" s="395"/>
      <c r="Y116" s="395"/>
      <c r="Z116" s="395"/>
      <c r="AA116" s="395"/>
      <c r="AB116" s="395"/>
      <c r="AC116" s="395"/>
      <c r="AD116" s="395"/>
      <c r="AE116" s="395"/>
      <c r="AF116" s="395"/>
      <c r="AG116" s="395"/>
      <c r="AH116" s="395"/>
      <c r="AI116" s="395"/>
      <c r="AJ116" s="395"/>
      <c r="AK116" s="395"/>
      <c r="AL116" s="395"/>
      <c r="AM116" s="395"/>
      <c r="AN116" s="395"/>
      <c r="AO116" s="395"/>
      <c r="AP116" s="395"/>
      <c r="AQ116" s="395"/>
      <c r="AR116" s="395"/>
      <c r="AS116" s="395"/>
      <c r="AT116" s="395"/>
      <c r="AU116" s="395"/>
      <c r="AV116" s="395"/>
      <c r="AW116" s="395"/>
      <c r="AX116" s="395"/>
      <c r="AY116" s="395"/>
      <c r="AZ116" s="395"/>
      <c r="BA116" s="395"/>
      <c r="BB116" s="395"/>
      <c r="BC116" s="395"/>
      <c r="BD116" s="395"/>
      <c r="BE116" s="395"/>
      <c r="BF116" s="395"/>
      <c r="BG116" s="395"/>
      <c r="BH116" s="395"/>
      <c r="BI116" s="395"/>
      <c r="BJ116" s="395"/>
      <c r="BK116" s="395"/>
      <c r="BL116" s="395"/>
      <c r="BM116" s="395"/>
      <c r="BN116" s="395"/>
      <c r="BO116" s="395"/>
      <c r="BP116" s="395"/>
      <c r="BQ116" s="395"/>
      <c r="BR116" s="395"/>
      <c r="BS116" s="395"/>
      <c r="BT116" s="395"/>
      <c r="BU116" s="395"/>
    </row>
    <row r="117" spans="1:73" s="396" customFormat="1" ht="24" customHeight="1" thickBot="1">
      <c r="A117" s="397" t="s">
        <v>493</v>
      </c>
      <c r="B117" s="393">
        <v>5000</v>
      </c>
      <c r="C117" s="399"/>
      <c r="D117" s="543"/>
      <c r="E117" s="543"/>
      <c r="F117" s="569"/>
      <c r="G117" s="395"/>
      <c r="H117" s="395"/>
      <c r="I117" s="395"/>
      <c r="J117" s="395"/>
      <c r="K117" s="395"/>
      <c r="L117" s="395"/>
      <c r="M117" s="395"/>
      <c r="N117" s="395"/>
      <c r="O117" s="395"/>
      <c r="P117" s="395"/>
      <c r="Q117" s="395"/>
      <c r="R117" s="395"/>
      <c r="S117" s="395"/>
      <c r="T117" s="395"/>
      <c r="U117" s="395"/>
      <c r="V117" s="395"/>
      <c r="W117" s="395"/>
      <c r="X117" s="395"/>
      <c r="Y117" s="395"/>
      <c r="Z117" s="395"/>
      <c r="AA117" s="395"/>
      <c r="AB117" s="395"/>
      <c r="AC117" s="395"/>
      <c r="AD117" s="395"/>
      <c r="AE117" s="395"/>
      <c r="AF117" s="395"/>
      <c r="AG117" s="395"/>
      <c r="AH117" s="395"/>
      <c r="AI117" s="395"/>
      <c r="AJ117" s="395"/>
      <c r="AK117" s="395"/>
      <c r="AL117" s="395"/>
      <c r="AM117" s="395"/>
      <c r="AN117" s="395"/>
      <c r="AO117" s="395"/>
      <c r="AP117" s="395"/>
      <c r="AQ117" s="395"/>
      <c r="AR117" s="395"/>
      <c r="AS117" s="395"/>
      <c r="AT117" s="395"/>
      <c r="AU117" s="395"/>
      <c r="AV117" s="395"/>
      <c r="AW117" s="395"/>
      <c r="AX117" s="395"/>
      <c r="AY117" s="395"/>
      <c r="AZ117" s="395"/>
      <c r="BA117" s="395"/>
      <c r="BB117" s="395"/>
      <c r="BC117" s="395"/>
      <c r="BD117" s="395"/>
      <c r="BE117" s="395"/>
      <c r="BF117" s="395"/>
      <c r="BG117" s="395"/>
      <c r="BH117" s="395"/>
      <c r="BI117" s="395"/>
      <c r="BJ117" s="395"/>
      <c r="BK117" s="395"/>
      <c r="BL117" s="395"/>
      <c r="BM117" s="395"/>
      <c r="BN117" s="395"/>
      <c r="BO117" s="395"/>
      <c r="BP117" s="395"/>
      <c r="BQ117" s="395"/>
      <c r="BR117" s="395"/>
      <c r="BS117" s="395"/>
      <c r="BT117" s="395"/>
      <c r="BU117" s="395"/>
    </row>
    <row r="118" spans="1:73" s="667" customFormat="1" ht="27" customHeight="1" thickBot="1">
      <c r="A118" s="664" t="s">
        <v>889</v>
      </c>
      <c r="B118" s="665">
        <v>100000</v>
      </c>
      <c r="C118" s="666"/>
      <c r="D118" s="683"/>
      <c r="E118" s="683"/>
      <c r="F118" s="708"/>
      <c r="G118" s="395"/>
      <c r="H118" s="395"/>
      <c r="I118" s="395"/>
      <c r="J118" s="395"/>
      <c r="K118" s="395"/>
      <c r="L118" s="395"/>
      <c r="M118" s="395"/>
      <c r="N118" s="395"/>
      <c r="O118" s="395"/>
      <c r="P118" s="395"/>
      <c r="Q118" s="395"/>
      <c r="R118" s="395"/>
      <c r="S118" s="395"/>
      <c r="T118" s="395"/>
      <c r="U118" s="395"/>
      <c r="V118" s="395"/>
      <c r="W118" s="395"/>
      <c r="X118" s="395"/>
      <c r="Y118" s="395"/>
      <c r="Z118" s="395"/>
      <c r="AA118" s="395"/>
      <c r="AB118" s="395"/>
      <c r="AC118" s="395"/>
      <c r="AD118" s="395"/>
      <c r="AE118" s="395"/>
      <c r="AF118" s="395"/>
      <c r="AG118" s="395"/>
      <c r="AH118" s="395"/>
      <c r="AI118" s="395"/>
      <c r="AJ118" s="395"/>
      <c r="AK118" s="395"/>
      <c r="AL118" s="395"/>
      <c r="AM118" s="395"/>
      <c r="AN118" s="395"/>
      <c r="AO118" s="395"/>
      <c r="AP118" s="395"/>
      <c r="AQ118" s="395"/>
      <c r="AR118" s="395"/>
      <c r="AS118" s="395"/>
      <c r="AT118" s="395"/>
      <c r="AU118" s="395"/>
      <c r="AV118" s="395"/>
      <c r="AW118" s="395"/>
      <c r="AX118" s="395"/>
      <c r="AY118" s="395"/>
      <c r="AZ118" s="395"/>
      <c r="BA118" s="395"/>
      <c r="BB118" s="395"/>
      <c r="BC118" s="395"/>
      <c r="BD118" s="395"/>
      <c r="BE118" s="395"/>
      <c r="BF118" s="395"/>
      <c r="BG118" s="395"/>
      <c r="BH118" s="395"/>
      <c r="BI118" s="395"/>
      <c r="BJ118" s="395"/>
      <c r="BK118" s="395"/>
      <c r="BL118" s="395"/>
      <c r="BM118" s="395"/>
      <c r="BN118" s="395"/>
      <c r="BO118" s="395"/>
      <c r="BP118" s="395"/>
      <c r="BQ118" s="395"/>
      <c r="BR118" s="395"/>
      <c r="BS118" s="395"/>
      <c r="BT118" s="395"/>
      <c r="BU118" s="395"/>
    </row>
    <row r="119" spans="1:73" s="396" customFormat="1" ht="27.75" customHeight="1" thickBot="1">
      <c r="A119" s="638" t="s">
        <v>494</v>
      </c>
      <c r="B119" s="398"/>
      <c r="C119" s="399">
        <v>9525000</v>
      </c>
      <c r="D119" s="543">
        <f>SUM(C119)+787000</f>
        <v>10312000</v>
      </c>
      <c r="E119" s="543">
        <v>8359356</v>
      </c>
      <c r="F119" s="569">
        <f t="shared" ref="F119" si="14">E119/D119</f>
        <v>0.81064352211016288</v>
      </c>
      <c r="G119" s="395"/>
      <c r="H119" s="395"/>
      <c r="I119" s="395"/>
      <c r="J119" s="395"/>
      <c r="K119" s="395"/>
      <c r="L119" s="395"/>
      <c r="M119" s="395"/>
      <c r="N119" s="395"/>
      <c r="O119" s="395"/>
      <c r="P119" s="395"/>
      <c r="Q119" s="395"/>
      <c r="R119" s="395"/>
      <c r="S119" s="395"/>
      <c r="T119" s="395"/>
      <c r="U119" s="395"/>
      <c r="V119" s="395"/>
      <c r="W119" s="395"/>
      <c r="X119" s="395"/>
      <c r="Y119" s="395"/>
      <c r="Z119" s="395"/>
      <c r="AA119" s="395"/>
      <c r="AB119" s="395"/>
      <c r="AC119" s="395"/>
      <c r="AD119" s="395"/>
      <c r="AE119" s="395"/>
      <c r="AF119" s="395"/>
      <c r="AG119" s="395"/>
      <c r="AH119" s="395"/>
      <c r="AI119" s="395"/>
      <c r="AJ119" s="395"/>
      <c r="AK119" s="395"/>
      <c r="AL119" s="395"/>
      <c r="AM119" s="395"/>
      <c r="AN119" s="395"/>
      <c r="AO119" s="395"/>
      <c r="AP119" s="395"/>
      <c r="AQ119" s="395"/>
      <c r="AR119" s="395"/>
      <c r="AS119" s="395"/>
      <c r="AT119" s="395"/>
      <c r="AU119" s="395"/>
      <c r="AV119" s="395"/>
      <c r="AW119" s="395"/>
      <c r="AX119" s="395"/>
      <c r="AY119" s="395"/>
      <c r="AZ119" s="395"/>
      <c r="BA119" s="395"/>
      <c r="BB119" s="395"/>
      <c r="BC119" s="395"/>
      <c r="BD119" s="395"/>
      <c r="BE119" s="395"/>
      <c r="BF119" s="395"/>
      <c r="BG119" s="395"/>
      <c r="BH119" s="395"/>
      <c r="BI119" s="395"/>
      <c r="BJ119" s="395"/>
      <c r="BK119" s="395"/>
      <c r="BL119" s="395"/>
      <c r="BM119" s="395"/>
      <c r="BN119" s="395"/>
      <c r="BO119" s="395"/>
      <c r="BP119" s="395"/>
      <c r="BQ119" s="395"/>
      <c r="BR119" s="395"/>
      <c r="BS119" s="395"/>
      <c r="BT119" s="395"/>
      <c r="BU119" s="395"/>
    </row>
    <row r="120" spans="1:73" s="396" customFormat="1" ht="42.75" customHeight="1" thickBot="1">
      <c r="A120" s="911" t="s">
        <v>475</v>
      </c>
      <c r="B120" s="912"/>
      <c r="C120" s="399">
        <v>9316195</v>
      </c>
      <c r="D120" s="543">
        <f>SUM(B121:B132)</f>
        <v>12869661</v>
      </c>
      <c r="E120" s="543">
        <f>35860+24943+11536+447180+523546+5500380</f>
        <v>6543445</v>
      </c>
      <c r="F120" s="569">
        <f>E120/D120</f>
        <v>0.50843957739057777</v>
      </c>
      <c r="G120" s="395"/>
      <c r="H120" s="395"/>
      <c r="I120" s="395"/>
      <c r="J120" s="395"/>
      <c r="K120" s="395"/>
      <c r="L120" s="395"/>
      <c r="M120" s="395"/>
      <c r="N120" s="395"/>
      <c r="O120" s="395"/>
      <c r="P120" s="395"/>
      <c r="Q120" s="395"/>
      <c r="R120" s="395"/>
      <c r="S120" s="395"/>
      <c r="T120" s="395"/>
      <c r="U120" s="395"/>
      <c r="V120" s="395"/>
      <c r="W120" s="395"/>
      <c r="X120" s="395"/>
      <c r="Y120" s="395"/>
      <c r="Z120" s="395"/>
      <c r="AA120" s="395"/>
      <c r="AB120" s="395"/>
      <c r="AC120" s="395"/>
      <c r="AD120" s="395"/>
      <c r="AE120" s="395"/>
      <c r="AF120" s="395"/>
      <c r="AG120" s="395"/>
      <c r="AH120" s="395"/>
      <c r="AI120" s="395"/>
      <c r="AJ120" s="395"/>
      <c r="AK120" s="395"/>
      <c r="AL120" s="395"/>
      <c r="AM120" s="395"/>
      <c r="AN120" s="395"/>
      <c r="AO120" s="395"/>
      <c r="AP120" s="395"/>
      <c r="AQ120" s="395"/>
      <c r="AR120" s="395"/>
      <c r="AS120" s="395"/>
      <c r="AT120" s="395"/>
      <c r="AU120" s="395"/>
      <c r="AV120" s="395"/>
      <c r="AW120" s="395"/>
      <c r="AX120" s="395"/>
      <c r="AY120" s="395"/>
      <c r="AZ120" s="395"/>
      <c r="BA120" s="395"/>
      <c r="BB120" s="395"/>
      <c r="BC120" s="395"/>
      <c r="BD120" s="395"/>
      <c r="BE120" s="395"/>
      <c r="BF120" s="395"/>
      <c r="BG120" s="395"/>
      <c r="BH120" s="395"/>
      <c r="BI120" s="395"/>
      <c r="BJ120" s="395"/>
      <c r="BK120" s="395"/>
      <c r="BL120" s="395"/>
      <c r="BM120" s="395"/>
      <c r="BN120" s="395"/>
      <c r="BO120" s="395"/>
      <c r="BP120" s="395"/>
      <c r="BQ120" s="395"/>
      <c r="BR120" s="395"/>
      <c r="BS120" s="395"/>
      <c r="BT120" s="395"/>
      <c r="BU120" s="395"/>
    </row>
    <row r="121" spans="1:73" s="396" customFormat="1" ht="22.5" customHeight="1" thickBot="1">
      <c r="A121" s="397" t="s">
        <v>498</v>
      </c>
      <c r="B121" s="393">
        <f>106440+42432</f>
        <v>148872</v>
      </c>
      <c r="C121" s="399"/>
      <c r="D121" s="543"/>
      <c r="E121" s="543"/>
      <c r="F121" s="569"/>
      <c r="G121" s="395"/>
      <c r="H121" s="395"/>
      <c r="I121" s="395"/>
      <c r="J121" s="395"/>
      <c r="K121" s="395"/>
      <c r="L121" s="395"/>
      <c r="M121" s="395"/>
      <c r="N121" s="395"/>
      <c r="O121" s="395"/>
      <c r="P121" s="395"/>
      <c r="Q121" s="395"/>
      <c r="R121" s="395"/>
      <c r="S121" s="395"/>
      <c r="T121" s="395"/>
      <c r="U121" s="395"/>
      <c r="V121" s="395"/>
      <c r="W121" s="395"/>
      <c r="X121" s="395"/>
      <c r="Y121" s="395"/>
      <c r="Z121" s="395"/>
      <c r="AA121" s="395"/>
      <c r="AB121" s="395"/>
      <c r="AC121" s="395"/>
      <c r="AD121" s="395"/>
      <c r="AE121" s="395"/>
      <c r="AF121" s="395"/>
      <c r="AG121" s="395"/>
      <c r="AH121" s="395"/>
      <c r="AI121" s="395"/>
      <c r="AJ121" s="395"/>
      <c r="AK121" s="395"/>
      <c r="AL121" s="395"/>
      <c r="AM121" s="395"/>
      <c r="AN121" s="395"/>
      <c r="AO121" s="395"/>
      <c r="AP121" s="395"/>
      <c r="AQ121" s="395"/>
      <c r="AR121" s="395"/>
      <c r="AS121" s="395"/>
      <c r="AT121" s="395"/>
      <c r="AU121" s="395"/>
      <c r="AV121" s="395"/>
      <c r="AW121" s="395"/>
      <c r="AX121" s="395"/>
      <c r="AY121" s="395"/>
      <c r="AZ121" s="395"/>
      <c r="BA121" s="395"/>
      <c r="BB121" s="395"/>
      <c r="BC121" s="395"/>
      <c r="BD121" s="395"/>
      <c r="BE121" s="395"/>
      <c r="BF121" s="395"/>
      <c r="BG121" s="395"/>
      <c r="BH121" s="395"/>
      <c r="BI121" s="395"/>
      <c r="BJ121" s="395"/>
      <c r="BK121" s="395"/>
      <c r="BL121" s="395"/>
      <c r="BM121" s="395"/>
      <c r="BN121" s="395"/>
      <c r="BO121" s="395"/>
      <c r="BP121" s="395"/>
      <c r="BQ121" s="395"/>
      <c r="BR121" s="395"/>
      <c r="BS121" s="395"/>
      <c r="BT121" s="395"/>
      <c r="BU121" s="395"/>
    </row>
    <row r="122" spans="1:73" s="396" customFormat="1" ht="22.5" customHeight="1" thickBot="1">
      <c r="A122" s="397" t="s">
        <v>499</v>
      </c>
      <c r="B122" s="393">
        <f>132000+33000</f>
        <v>165000</v>
      </c>
      <c r="C122" s="399"/>
      <c r="D122" s="543"/>
      <c r="E122" s="543"/>
      <c r="F122" s="569"/>
      <c r="G122" s="395"/>
      <c r="H122" s="395"/>
      <c r="I122" s="395"/>
      <c r="J122" s="395"/>
      <c r="K122" s="395"/>
      <c r="L122" s="395"/>
      <c r="M122" s="395"/>
      <c r="N122" s="395"/>
      <c r="O122" s="395"/>
      <c r="P122" s="395"/>
      <c r="Q122" s="395"/>
      <c r="R122" s="395"/>
      <c r="S122" s="395"/>
      <c r="T122" s="395"/>
      <c r="U122" s="395"/>
      <c r="V122" s="395"/>
      <c r="W122" s="395"/>
      <c r="X122" s="395"/>
      <c r="Y122" s="395"/>
      <c r="Z122" s="395"/>
      <c r="AA122" s="395"/>
      <c r="AB122" s="395"/>
      <c r="AC122" s="395"/>
      <c r="AD122" s="395"/>
      <c r="AE122" s="395"/>
      <c r="AF122" s="395"/>
      <c r="AG122" s="395"/>
      <c r="AH122" s="395"/>
      <c r="AI122" s="395"/>
      <c r="AJ122" s="395"/>
      <c r="AK122" s="395"/>
      <c r="AL122" s="395"/>
      <c r="AM122" s="395"/>
      <c r="AN122" s="395"/>
      <c r="AO122" s="395"/>
      <c r="AP122" s="395"/>
      <c r="AQ122" s="395"/>
      <c r="AR122" s="395"/>
      <c r="AS122" s="395"/>
      <c r="AT122" s="395"/>
      <c r="AU122" s="395"/>
      <c r="AV122" s="395"/>
      <c r="AW122" s="395"/>
      <c r="AX122" s="395"/>
      <c r="AY122" s="395"/>
      <c r="AZ122" s="395"/>
      <c r="BA122" s="395"/>
      <c r="BB122" s="395"/>
      <c r="BC122" s="395"/>
      <c r="BD122" s="395"/>
      <c r="BE122" s="395"/>
      <c r="BF122" s="395"/>
      <c r="BG122" s="395"/>
      <c r="BH122" s="395"/>
      <c r="BI122" s="395"/>
      <c r="BJ122" s="395"/>
      <c r="BK122" s="395"/>
      <c r="BL122" s="395"/>
      <c r="BM122" s="395"/>
      <c r="BN122" s="395"/>
      <c r="BO122" s="395"/>
      <c r="BP122" s="395"/>
      <c r="BQ122" s="395"/>
      <c r="BR122" s="395"/>
      <c r="BS122" s="395"/>
      <c r="BT122" s="395"/>
      <c r="BU122" s="395"/>
    </row>
    <row r="123" spans="1:73" s="396" customFormat="1" ht="22.5" customHeight="1" thickBot="1">
      <c r="A123" s="397" t="s">
        <v>890</v>
      </c>
      <c r="B123" s="393">
        <v>2000000</v>
      </c>
      <c r="C123" s="399"/>
      <c r="D123" s="543"/>
      <c r="E123" s="543"/>
      <c r="F123" s="569"/>
      <c r="G123" s="395"/>
      <c r="H123" s="395"/>
      <c r="I123" s="395"/>
      <c r="J123" s="395"/>
      <c r="K123" s="395"/>
      <c r="L123" s="395"/>
      <c r="M123" s="395"/>
      <c r="N123" s="395"/>
      <c r="O123" s="395"/>
      <c r="P123" s="395"/>
      <c r="Q123" s="395"/>
      <c r="R123" s="395"/>
      <c r="S123" s="395"/>
      <c r="T123" s="395"/>
      <c r="U123" s="395"/>
      <c r="V123" s="395"/>
      <c r="W123" s="395"/>
      <c r="X123" s="395"/>
      <c r="Y123" s="395"/>
      <c r="Z123" s="395"/>
      <c r="AA123" s="395"/>
      <c r="AB123" s="395"/>
      <c r="AC123" s="395"/>
      <c r="AD123" s="395"/>
      <c r="AE123" s="395"/>
      <c r="AF123" s="395"/>
      <c r="AG123" s="395"/>
      <c r="AH123" s="395"/>
      <c r="AI123" s="395"/>
      <c r="AJ123" s="395"/>
      <c r="AK123" s="395"/>
      <c r="AL123" s="395"/>
      <c r="AM123" s="395"/>
      <c r="AN123" s="395"/>
      <c r="AO123" s="395"/>
      <c r="AP123" s="395"/>
      <c r="AQ123" s="395"/>
      <c r="AR123" s="395"/>
      <c r="AS123" s="395"/>
      <c r="AT123" s="395"/>
      <c r="AU123" s="395"/>
      <c r="AV123" s="395"/>
      <c r="AW123" s="395"/>
      <c r="AX123" s="395"/>
      <c r="AY123" s="395"/>
      <c r="AZ123" s="395"/>
      <c r="BA123" s="395"/>
      <c r="BB123" s="395"/>
      <c r="BC123" s="395"/>
      <c r="BD123" s="395"/>
      <c r="BE123" s="395"/>
      <c r="BF123" s="395"/>
      <c r="BG123" s="395"/>
      <c r="BH123" s="395"/>
      <c r="BI123" s="395"/>
      <c r="BJ123" s="395"/>
      <c r="BK123" s="395"/>
      <c r="BL123" s="395"/>
      <c r="BM123" s="395"/>
      <c r="BN123" s="395"/>
      <c r="BO123" s="395"/>
      <c r="BP123" s="395"/>
      <c r="BQ123" s="395"/>
      <c r="BR123" s="395"/>
      <c r="BS123" s="395"/>
      <c r="BT123" s="395"/>
      <c r="BU123" s="395"/>
    </row>
    <row r="124" spans="1:73" s="396" customFormat="1" ht="22.5" customHeight="1" thickBot="1">
      <c r="A124" s="397" t="s">
        <v>500</v>
      </c>
      <c r="B124" s="393">
        <v>457200</v>
      </c>
      <c r="C124" s="399"/>
      <c r="D124" s="543"/>
      <c r="E124" s="543"/>
      <c r="F124" s="569"/>
      <c r="G124" s="395"/>
      <c r="H124" s="395"/>
      <c r="I124" s="395"/>
      <c r="J124" s="395"/>
      <c r="K124" s="395"/>
      <c r="L124" s="395"/>
      <c r="M124" s="395"/>
      <c r="N124" s="395"/>
      <c r="O124" s="395"/>
      <c r="P124" s="395"/>
      <c r="Q124" s="395"/>
      <c r="R124" s="395"/>
      <c r="S124" s="395"/>
      <c r="T124" s="395"/>
      <c r="U124" s="395"/>
      <c r="V124" s="395"/>
      <c r="W124" s="395"/>
      <c r="X124" s="395"/>
      <c r="Y124" s="395"/>
      <c r="Z124" s="395"/>
      <c r="AA124" s="395"/>
      <c r="AB124" s="395"/>
      <c r="AC124" s="395"/>
      <c r="AD124" s="395"/>
      <c r="AE124" s="395"/>
      <c r="AF124" s="395"/>
      <c r="AG124" s="395"/>
      <c r="AH124" s="395"/>
      <c r="AI124" s="395"/>
      <c r="AJ124" s="395"/>
      <c r="AK124" s="395"/>
      <c r="AL124" s="395"/>
      <c r="AM124" s="395"/>
      <c r="AN124" s="395"/>
      <c r="AO124" s="395"/>
      <c r="AP124" s="395"/>
      <c r="AQ124" s="395"/>
      <c r="AR124" s="395"/>
      <c r="AS124" s="395"/>
      <c r="AT124" s="395"/>
      <c r="AU124" s="395"/>
      <c r="AV124" s="395"/>
      <c r="AW124" s="395"/>
      <c r="AX124" s="395"/>
      <c r="AY124" s="395"/>
      <c r="AZ124" s="395"/>
      <c r="BA124" s="395"/>
      <c r="BB124" s="395"/>
      <c r="BC124" s="395"/>
      <c r="BD124" s="395"/>
      <c r="BE124" s="395"/>
      <c r="BF124" s="395"/>
      <c r="BG124" s="395"/>
      <c r="BH124" s="395"/>
      <c r="BI124" s="395"/>
      <c r="BJ124" s="395"/>
      <c r="BK124" s="395"/>
      <c r="BL124" s="395"/>
      <c r="BM124" s="395"/>
      <c r="BN124" s="395"/>
      <c r="BO124" s="395"/>
      <c r="BP124" s="395"/>
      <c r="BQ124" s="395"/>
      <c r="BR124" s="395"/>
      <c r="BS124" s="395"/>
      <c r="BT124" s="395"/>
      <c r="BU124" s="395"/>
    </row>
    <row r="125" spans="1:73" s="396" customFormat="1" ht="22.5" customHeight="1" thickBot="1">
      <c r="A125" s="397" t="s">
        <v>891</v>
      </c>
      <c r="B125" s="393">
        <v>825500</v>
      </c>
      <c r="C125" s="399"/>
      <c r="D125" s="543"/>
      <c r="E125" s="543"/>
      <c r="F125" s="569"/>
      <c r="G125" s="395"/>
      <c r="H125" s="395"/>
      <c r="I125" s="395"/>
      <c r="J125" s="395"/>
      <c r="K125" s="395"/>
      <c r="L125" s="395"/>
      <c r="M125" s="395"/>
      <c r="N125" s="395"/>
      <c r="O125" s="395"/>
      <c r="P125" s="395"/>
      <c r="Q125" s="395"/>
      <c r="R125" s="395"/>
      <c r="S125" s="395"/>
      <c r="T125" s="395"/>
      <c r="U125" s="395"/>
      <c r="V125" s="395"/>
      <c r="W125" s="395"/>
      <c r="X125" s="395"/>
      <c r="Y125" s="395"/>
      <c r="Z125" s="395"/>
      <c r="AA125" s="395"/>
      <c r="AB125" s="395"/>
      <c r="AC125" s="395"/>
      <c r="AD125" s="395"/>
      <c r="AE125" s="395"/>
      <c r="AF125" s="395"/>
      <c r="AG125" s="395"/>
      <c r="AH125" s="395"/>
      <c r="AI125" s="395"/>
      <c r="AJ125" s="395"/>
      <c r="AK125" s="395"/>
      <c r="AL125" s="395"/>
      <c r="AM125" s="395"/>
      <c r="AN125" s="395"/>
      <c r="AO125" s="395"/>
      <c r="AP125" s="395"/>
      <c r="AQ125" s="395"/>
      <c r="AR125" s="395"/>
      <c r="AS125" s="395"/>
      <c r="AT125" s="395"/>
      <c r="AU125" s="395"/>
      <c r="AV125" s="395"/>
      <c r="AW125" s="395"/>
      <c r="AX125" s="395"/>
      <c r="AY125" s="395"/>
      <c r="AZ125" s="395"/>
      <c r="BA125" s="395"/>
      <c r="BB125" s="395"/>
      <c r="BC125" s="395"/>
      <c r="BD125" s="395"/>
      <c r="BE125" s="395"/>
      <c r="BF125" s="395"/>
      <c r="BG125" s="395"/>
      <c r="BH125" s="395"/>
      <c r="BI125" s="395"/>
      <c r="BJ125" s="395"/>
      <c r="BK125" s="395"/>
      <c r="BL125" s="395"/>
      <c r="BM125" s="395"/>
      <c r="BN125" s="395"/>
      <c r="BO125" s="395"/>
      <c r="BP125" s="395"/>
      <c r="BQ125" s="395"/>
      <c r="BR125" s="395"/>
      <c r="BS125" s="395"/>
      <c r="BT125" s="395"/>
      <c r="BU125" s="395"/>
    </row>
    <row r="126" spans="1:73" s="396" customFormat="1" ht="22.5" customHeight="1" thickBot="1">
      <c r="A126" s="397" t="s">
        <v>501</v>
      </c>
      <c r="B126" s="393">
        <v>47088</v>
      </c>
      <c r="C126" s="399"/>
      <c r="D126" s="543"/>
      <c r="E126" s="543"/>
      <c r="F126" s="569"/>
      <c r="G126" s="395"/>
      <c r="H126" s="395"/>
      <c r="I126" s="395"/>
      <c r="J126" s="395"/>
      <c r="K126" s="395"/>
      <c r="L126" s="395"/>
      <c r="M126" s="395"/>
      <c r="N126" s="395"/>
      <c r="O126" s="395"/>
      <c r="P126" s="395"/>
      <c r="Q126" s="395"/>
      <c r="R126" s="395"/>
      <c r="S126" s="395"/>
      <c r="T126" s="395"/>
      <c r="U126" s="395"/>
      <c r="V126" s="395"/>
      <c r="W126" s="395"/>
      <c r="X126" s="395"/>
      <c r="Y126" s="395"/>
      <c r="Z126" s="395"/>
      <c r="AA126" s="395"/>
      <c r="AB126" s="395"/>
      <c r="AC126" s="395"/>
      <c r="AD126" s="395"/>
      <c r="AE126" s="395"/>
      <c r="AF126" s="395"/>
      <c r="AG126" s="395"/>
      <c r="AH126" s="395"/>
      <c r="AI126" s="395"/>
      <c r="AJ126" s="395"/>
      <c r="AK126" s="395"/>
      <c r="AL126" s="395"/>
      <c r="AM126" s="395"/>
      <c r="AN126" s="395"/>
      <c r="AO126" s="395"/>
      <c r="AP126" s="395"/>
      <c r="AQ126" s="395"/>
      <c r="AR126" s="395"/>
      <c r="AS126" s="395"/>
      <c r="AT126" s="395"/>
      <c r="AU126" s="395"/>
      <c r="AV126" s="395"/>
      <c r="AW126" s="395"/>
      <c r="AX126" s="395"/>
      <c r="AY126" s="395"/>
      <c r="AZ126" s="395"/>
      <c r="BA126" s="395"/>
      <c r="BB126" s="395"/>
      <c r="BC126" s="395"/>
      <c r="BD126" s="395"/>
      <c r="BE126" s="395"/>
      <c r="BF126" s="395"/>
      <c r="BG126" s="395"/>
      <c r="BH126" s="395"/>
      <c r="BI126" s="395"/>
      <c r="BJ126" s="395"/>
      <c r="BK126" s="395"/>
      <c r="BL126" s="395"/>
      <c r="BM126" s="395"/>
      <c r="BN126" s="395"/>
      <c r="BO126" s="395"/>
      <c r="BP126" s="395"/>
      <c r="BQ126" s="395"/>
      <c r="BR126" s="395"/>
      <c r="BS126" s="395"/>
      <c r="BT126" s="395"/>
      <c r="BU126" s="395"/>
    </row>
    <row r="127" spans="1:73" s="396" customFormat="1" ht="22.5" customHeight="1" thickBot="1">
      <c r="A127" s="397" t="s">
        <v>502</v>
      </c>
      <c r="B127" s="393">
        <v>392465</v>
      </c>
      <c r="C127" s="399"/>
      <c r="D127" s="543"/>
      <c r="E127" s="543"/>
      <c r="F127" s="569"/>
      <c r="G127" s="395"/>
      <c r="H127" s="395"/>
      <c r="I127" s="395"/>
      <c r="J127" s="395"/>
      <c r="K127" s="395"/>
      <c r="L127" s="395"/>
      <c r="M127" s="395"/>
      <c r="N127" s="395"/>
      <c r="O127" s="395"/>
      <c r="P127" s="395"/>
      <c r="Q127" s="395"/>
      <c r="R127" s="395"/>
      <c r="S127" s="395"/>
      <c r="T127" s="395"/>
      <c r="U127" s="395"/>
      <c r="V127" s="395"/>
      <c r="W127" s="395"/>
      <c r="X127" s="395"/>
      <c r="Y127" s="395"/>
      <c r="Z127" s="395"/>
      <c r="AA127" s="395"/>
      <c r="AB127" s="395"/>
      <c r="AC127" s="395"/>
      <c r="AD127" s="395"/>
      <c r="AE127" s="395"/>
      <c r="AF127" s="395"/>
      <c r="AG127" s="395"/>
      <c r="AH127" s="395"/>
      <c r="AI127" s="395"/>
      <c r="AJ127" s="395"/>
      <c r="AK127" s="395"/>
      <c r="AL127" s="395"/>
      <c r="AM127" s="395"/>
      <c r="AN127" s="395"/>
      <c r="AO127" s="395"/>
      <c r="AP127" s="395"/>
      <c r="AQ127" s="395"/>
      <c r="AR127" s="395"/>
      <c r="AS127" s="395"/>
      <c r="AT127" s="395"/>
      <c r="AU127" s="395"/>
      <c r="AV127" s="395"/>
      <c r="AW127" s="395"/>
      <c r="AX127" s="395"/>
      <c r="AY127" s="395"/>
      <c r="AZ127" s="395"/>
      <c r="BA127" s="395"/>
      <c r="BB127" s="395"/>
      <c r="BC127" s="395"/>
      <c r="BD127" s="395"/>
      <c r="BE127" s="395"/>
      <c r="BF127" s="395"/>
      <c r="BG127" s="395"/>
      <c r="BH127" s="395"/>
      <c r="BI127" s="395"/>
      <c r="BJ127" s="395"/>
      <c r="BK127" s="395"/>
      <c r="BL127" s="395"/>
      <c r="BM127" s="395"/>
      <c r="BN127" s="395"/>
      <c r="BO127" s="395"/>
      <c r="BP127" s="395"/>
      <c r="BQ127" s="395"/>
      <c r="BR127" s="395"/>
      <c r="BS127" s="395"/>
      <c r="BT127" s="395"/>
      <c r="BU127" s="395"/>
    </row>
    <row r="128" spans="1:73" s="396" customFormat="1" ht="22.5" customHeight="1" thickBot="1">
      <c r="A128" s="397" t="s">
        <v>503</v>
      </c>
      <c r="B128" s="393">
        <v>322890</v>
      </c>
      <c r="C128" s="399"/>
      <c r="D128" s="543"/>
      <c r="E128" s="543"/>
      <c r="F128" s="569"/>
      <c r="G128" s="395"/>
      <c r="H128" s="395"/>
      <c r="I128" s="395"/>
      <c r="J128" s="395"/>
      <c r="K128" s="395"/>
      <c r="L128" s="395"/>
      <c r="M128" s="395"/>
      <c r="N128" s="395"/>
      <c r="O128" s="395"/>
      <c r="P128" s="395"/>
      <c r="Q128" s="395"/>
      <c r="R128" s="395"/>
      <c r="S128" s="395"/>
      <c r="T128" s="395"/>
      <c r="U128" s="395"/>
      <c r="V128" s="395"/>
      <c r="W128" s="395"/>
      <c r="X128" s="395"/>
      <c r="Y128" s="395"/>
      <c r="Z128" s="395"/>
      <c r="AA128" s="395"/>
      <c r="AB128" s="395"/>
      <c r="AC128" s="395"/>
      <c r="AD128" s="395"/>
      <c r="AE128" s="395"/>
      <c r="AF128" s="395"/>
      <c r="AG128" s="395"/>
      <c r="AH128" s="395"/>
      <c r="AI128" s="395"/>
      <c r="AJ128" s="395"/>
      <c r="AK128" s="395"/>
      <c r="AL128" s="395"/>
      <c r="AM128" s="395"/>
      <c r="AN128" s="395"/>
      <c r="AO128" s="395"/>
      <c r="AP128" s="395"/>
      <c r="AQ128" s="395"/>
      <c r="AR128" s="395"/>
      <c r="AS128" s="395"/>
      <c r="AT128" s="395"/>
      <c r="AU128" s="395"/>
      <c r="AV128" s="395"/>
      <c r="AW128" s="395"/>
      <c r="AX128" s="395"/>
      <c r="AY128" s="395"/>
      <c r="AZ128" s="395"/>
      <c r="BA128" s="395"/>
      <c r="BB128" s="395"/>
      <c r="BC128" s="395"/>
      <c r="BD128" s="395"/>
      <c r="BE128" s="395"/>
      <c r="BF128" s="395"/>
      <c r="BG128" s="395"/>
      <c r="BH128" s="395"/>
      <c r="BI128" s="395"/>
      <c r="BJ128" s="395"/>
      <c r="BK128" s="395"/>
      <c r="BL128" s="395"/>
      <c r="BM128" s="395"/>
      <c r="BN128" s="395"/>
      <c r="BO128" s="395"/>
      <c r="BP128" s="395"/>
      <c r="BQ128" s="395"/>
      <c r="BR128" s="395"/>
      <c r="BS128" s="395"/>
      <c r="BT128" s="395"/>
      <c r="BU128" s="395"/>
    </row>
    <row r="129" spans="1:73" s="396" customFormat="1" ht="21.75" customHeight="1" thickBot="1">
      <c r="A129" s="545" t="s">
        <v>480</v>
      </c>
      <c r="B129" s="421">
        <f>2000000+2181666</f>
        <v>4181666</v>
      </c>
      <c r="C129" s="422"/>
      <c r="D129" s="668"/>
      <c r="E129" s="668"/>
      <c r="F129" s="701"/>
      <c r="G129" s="395"/>
      <c r="H129" s="395"/>
      <c r="I129" s="395"/>
      <c r="J129" s="395"/>
      <c r="K129" s="395"/>
      <c r="L129" s="395"/>
      <c r="M129" s="395"/>
      <c r="N129" s="395"/>
      <c r="O129" s="395"/>
      <c r="P129" s="395"/>
      <c r="Q129" s="395"/>
      <c r="R129" s="395"/>
      <c r="S129" s="395"/>
      <c r="T129" s="395"/>
      <c r="U129" s="395"/>
      <c r="V129" s="395"/>
      <c r="W129" s="395"/>
      <c r="X129" s="395"/>
      <c r="Y129" s="395"/>
      <c r="Z129" s="395"/>
      <c r="AA129" s="395"/>
      <c r="AB129" s="395"/>
      <c r="AC129" s="395"/>
      <c r="AD129" s="395"/>
      <c r="AE129" s="395"/>
      <c r="AF129" s="395"/>
      <c r="AG129" s="395"/>
      <c r="AH129" s="395"/>
      <c r="AI129" s="395"/>
      <c r="AJ129" s="395"/>
      <c r="AK129" s="395"/>
      <c r="AL129" s="395"/>
      <c r="AM129" s="395"/>
      <c r="AN129" s="395"/>
      <c r="AO129" s="395"/>
      <c r="AP129" s="395"/>
      <c r="AQ129" s="395"/>
      <c r="AR129" s="395"/>
      <c r="AS129" s="395"/>
      <c r="AT129" s="395"/>
      <c r="AU129" s="395"/>
      <c r="AV129" s="395"/>
      <c r="AW129" s="395"/>
      <c r="AX129" s="395"/>
      <c r="AY129" s="395"/>
      <c r="AZ129" s="395"/>
      <c r="BA129" s="395"/>
      <c r="BB129" s="395"/>
      <c r="BC129" s="395"/>
      <c r="BD129" s="395"/>
      <c r="BE129" s="395"/>
      <c r="BF129" s="395"/>
      <c r="BG129" s="395"/>
      <c r="BH129" s="395"/>
      <c r="BI129" s="395"/>
      <c r="BJ129" s="395"/>
      <c r="BK129" s="395"/>
      <c r="BL129" s="395"/>
      <c r="BM129" s="395"/>
      <c r="BN129" s="395"/>
      <c r="BO129" s="395"/>
      <c r="BP129" s="395"/>
      <c r="BQ129" s="395"/>
      <c r="BR129" s="395"/>
      <c r="BS129" s="395"/>
      <c r="BT129" s="395"/>
      <c r="BU129" s="395"/>
    </row>
    <row r="130" spans="1:73" s="396" customFormat="1" ht="21.75" customHeight="1" thickBot="1">
      <c r="A130" s="397" t="s">
        <v>892</v>
      </c>
      <c r="B130" s="393">
        <f>693000+297180+1300000</f>
        <v>2290180</v>
      </c>
      <c r="C130" s="422"/>
      <c r="D130" s="668"/>
      <c r="E130" s="668"/>
      <c r="F130" s="701"/>
      <c r="G130" s="395"/>
      <c r="H130" s="395"/>
      <c r="I130" s="395"/>
      <c r="J130" s="395"/>
      <c r="K130" s="395"/>
      <c r="L130" s="395"/>
      <c r="M130" s="395"/>
      <c r="N130" s="395"/>
      <c r="O130" s="395"/>
      <c r="P130" s="395"/>
      <c r="Q130" s="395"/>
      <c r="R130" s="395"/>
      <c r="S130" s="395"/>
      <c r="T130" s="395"/>
      <c r="U130" s="395"/>
      <c r="V130" s="395"/>
      <c r="W130" s="395"/>
      <c r="X130" s="395"/>
      <c r="Y130" s="395"/>
      <c r="Z130" s="395"/>
      <c r="AA130" s="395"/>
      <c r="AB130" s="395"/>
      <c r="AC130" s="395"/>
      <c r="AD130" s="395"/>
      <c r="AE130" s="395"/>
      <c r="AF130" s="395"/>
      <c r="AG130" s="395"/>
      <c r="AH130" s="395"/>
      <c r="AI130" s="395"/>
      <c r="AJ130" s="395"/>
      <c r="AK130" s="395"/>
      <c r="AL130" s="395"/>
      <c r="AM130" s="395"/>
      <c r="AN130" s="395"/>
      <c r="AO130" s="395"/>
      <c r="AP130" s="395"/>
      <c r="AQ130" s="395"/>
      <c r="AR130" s="395"/>
      <c r="AS130" s="395"/>
      <c r="AT130" s="395"/>
      <c r="AU130" s="395"/>
      <c r="AV130" s="395"/>
      <c r="AW130" s="395"/>
      <c r="AX130" s="395"/>
      <c r="AY130" s="395"/>
      <c r="AZ130" s="395"/>
      <c r="BA130" s="395"/>
      <c r="BB130" s="395"/>
      <c r="BC130" s="395"/>
      <c r="BD130" s="395"/>
      <c r="BE130" s="395"/>
      <c r="BF130" s="395"/>
      <c r="BG130" s="395"/>
      <c r="BH130" s="395"/>
      <c r="BI130" s="395"/>
      <c r="BJ130" s="395"/>
      <c r="BK130" s="395"/>
      <c r="BL130" s="395"/>
      <c r="BM130" s="395"/>
      <c r="BN130" s="395"/>
      <c r="BO130" s="395"/>
      <c r="BP130" s="395"/>
      <c r="BQ130" s="395"/>
      <c r="BR130" s="395"/>
      <c r="BS130" s="395"/>
      <c r="BT130" s="395"/>
      <c r="BU130" s="395"/>
    </row>
    <row r="131" spans="1:73" s="396" customFormat="1" ht="21.75" customHeight="1" thickBot="1">
      <c r="A131" s="545" t="s">
        <v>894</v>
      </c>
      <c r="B131" s="421">
        <v>38800</v>
      </c>
      <c r="C131" s="422"/>
      <c r="D131" s="668"/>
      <c r="E131" s="668"/>
      <c r="F131" s="701"/>
      <c r="G131" s="395"/>
      <c r="H131" s="395"/>
      <c r="I131" s="395"/>
      <c r="J131" s="395"/>
      <c r="K131" s="395"/>
      <c r="L131" s="395"/>
      <c r="M131" s="395"/>
      <c r="N131" s="395"/>
      <c r="O131" s="395"/>
      <c r="P131" s="395"/>
      <c r="Q131" s="395"/>
      <c r="R131" s="395"/>
      <c r="S131" s="395"/>
      <c r="T131" s="395"/>
      <c r="U131" s="395"/>
      <c r="V131" s="395"/>
      <c r="W131" s="395"/>
      <c r="X131" s="395"/>
      <c r="Y131" s="395"/>
      <c r="Z131" s="395"/>
      <c r="AA131" s="395"/>
      <c r="AB131" s="395"/>
      <c r="AC131" s="395"/>
      <c r="AD131" s="395"/>
      <c r="AE131" s="395"/>
      <c r="AF131" s="395"/>
      <c r="AG131" s="395"/>
      <c r="AH131" s="395"/>
      <c r="AI131" s="395"/>
      <c r="AJ131" s="395"/>
      <c r="AK131" s="395"/>
      <c r="AL131" s="395"/>
      <c r="AM131" s="395"/>
      <c r="AN131" s="395"/>
      <c r="AO131" s="395"/>
      <c r="AP131" s="395"/>
      <c r="AQ131" s="395"/>
      <c r="AR131" s="395"/>
      <c r="AS131" s="395"/>
      <c r="AT131" s="395"/>
      <c r="AU131" s="395"/>
      <c r="AV131" s="395"/>
      <c r="AW131" s="395"/>
      <c r="AX131" s="395"/>
      <c r="AY131" s="395"/>
      <c r="AZ131" s="395"/>
      <c r="BA131" s="395"/>
      <c r="BB131" s="395"/>
      <c r="BC131" s="395"/>
      <c r="BD131" s="395"/>
      <c r="BE131" s="395"/>
      <c r="BF131" s="395"/>
      <c r="BG131" s="395"/>
      <c r="BH131" s="395"/>
      <c r="BI131" s="395"/>
      <c r="BJ131" s="395"/>
      <c r="BK131" s="395"/>
      <c r="BL131" s="395"/>
      <c r="BM131" s="395"/>
      <c r="BN131" s="395"/>
      <c r="BO131" s="395"/>
      <c r="BP131" s="395"/>
      <c r="BQ131" s="395"/>
      <c r="BR131" s="395"/>
      <c r="BS131" s="395"/>
      <c r="BT131" s="395"/>
      <c r="BU131" s="395"/>
    </row>
    <row r="132" spans="1:73" s="396" customFormat="1" thickBot="1">
      <c r="A132" s="545" t="s">
        <v>662</v>
      </c>
      <c r="B132" s="421">
        <v>2000000</v>
      </c>
      <c r="C132" s="399"/>
      <c r="D132" s="543"/>
      <c r="E132" s="543"/>
      <c r="F132" s="569"/>
      <c r="G132" s="395"/>
      <c r="H132" s="395"/>
      <c r="I132" s="395"/>
      <c r="J132" s="395"/>
      <c r="K132" s="395"/>
      <c r="L132" s="395"/>
      <c r="M132" s="395"/>
      <c r="N132" s="395"/>
      <c r="O132" s="395"/>
      <c r="P132" s="395"/>
      <c r="Q132" s="395"/>
      <c r="R132" s="395"/>
      <c r="S132" s="395"/>
      <c r="T132" s="395"/>
      <c r="U132" s="395"/>
      <c r="V132" s="395"/>
      <c r="W132" s="395"/>
      <c r="X132" s="395"/>
      <c r="Y132" s="395"/>
      <c r="Z132" s="395"/>
      <c r="AA132" s="395"/>
      <c r="AB132" s="395"/>
      <c r="AC132" s="395"/>
      <c r="AD132" s="395"/>
      <c r="AE132" s="395"/>
      <c r="AF132" s="395"/>
      <c r="AG132" s="395"/>
      <c r="AH132" s="395"/>
      <c r="AI132" s="395"/>
      <c r="AJ132" s="395"/>
      <c r="AK132" s="395"/>
      <c r="AL132" s="395"/>
      <c r="AM132" s="395"/>
      <c r="AN132" s="395"/>
      <c r="AO132" s="395"/>
      <c r="AP132" s="395"/>
      <c r="AQ132" s="395"/>
      <c r="AR132" s="395"/>
      <c r="AS132" s="395"/>
      <c r="AT132" s="395"/>
      <c r="AU132" s="395"/>
      <c r="AV132" s="395"/>
      <c r="AW132" s="395"/>
      <c r="AX132" s="395"/>
      <c r="AY132" s="395"/>
      <c r="AZ132" s="395"/>
      <c r="BA132" s="395"/>
      <c r="BB132" s="395"/>
      <c r="BC132" s="395"/>
      <c r="BD132" s="395"/>
      <c r="BE132" s="395"/>
      <c r="BF132" s="395"/>
      <c r="BG132" s="395"/>
      <c r="BH132" s="395"/>
      <c r="BI132" s="395"/>
      <c r="BJ132" s="395"/>
      <c r="BK132" s="395"/>
      <c r="BL132" s="395"/>
      <c r="BM132" s="395"/>
      <c r="BN132" s="395"/>
      <c r="BO132" s="395"/>
      <c r="BP132" s="395"/>
      <c r="BQ132" s="395"/>
      <c r="BR132" s="395"/>
      <c r="BS132" s="395"/>
      <c r="BT132" s="395"/>
      <c r="BU132" s="395"/>
    </row>
    <row r="133" spans="1:73" s="401" customFormat="1" ht="33.75" customHeight="1" thickBot="1">
      <c r="A133" s="638" t="s">
        <v>504</v>
      </c>
      <c r="B133" s="398"/>
      <c r="C133" s="399">
        <v>2000000</v>
      </c>
      <c r="D133" s="543">
        <f>SUM(C133)-1700000-236220</f>
        <v>63780</v>
      </c>
      <c r="E133" s="543">
        <f>935377</f>
        <v>935377</v>
      </c>
      <c r="F133" s="569">
        <f t="shared" ref="F133" si="15">E133/D133</f>
        <v>14.665678896205707</v>
      </c>
      <c r="G133" s="400"/>
      <c r="H133" s="400"/>
      <c r="I133" s="400"/>
      <c r="J133" s="400"/>
      <c r="K133" s="400"/>
      <c r="L133" s="400"/>
      <c r="M133" s="400"/>
      <c r="N133" s="400"/>
      <c r="O133" s="400"/>
      <c r="P133" s="400"/>
      <c r="Q133" s="400"/>
      <c r="R133" s="400"/>
      <c r="S133" s="400"/>
      <c r="T133" s="400"/>
      <c r="U133" s="400"/>
      <c r="V133" s="400"/>
      <c r="W133" s="400"/>
      <c r="X133" s="400"/>
      <c r="Y133" s="400"/>
      <c r="Z133" s="400"/>
      <c r="AA133" s="400"/>
      <c r="AB133" s="400"/>
      <c r="AC133" s="400"/>
      <c r="AD133" s="400"/>
      <c r="AE133" s="400"/>
      <c r="AF133" s="400"/>
      <c r="AG133" s="400"/>
      <c r="AH133" s="400"/>
      <c r="AI133" s="400"/>
      <c r="AJ133" s="400"/>
      <c r="AK133" s="400"/>
      <c r="AL133" s="400"/>
      <c r="AM133" s="400"/>
      <c r="AN133" s="400"/>
      <c r="AO133" s="400"/>
      <c r="AP133" s="400"/>
      <c r="AQ133" s="400"/>
      <c r="AR133" s="400"/>
      <c r="AS133" s="400"/>
      <c r="AT133" s="400"/>
      <c r="AU133" s="400"/>
      <c r="AV133" s="400"/>
      <c r="AW133" s="400"/>
      <c r="AX133" s="400"/>
      <c r="AY133" s="400"/>
      <c r="AZ133" s="400"/>
      <c r="BA133" s="400"/>
      <c r="BB133" s="400"/>
      <c r="BC133" s="400"/>
      <c r="BD133" s="400"/>
      <c r="BE133" s="400"/>
      <c r="BF133" s="400"/>
      <c r="BG133" s="400"/>
      <c r="BH133" s="400"/>
      <c r="BI133" s="400"/>
      <c r="BJ133" s="400"/>
      <c r="BK133" s="400"/>
      <c r="BL133" s="400"/>
      <c r="BM133" s="400"/>
      <c r="BN133" s="400"/>
      <c r="BO133" s="400"/>
      <c r="BP133" s="400"/>
      <c r="BQ133" s="400"/>
      <c r="BR133" s="400"/>
      <c r="BS133" s="400"/>
      <c r="BT133" s="400"/>
      <c r="BU133" s="400"/>
    </row>
    <row r="134" spans="1:73" s="401" customFormat="1" ht="35.25" customHeight="1" thickBot="1">
      <c r="A134" s="316" t="s">
        <v>896</v>
      </c>
      <c r="B134" s="317"/>
      <c r="C134" s="399"/>
      <c r="D134" s="543"/>
      <c r="E134" s="543">
        <v>663308</v>
      </c>
      <c r="F134" s="569">
        <v>0</v>
      </c>
      <c r="G134" s="400"/>
      <c r="H134" s="400"/>
      <c r="I134" s="400"/>
      <c r="J134" s="400"/>
      <c r="K134" s="400"/>
      <c r="L134" s="400"/>
      <c r="M134" s="400"/>
      <c r="N134" s="400"/>
      <c r="O134" s="400"/>
      <c r="P134" s="400"/>
      <c r="Q134" s="400"/>
      <c r="R134" s="400"/>
      <c r="S134" s="400"/>
      <c r="T134" s="400"/>
      <c r="U134" s="400"/>
      <c r="V134" s="400"/>
      <c r="W134" s="400"/>
      <c r="X134" s="400"/>
      <c r="Y134" s="400"/>
      <c r="Z134" s="400"/>
      <c r="AA134" s="400"/>
      <c r="AB134" s="400"/>
      <c r="AC134" s="400"/>
      <c r="AD134" s="400"/>
      <c r="AE134" s="400"/>
      <c r="AF134" s="400"/>
      <c r="AG134" s="400"/>
      <c r="AH134" s="400"/>
      <c r="AI134" s="400"/>
      <c r="AJ134" s="400"/>
      <c r="AK134" s="400"/>
      <c r="AL134" s="400"/>
      <c r="AM134" s="400"/>
      <c r="AN134" s="400"/>
      <c r="AO134" s="400"/>
      <c r="AP134" s="400"/>
      <c r="AQ134" s="400"/>
      <c r="AR134" s="400"/>
      <c r="AS134" s="400"/>
      <c r="AT134" s="400"/>
      <c r="AU134" s="400"/>
      <c r="AV134" s="400"/>
      <c r="AW134" s="400"/>
      <c r="AX134" s="400"/>
      <c r="AY134" s="400"/>
      <c r="AZ134" s="400"/>
      <c r="BA134" s="400"/>
      <c r="BB134" s="400"/>
      <c r="BC134" s="400"/>
      <c r="BD134" s="400"/>
      <c r="BE134" s="400"/>
      <c r="BF134" s="400"/>
      <c r="BG134" s="400"/>
      <c r="BH134" s="400"/>
      <c r="BI134" s="400"/>
      <c r="BJ134" s="400"/>
      <c r="BK134" s="400"/>
      <c r="BL134" s="400"/>
      <c r="BM134" s="400"/>
      <c r="BN134" s="400"/>
      <c r="BO134" s="400"/>
      <c r="BP134" s="400"/>
      <c r="BQ134" s="400"/>
      <c r="BR134" s="400"/>
      <c r="BS134" s="400"/>
      <c r="BT134" s="400"/>
      <c r="BU134" s="400"/>
    </row>
    <row r="135" spans="1:73" s="401" customFormat="1" ht="35.25" customHeight="1" thickBot="1">
      <c r="A135" s="911" t="s">
        <v>665</v>
      </c>
      <c r="B135" s="912"/>
      <c r="C135" s="399">
        <v>16000000</v>
      </c>
      <c r="D135" s="543">
        <f>SUM(C135)-16000000</f>
        <v>0</v>
      </c>
      <c r="E135" s="543">
        <v>886009</v>
      </c>
      <c r="F135" s="569">
        <v>0</v>
      </c>
      <c r="G135" s="400"/>
      <c r="H135" s="400"/>
      <c r="I135" s="400"/>
      <c r="J135" s="400"/>
      <c r="K135" s="400"/>
      <c r="L135" s="400"/>
      <c r="M135" s="400"/>
      <c r="N135" s="400"/>
      <c r="O135" s="400"/>
      <c r="P135" s="400"/>
      <c r="Q135" s="400"/>
      <c r="R135" s="400"/>
      <c r="S135" s="400"/>
      <c r="T135" s="400"/>
      <c r="U135" s="400"/>
      <c r="V135" s="400"/>
      <c r="W135" s="400"/>
      <c r="X135" s="400"/>
      <c r="Y135" s="400"/>
      <c r="Z135" s="400"/>
      <c r="AA135" s="400"/>
      <c r="AB135" s="400"/>
      <c r="AC135" s="400"/>
      <c r="AD135" s="400"/>
      <c r="AE135" s="400"/>
      <c r="AF135" s="400"/>
      <c r="AG135" s="400"/>
      <c r="AH135" s="400"/>
      <c r="AI135" s="400"/>
      <c r="AJ135" s="400"/>
      <c r="AK135" s="400"/>
      <c r="AL135" s="400"/>
      <c r="AM135" s="400"/>
      <c r="AN135" s="400"/>
      <c r="AO135" s="400"/>
      <c r="AP135" s="400"/>
      <c r="AQ135" s="400"/>
      <c r="AR135" s="400"/>
      <c r="AS135" s="400"/>
      <c r="AT135" s="400"/>
      <c r="AU135" s="400"/>
      <c r="AV135" s="400"/>
      <c r="AW135" s="400"/>
      <c r="AX135" s="400"/>
      <c r="AY135" s="400"/>
      <c r="AZ135" s="400"/>
      <c r="BA135" s="400"/>
      <c r="BB135" s="400"/>
      <c r="BC135" s="400"/>
      <c r="BD135" s="400"/>
      <c r="BE135" s="400"/>
      <c r="BF135" s="400"/>
      <c r="BG135" s="400"/>
      <c r="BH135" s="400"/>
      <c r="BI135" s="400"/>
      <c r="BJ135" s="400"/>
      <c r="BK135" s="400"/>
      <c r="BL135" s="400"/>
      <c r="BM135" s="400"/>
      <c r="BN135" s="400"/>
      <c r="BO135" s="400"/>
      <c r="BP135" s="400"/>
      <c r="BQ135" s="400"/>
      <c r="BR135" s="400"/>
      <c r="BS135" s="400"/>
      <c r="BT135" s="400"/>
      <c r="BU135" s="400"/>
    </row>
    <row r="136" spans="1:73" s="541" customFormat="1" ht="44.25" customHeight="1" thickBot="1">
      <c r="A136" s="678" t="s">
        <v>520</v>
      </c>
      <c r="B136" s="679"/>
      <c r="C136" s="680">
        <f>SUM(C49:C135)</f>
        <v>315935805</v>
      </c>
      <c r="D136" s="680">
        <f>SUM(D49:D135)</f>
        <v>401843285</v>
      </c>
      <c r="E136" s="680">
        <f>SUM(E49:E135)</f>
        <v>251268519</v>
      </c>
      <c r="F136" s="706">
        <f>E136/D136</f>
        <v>0.62528982909344866</v>
      </c>
      <c r="G136" s="278"/>
      <c r="H136" s="540"/>
      <c r="I136" s="540"/>
      <c r="J136" s="540"/>
      <c r="K136" s="540"/>
      <c r="L136" s="540"/>
      <c r="M136" s="540"/>
      <c r="N136" s="540"/>
      <c r="O136" s="540"/>
      <c r="P136" s="540"/>
      <c r="Q136" s="540"/>
      <c r="R136" s="540"/>
      <c r="S136" s="540"/>
      <c r="T136" s="540"/>
      <c r="U136" s="540"/>
      <c r="V136" s="540"/>
      <c r="W136" s="540"/>
      <c r="X136" s="540"/>
      <c r="Y136" s="540"/>
      <c r="Z136" s="540"/>
      <c r="AA136" s="540"/>
      <c r="AB136" s="540"/>
      <c r="AC136" s="540"/>
      <c r="AD136" s="540"/>
      <c r="AE136" s="540"/>
      <c r="AF136" s="540"/>
      <c r="AG136" s="540"/>
      <c r="AH136" s="540"/>
      <c r="AI136" s="540"/>
      <c r="AJ136" s="540"/>
      <c r="AK136" s="540"/>
      <c r="AL136" s="540"/>
      <c r="AM136" s="540"/>
      <c r="AN136" s="540"/>
      <c r="AO136" s="540"/>
      <c r="AP136" s="540"/>
      <c r="AQ136" s="540"/>
      <c r="AR136" s="540"/>
      <c r="AS136" s="540"/>
      <c r="AT136" s="540"/>
      <c r="AU136" s="540"/>
      <c r="AV136" s="540"/>
      <c r="AW136" s="540"/>
      <c r="AX136" s="540"/>
      <c r="AY136" s="540"/>
      <c r="AZ136" s="540"/>
      <c r="BA136" s="540"/>
      <c r="BB136" s="540"/>
      <c r="BC136" s="540"/>
      <c r="BD136" s="540"/>
      <c r="BE136" s="540"/>
      <c r="BF136" s="540"/>
      <c r="BG136" s="540"/>
      <c r="BH136" s="540"/>
      <c r="BI136" s="540"/>
      <c r="BJ136" s="540"/>
      <c r="BK136" s="540"/>
      <c r="BL136" s="540"/>
      <c r="BM136" s="540"/>
      <c r="BN136" s="540"/>
      <c r="BO136" s="540"/>
      <c r="BP136" s="540"/>
      <c r="BQ136" s="540"/>
      <c r="BR136" s="540"/>
      <c r="BS136" s="540"/>
      <c r="BT136" s="540"/>
      <c r="BU136" s="540"/>
    </row>
    <row r="137" spans="1:73" s="435" customFormat="1" ht="44.25" customHeight="1" thickBot="1">
      <c r="A137" s="684"/>
      <c r="B137" s="685"/>
      <c r="C137" s="686"/>
      <c r="D137" s="687"/>
      <c r="E137" s="687"/>
      <c r="F137" s="709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X137" s="278"/>
      <c r="Y137" s="278"/>
      <c r="Z137" s="278"/>
      <c r="AA137" s="278"/>
      <c r="AB137" s="278"/>
      <c r="AC137" s="278"/>
      <c r="AD137" s="278"/>
      <c r="AE137" s="278"/>
      <c r="AF137" s="278"/>
      <c r="AG137" s="278"/>
      <c r="AH137" s="278"/>
      <c r="AI137" s="278"/>
      <c r="AJ137" s="278"/>
      <c r="AK137" s="278"/>
      <c r="AL137" s="278"/>
      <c r="AM137" s="278"/>
      <c r="AN137" s="278"/>
      <c r="AO137" s="278"/>
      <c r="AP137" s="278"/>
      <c r="AQ137" s="278"/>
      <c r="AR137" s="278"/>
      <c r="AS137" s="278"/>
      <c r="AT137" s="278"/>
      <c r="AU137" s="278"/>
      <c r="AV137" s="278"/>
      <c r="AW137" s="278"/>
      <c r="AX137" s="278"/>
      <c r="AY137" s="278"/>
      <c r="AZ137" s="278"/>
      <c r="BA137" s="278"/>
      <c r="BB137" s="278"/>
      <c r="BC137" s="278"/>
      <c r="BD137" s="278"/>
      <c r="BE137" s="278"/>
      <c r="BF137" s="278"/>
      <c r="BG137" s="278"/>
      <c r="BH137" s="278"/>
      <c r="BI137" s="278"/>
      <c r="BJ137" s="278"/>
      <c r="BK137" s="278"/>
      <c r="BL137" s="278"/>
      <c r="BM137" s="278"/>
      <c r="BN137" s="278"/>
      <c r="BO137" s="278"/>
      <c r="BP137" s="278"/>
      <c r="BQ137" s="278"/>
      <c r="BR137" s="278"/>
      <c r="BS137" s="278"/>
      <c r="BT137" s="278"/>
      <c r="BU137" s="278"/>
    </row>
    <row r="138" spans="1:73" s="541" customFormat="1" ht="44.25" customHeight="1" thickBot="1">
      <c r="A138" s="674" t="s">
        <v>521</v>
      </c>
      <c r="B138" s="682"/>
      <c r="C138" s="676"/>
      <c r="D138" s="676"/>
      <c r="E138" s="676"/>
      <c r="F138" s="705"/>
      <c r="G138" s="278"/>
      <c r="H138" s="540"/>
      <c r="I138" s="540"/>
      <c r="J138" s="540"/>
      <c r="K138" s="540"/>
      <c r="L138" s="540"/>
      <c r="M138" s="540"/>
      <c r="N138" s="540"/>
      <c r="O138" s="540"/>
      <c r="P138" s="540"/>
      <c r="Q138" s="540"/>
      <c r="R138" s="540"/>
      <c r="S138" s="540"/>
      <c r="T138" s="540"/>
      <c r="U138" s="540"/>
      <c r="V138" s="540"/>
      <c r="W138" s="540"/>
      <c r="X138" s="540"/>
      <c r="Y138" s="540"/>
      <c r="Z138" s="540"/>
      <c r="AA138" s="540"/>
      <c r="AB138" s="540"/>
      <c r="AC138" s="540"/>
      <c r="AD138" s="540"/>
      <c r="AE138" s="540"/>
      <c r="AF138" s="540"/>
      <c r="AG138" s="540"/>
      <c r="AH138" s="540"/>
      <c r="AI138" s="540"/>
      <c r="AJ138" s="540"/>
      <c r="AK138" s="540"/>
      <c r="AL138" s="540"/>
      <c r="AM138" s="540"/>
      <c r="AN138" s="540"/>
      <c r="AO138" s="540"/>
      <c r="AP138" s="540"/>
      <c r="AQ138" s="540"/>
      <c r="AR138" s="540"/>
      <c r="AS138" s="540"/>
      <c r="AT138" s="540"/>
      <c r="AU138" s="540"/>
      <c r="AV138" s="540"/>
      <c r="AW138" s="540"/>
      <c r="AX138" s="540"/>
      <c r="AY138" s="540"/>
      <c r="AZ138" s="540"/>
      <c r="BA138" s="540"/>
      <c r="BB138" s="540"/>
      <c r="BC138" s="540"/>
      <c r="BD138" s="540"/>
      <c r="BE138" s="540"/>
      <c r="BF138" s="540"/>
      <c r="BG138" s="540"/>
      <c r="BH138" s="540"/>
      <c r="BI138" s="540"/>
      <c r="BJ138" s="540"/>
      <c r="BK138" s="540"/>
      <c r="BL138" s="540"/>
      <c r="BM138" s="540"/>
      <c r="BN138" s="540"/>
      <c r="BO138" s="540"/>
      <c r="BP138" s="540"/>
      <c r="BQ138" s="540"/>
      <c r="BR138" s="540"/>
      <c r="BS138" s="540"/>
      <c r="BT138" s="540"/>
      <c r="BU138" s="540"/>
    </row>
    <row r="139" spans="1:73" s="396" customFormat="1" ht="42" customHeight="1" thickBot="1">
      <c r="A139" s="911" t="s">
        <v>848</v>
      </c>
      <c r="B139" s="912"/>
      <c r="C139" s="399">
        <f>SUM(B140:B144)</f>
        <v>53740000</v>
      </c>
      <c r="D139" s="543">
        <f t="shared" ref="D139" si="16">SUM(C139)</f>
        <v>53740000</v>
      </c>
      <c r="E139" s="543">
        <f>24662000+3475000+14407088+129000+1650000</f>
        <v>44323088</v>
      </c>
      <c r="F139" s="569">
        <f t="shared" ref="F139" si="17">E139/D139</f>
        <v>0.82476903609973951</v>
      </c>
      <c r="G139" s="395"/>
      <c r="H139" s="395"/>
      <c r="I139" s="395"/>
      <c r="J139" s="395"/>
      <c r="K139" s="395"/>
      <c r="L139" s="395"/>
      <c r="M139" s="395"/>
      <c r="N139" s="395"/>
      <c r="O139" s="395"/>
      <c r="P139" s="395"/>
      <c r="Q139" s="395"/>
      <c r="R139" s="395"/>
      <c r="S139" s="395"/>
      <c r="T139" s="395"/>
      <c r="U139" s="395"/>
      <c r="V139" s="395"/>
      <c r="W139" s="395"/>
      <c r="X139" s="395"/>
      <c r="Y139" s="395"/>
      <c r="Z139" s="395"/>
      <c r="AA139" s="395"/>
      <c r="AB139" s="395"/>
      <c r="AC139" s="395"/>
      <c r="AD139" s="395"/>
      <c r="AE139" s="395"/>
      <c r="AF139" s="395"/>
      <c r="AG139" s="395"/>
      <c r="AH139" s="395"/>
      <c r="AI139" s="395"/>
      <c r="AJ139" s="395"/>
      <c r="AK139" s="395"/>
      <c r="AL139" s="395"/>
      <c r="AM139" s="395"/>
      <c r="AN139" s="395"/>
      <c r="AO139" s="395"/>
      <c r="AP139" s="395"/>
      <c r="AQ139" s="395"/>
      <c r="AR139" s="395"/>
      <c r="AS139" s="395"/>
      <c r="AT139" s="395"/>
      <c r="AU139" s="395"/>
      <c r="AV139" s="395"/>
      <c r="AW139" s="395"/>
      <c r="AX139" s="395"/>
      <c r="AY139" s="395"/>
      <c r="AZ139" s="395"/>
      <c r="BA139" s="395"/>
      <c r="BB139" s="395"/>
      <c r="BC139" s="395"/>
      <c r="BD139" s="395"/>
      <c r="BE139" s="395"/>
      <c r="BF139" s="395"/>
      <c r="BG139" s="395"/>
      <c r="BH139" s="395"/>
      <c r="BI139" s="395"/>
      <c r="BJ139" s="395"/>
      <c r="BK139" s="395"/>
      <c r="BL139" s="395"/>
      <c r="BM139" s="395"/>
      <c r="BN139" s="395"/>
      <c r="BO139" s="395"/>
      <c r="BP139" s="395"/>
      <c r="BQ139" s="395"/>
      <c r="BR139" s="395"/>
      <c r="BS139" s="395"/>
      <c r="BT139" s="395"/>
      <c r="BU139" s="395"/>
    </row>
    <row r="140" spans="1:73" s="396" customFormat="1" ht="21" customHeight="1" thickBot="1">
      <c r="A140" s="397" t="s">
        <v>849</v>
      </c>
      <c r="B140" s="393">
        <v>26400000</v>
      </c>
      <c r="C140" s="399"/>
      <c r="D140" s="543"/>
      <c r="E140" s="543"/>
      <c r="F140" s="569"/>
      <c r="G140" s="395"/>
      <c r="H140" s="395"/>
      <c r="I140" s="395"/>
      <c r="J140" s="395"/>
      <c r="K140" s="395"/>
      <c r="L140" s="395"/>
      <c r="M140" s="395"/>
      <c r="N140" s="395"/>
      <c r="O140" s="395"/>
      <c r="P140" s="395"/>
      <c r="Q140" s="395"/>
      <c r="R140" s="395"/>
      <c r="S140" s="395"/>
      <c r="T140" s="395"/>
      <c r="U140" s="395"/>
      <c r="V140" s="395"/>
      <c r="W140" s="395"/>
      <c r="X140" s="395"/>
      <c r="Y140" s="395"/>
      <c r="Z140" s="395"/>
      <c r="AA140" s="395"/>
      <c r="AB140" s="395"/>
      <c r="AC140" s="395"/>
      <c r="AD140" s="395"/>
      <c r="AE140" s="395"/>
      <c r="AF140" s="395"/>
      <c r="AG140" s="395"/>
      <c r="AH140" s="395"/>
      <c r="AI140" s="395"/>
      <c r="AJ140" s="395"/>
      <c r="AK140" s="395"/>
      <c r="AL140" s="395"/>
      <c r="AM140" s="395"/>
      <c r="AN140" s="395"/>
      <c r="AO140" s="395"/>
      <c r="AP140" s="395"/>
      <c r="AQ140" s="395"/>
      <c r="AR140" s="395"/>
      <c r="AS140" s="395"/>
      <c r="AT140" s="395"/>
      <c r="AU140" s="395"/>
      <c r="AV140" s="395"/>
      <c r="AW140" s="395"/>
      <c r="AX140" s="395"/>
      <c r="AY140" s="395"/>
      <c r="AZ140" s="395"/>
      <c r="BA140" s="395"/>
      <c r="BB140" s="395"/>
      <c r="BC140" s="395"/>
      <c r="BD140" s="395"/>
      <c r="BE140" s="395"/>
      <c r="BF140" s="395"/>
      <c r="BG140" s="395"/>
      <c r="BH140" s="395"/>
      <c r="BI140" s="395"/>
      <c r="BJ140" s="395"/>
      <c r="BK140" s="395"/>
      <c r="BL140" s="395"/>
      <c r="BM140" s="395"/>
      <c r="BN140" s="395"/>
      <c r="BO140" s="395"/>
      <c r="BP140" s="395"/>
      <c r="BQ140" s="395"/>
      <c r="BR140" s="395"/>
      <c r="BS140" s="395"/>
      <c r="BT140" s="395"/>
      <c r="BU140" s="395"/>
    </row>
    <row r="141" spans="1:73" s="396" customFormat="1" ht="21" customHeight="1" thickBot="1">
      <c r="A141" s="397" t="s">
        <v>850</v>
      </c>
      <c r="B141" s="393">
        <v>3240000</v>
      </c>
      <c r="C141" s="399"/>
      <c r="D141" s="543"/>
      <c r="E141" s="543"/>
      <c r="F141" s="569"/>
      <c r="G141" s="395"/>
      <c r="H141" s="395"/>
      <c r="I141" s="395"/>
      <c r="J141" s="395"/>
      <c r="K141" s="395"/>
      <c r="L141" s="395"/>
      <c r="M141" s="395"/>
      <c r="N141" s="395"/>
      <c r="O141" s="395"/>
      <c r="P141" s="395"/>
      <c r="Q141" s="395"/>
      <c r="R141" s="395"/>
      <c r="S141" s="395"/>
      <c r="T141" s="395"/>
      <c r="U141" s="395"/>
      <c r="V141" s="395"/>
      <c r="W141" s="395"/>
      <c r="X141" s="395"/>
      <c r="Y141" s="395"/>
      <c r="Z141" s="395"/>
      <c r="AA141" s="395"/>
      <c r="AB141" s="395"/>
      <c r="AC141" s="395"/>
      <c r="AD141" s="395"/>
      <c r="AE141" s="395"/>
      <c r="AF141" s="395"/>
      <c r="AG141" s="395"/>
      <c r="AH141" s="395"/>
      <c r="AI141" s="395"/>
      <c r="AJ141" s="395"/>
      <c r="AK141" s="395"/>
      <c r="AL141" s="395"/>
      <c r="AM141" s="395"/>
      <c r="AN141" s="395"/>
      <c r="AO141" s="395"/>
      <c r="AP141" s="395"/>
      <c r="AQ141" s="395"/>
      <c r="AR141" s="395"/>
      <c r="AS141" s="395"/>
      <c r="AT141" s="395"/>
      <c r="AU141" s="395"/>
      <c r="AV141" s="395"/>
      <c r="AW141" s="395"/>
      <c r="AX141" s="395"/>
      <c r="AY141" s="395"/>
      <c r="AZ141" s="395"/>
      <c r="BA141" s="395"/>
      <c r="BB141" s="395"/>
      <c r="BC141" s="395"/>
      <c r="BD141" s="395"/>
      <c r="BE141" s="395"/>
      <c r="BF141" s="395"/>
      <c r="BG141" s="395"/>
      <c r="BH141" s="395"/>
      <c r="BI141" s="395"/>
      <c r="BJ141" s="395"/>
      <c r="BK141" s="395"/>
      <c r="BL141" s="395"/>
      <c r="BM141" s="395"/>
      <c r="BN141" s="395"/>
      <c r="BO141" s="395"/>
      <c r="BP141" s="395"/>
      <c r="BQ141" s="395"/>
      <c r="BR141" s="395"/>
      <c r="BS141" s="395"/>
      <c r="BT141" s="395"/>
      <c r="BU141" s="395"/>
    </row>
    <row r="142" spans="1:73" s="396" customFormat="1" ht="21" customHeight="1" thickBot="1">
      <c r="A142" s="397" t="s">
        <v>851</v>
      </c>
      <c r="B142" s="393">
        <v>9800000</v>
      </c>
      <c r="C142" s="399"/>
      <c r="D142" s="543"/>
      <c r="E142" s="543"/>
      <c r="F142" s="569"/>
      <c r="G142" s="395"/>
      <c r="H142" s="395"/>
      <c r="I142" s="395"/>
      <c r="J142" s="395"/>
      <c r="K142" s="395"/>
      <c r="L142" s="395"/>
      <c r="M142" s="395"/>
      <c r="N142" s="395"/>
      <c r="O142" s="395"/>
      <c r="P142" s="395"/>
      <c r="Q142" s="395"/>
      <c r="R142" s="395"/>
      <c r="S142" s="395"/>
      <c r="T142" s="395"/>
      <c r="U142" s="395"/>
      <c r="V142" s="395"/>
      <c r="W142" s="395"/>
      <c r="X142" s="395"/>
      <c r="Y142" s="395"/>
      <c r="Z142" s="395"/>
      <c r="AA142" s="395"/>
      <c r="AB142" s="395"/>
      <c r="AC142" s="395"/>
      <c r="AD142" s="395"/>
      <c r="AE142" s="395"/>
      <c r="AF142" s="395"/>
      <c r="AG142" s="395"/>
      <c r="AH142" s="395"/>
      <c r="AI142" s="395"/>
      <c r="AJ142" s="395"/>
      <c r="AK142" s="395"/>
      <c r="AL142" s="395"/>
      <c r="AM142" s="395"/>
      <c r="AN142" s="395"/>
      <c r="AO142" s="395"/>
      <c r="AP142" s="395"/>
      <c r="AQ142" s="395"/>
      <c r="AR142" s="395"/>
      <c r="AS142" s="395"/>
      <c r="AT142" s="395"/>
      <c r="AU142" s="395"/>
      <c r="AV142" s="395"/>
      <c r="AW142" s="395"/>
      <c r="AX142" s="395"/>
      <c r="AY142" s="395"/>
      <c r="AZ142" s="395"/>
      <c r="BA142" s="395"/>
      <c r="BB142" s="395"/>
      <c r="BC142" s="395"/>
      <c r="BD142" s="395"/>
      <c r="BE142" s="395"/>
      <c r="BF142" s="395"/>
      <c r="BG142" s="395"/>
      <c r="BH142" s="395"/>
      <c r="BI142" s="395"/>
      <c r="BJ142" s="395"/>
      <c r="BK142" s="395"/>
      <c r="BL142" s="395"/>
      <c r="BM142" s="395"/>
      <c r="BN142" s="395"/>
      <c r="BO142" s="395"/>
      <c r="BP142" s="395"/>
      <c r="BQ142" s="395"/>
      <c r="BR142" s="395"/>
      <c r="BS142" s="395"/>
      <c r="BT142" s="395"/>
      <c r="BU142" s="395"/>
    </row>
    <row r="143" spans="1:73" s="396" customFormat="1" ht="21" customHeight="1" thickBot="1">
      <c r="A143" s="397" t="s">
        <v>852</v>
      </c>
      <c r="B143" s="393">
        <v>11300000</v>
      </c>
      <c r="C143" s="399"/>
      <c r="D143" s="543"/>
      <c r="E143" s="543"/>
      <c r="F143" s="569"/>
      <c r="G143" s="395"/>
      <c r="H143" s="395"/>
      <c r="I143" s="395"/>
      <c r="J143" s="395"/>
      <c r="K143" s="395"/>
      <c r="L143" s="395"/>
      <c r="M143" s="395"/>
      <c r="N143" s="395"/>
      <c r="O143" s="395"/>
      <c r="P143" s="395"/>
      <c r="Q143" s="395"/>
      <c r="R143" s="395"/>
      <c r="S143" s="395"/>
      <c r="T143" s="395"/>
      <c r="U143" s="395"/>
      <c r="V143" s="395"/>
      <c r="W143" s="395"/>
      <c r="X143" s="395"/>
      <c r="Y143" s="395"/>
      <c r="Z143" s="395"/>
      <c r="AA143" s="395"/>
      <c r="AB143" s="395"/>
      <c r="AC143" s="395"/>
      <c r="AD143" s="395"/>
      <c r="AE143" s="395"/>
      <c r="AF143" s="395"/>
      <c r="AG143" s="395"/>
      <c r="AH143" s="395"/>
      <c r="AI143" s="395"/>
      <c r="AJ143" s="395"/>
      <c r="AK143" s="395"/>
      <c r="AL143" s="395"/>
      <c r="AM143" s="395"/>
      <c r="AN143" s="395"/>
      <c r="AO143" s="395"/>
      <c r="AP143" s="395"/>
      <c r="AQ143" s="395"/>
      <c r="AR143" s="395"/>
      <c r="AS143" s="395"/>
      <c r="AT143" s="395"/>
      <c r="AU143" s="395"/>
      <c r="AV143" s="395"/>
      <c r="AW143" s="395"/>
      <c r="AX143" s="395"/>
      <c r="AY143" s="395"/>
      <c r="AZ143" s="395"/>
      <c r="BA143" s="395"/>
      <c r="BB143" s="395"/>
      <c r="BC143" s="395"/>
      <c r="BD143" s="395"/>
      <c r="BE143" s="395"/>
      <c r="BF143" s="395"/>
      <c r="BG143" s="395"/>
      <c r="BH143" s="395"/>
      <c r="BI143" s="395"/>
      <c r="BJ143" s="395"/>
      <c r="BK143" s="395"/>
      <c r="BL143" s="395"/>
      <c r="BM143" s="395"/>
      <c r="BN143" s="395"/>
      <c r="BO143" s="395"/>
      <c r="BP143" s="395"/>
      <c r="BQ143" s="395"/>
      <c r="BR143" s="395"/>
      <c r="BS143" s="395"/>
      <c r="BT143" s="395"/>
      <c r="BU143" s="395"/>
    </row>
    <row r="144" spans="1:73" s="396" customFormat="1" ht="21" customHeight="1" thickBot="1">
      <c r="A144" s="397" t="s">
        <v>468</v>
      </c>
      <c r="B144" s="393">
        <v>3000000</v>
      </c>
      <c r="C144" s="399"/>
      <c r="D144" s="543"/>
      <c r="E144" s="543"/>
      <c r="F144" s="569"/>
      <c r="G144" s="395"/>
      <c r="H144" s="395"/>
      <c r="I144" s="395"/>
      <c r="J144" s="395"/>
      <c r="K144" s="395"/>
      <c r="L144" s="395"/>
      <c r="M144" s="395"/>
      <c r="N144" s="395"/>
      <c r="O144" s="395"/>
      <c r="P144" s="395"/>
      <c r="Q144" s="395"/>
      <c r="R144" s="395"/>
      <c r="S144" s="395"/>
      <c r="T144" s="395"/>
      <c r="U144" s="395"/>
      <c r="V144" s="395"/>
      <c r="W144" s="395"/>
      <c r="X144" s="395"/>
      <c r="Y144" s="395"/>
      <c r="Z144" s="395"/>
      <c r="AA144" s="395"/>
      <c r="AB144" s="395"/>
      <c r="AC144" s="395"/>
      <c r="AD144" s="395"/>
      <c r="AE144" s="395"/>
      <c r="AF144" s="395"/>
      <c r="AG144" s="395"/>
      <c r="AH144" s="395"/>
      <c r="AI144" s="395"/>
      <c r="AJ144" s="395"/>
      <c r="AK144" s="395"/>
      <c r="AL144" s="395"/>
      <c r="AM144" s="395"/>
      <c r="AN144" s="395"/>
      <c r="AO144" s="395"/>
      <c r="AP144" s="395"/>
      <c r="AQ144" s="395"/>
      <c r="AR144" s="395"/>
      <c r="AS144" s="395"/>
      <c r="AT144" s="395"/>
      <c r="AU144" s="395"/>
      <c r="AV144" s="395"/>
      <c r="AW144" s="395"/>
      <c r="AX144" s="395"/>
      <c r="AY144" s="395"/>
      <c r="AZ144" s="395"/>
      <c r="BA144" s="395"/>
      <c r="BB144" s="395"/>
      <c r="BC144" s="395"/>
      <c r="BD144" s="395"/>
      <c r="BE144" s="395"/>
      <c r="BF144" s="395"/>
      <c r="BG144" s="395"/>
      <c r="BH144" s="395"/>
      <c r="BI144" s="395"/>
      <c r="BJ144" s="395"/>
      <c r="BK144" s="395"/>
      <c r="BL144" s="395"/>
      <c r="BM144" s="395"/>
      <c r="BN144" s="395"/>
      <c r="BO144" s="395"/>
      <c r="BP144" s="395"/>
      <c r="BQ144" s="395"/>
      <c r="BR144" s="395"/>
      <c r="BS144" s="395"/>
      <c r="BT144" s="395"/>
      <c r="BU144" s="395"/>
    </row>
    <row r="145" spans="1:73" s="401" customFormat="1" ht="21" customHeight="1" thickBot="1">
      <c r="A145" s="638" t="s">
        <v>793</v>
      </c>
      <c r="B145" s="398"/>
      <c r="C145" s="399"/>
      <c r="D145" s="399">
        <f>7847500+7806000</f>
        <v>15653500</v>
      </c>
      <c r="E145" s="399">
        <v>15029500</v>
      </c>
      <c r="F145" s="569">
        <f t="shared" ref="F145:F147" si="18">E145/D145</f>
        <v>0.960136710639793</v>
      </c>
      <c r="G145" s="400"/>
      <c r="H145" s="400"/>
      <c r="I145" s="400"/>
      <c r="J145" s="400"/>
      <c r="K145" s="400"/>
      <c r="L145" s="400"/>
      <c r="M145" s="400"/>
      <c r="N145" s="400"/>
      <c r="O145" s="400"/>
      <c r="P145" s="400"/>
      <c r="Q145" s="400"/>
      <c r="R145" s="400"/>
      <c r="S145" s="400"/>
      <c r="T145" s="400"/>
      <c r="U145" s="400"/>
      <c r="V145" s="400"/>
      <c r="W145" s="400"/>
      <c r="X145" s="400"/>
      <c r="Y145" s="400"/>
      <c r="Z145" s="400"/>
      <c r="AA145" s="400"/>
      <c r="AB145" s="400"/>
      <c r="AC145" s="400"/>
      <c r="AD145" s="400"/>
      <c r="AE145" s="400"/>
      <c r="AF145" s="400"/>
      <c r="AG145" s="400"/>
      <c r="AH145" s="400"/>
      <c r="AI145" s="400"/>
      <c r="AJ145" s="400"/>
      <c r="AK145" s="400"/>
      <c r="AL145" s="400"/>
      <c r="AM145" s="400"/>
      <c r="AN145" s="400"/>
      <c r="AO145" s="400"/>
      <c r="AP145" s="400"/>
      <c r="AQ145" s="400"/>
      <c r="AR145" s="400"/>
      <c r="AS145" s="400"/>
      <c r="AT145" s="400"/>
      <c r="AU145" s="400"/>
      <c r="AV145" s="400"/>
      <c r="AW145" s="400"/>
      <c r="AX145" s="400"/>
      <c r="AY145" s="400"/>
      <c r="AZ145" s="400"/>
      <c r="BA145" s="400"/>
      <c r="BB145" s="400"/>
      <c r="BC145" s="400"/>
      <c r="BD145" s="400"/>
      <c r="BE145" s="400"/>
      <c r="BF145" s="400"/>
      <c r="BG145" s="400"/>
      <c r="BH145" s="400"/>
      <c r="BI145" s="400"/>
      <c r="BJ145" s="400"/>
      <c r="BK145" s="400"/>
      <c r="BL145" s="400"/>
      <c r="BM145" s="400"/>
      <c r="BN145" s="400"/>
      <c r="BO145" s="400"/>
      <c r="BP145" s="400"/>
      <c r="BQ145" s="400"/>
      <c r="BR145" s="400"/>
      <c r="BS145" s="400"/>
      <c r="BT145" s="400"/>
      <c r="BU145" s="400"/>
    </row>
    <row r="146" spans="1:73" s="401" customFormat="1" ht="21" customHeight="1" thickBot="1">
      <c r="A146" s="638" t="s">
        <v>853</v>
      </c>
      <c r="B146" s="398"/>
      <c r="C146" s="399"/>
      <c r="D146" s="399">
        <v>11964000</v>
      </c>
      <c r="E146" s="399">
        <v>0</v>
      </c>
      <c r="F146" s="569">
        <f t="shared" si="18"/>
        <v>0</v>
      </c>
      <c r="G146" s="400"/>
      <c r="H146" s="400"/>
      <c r="I146" s="400"/>
      <c r="J146" s="400"/>
      <c r="K146" s="400"/>
      <c r="L146" s="400"/>
      <c r="M146" s="400"/>
      <c r="N146" s="400"/>
      <c r="O146" s="400"/>
      <c r="P146" s="400"/>
      <c r="Q146" s="400"/>
      <c r="R146" s="400"/>
      <c r="S146" s="400"/>
      <c r="T146" s="400"/>
      <c r="U146" s="400"/>
      <c r="V146" s="400"/>
      <c r="W146" s="400"/>
      <c r="X146" s="400"/>
      <c r="Y146" s="400"/>
      <c r="Z146" s="400"/>
      <c r="AA146" s="400"/>
      <c r="AB146" s="400"/>
      <c r="AC146" s="400"/>
      <c r="AD146" s="400"/>
      <c r="AE146" s="400"/>
      <c r="AF146" s="400"/>
      <c r="AG146" s="400"/>
      <c r="AH146" s="400"/>
      <c r="AI146" s="400"/>
      <c r="AJ146" s="400"/>
      <c r="AK146" s="400"/>
      <c r="AL146" s="400"/>
      <c r="AM146" s="400"/>
      <c r="AN146" s="400"/>
      <c r="AO146" s="400"/>
      <c r="AP146" s="400"/>
      <c r="AQ146" s="400"/>
      <c r="AR146" s="400"/>
      <c r="AS146" s="400"/>
      <c r="AT146" s="400"/>
      <c r="AU146" s="400"/>
      <c r="AV146" s="400"/>
      <c r="AW146" s="400"/>
      <c r="AX146" s="400"/>
      <c r="AY146" s="400"/>
      <c r="AZ146" s="400"/>
      <c r="BA146" s="400"/>
      <c r="BB146" s="400"/>
      <c r="BC146" s="400"/>
      <c r="BD146" s="400"/>
      <c r="BE146" s="400"/>
      <c r="BF146" s="400"/>
      <c r="BG146" s="400"/>
      <c r="BH146" s="400"/>
      <c r="BI146" s="400"/>
      <c r="BJ146" s="400"/>
      <c r="BK146" s="400"/>
      <c r="BL146" s="400"/>
      <c r="BM146" s="400"/>
      <c r="BN146" s="400"/>
      <c r="BO146" s="400"/>
      <c r="BP146" s="400"/>
      <c r="BQ146" s="400"/>
      <c r="BR146" s="400"/>
      <c r="BS146" s="400"/>
      <c r="BT146" s="400"/>
      <c r="BU146" s="400"/>
    </row>
    <row r="147" spans="1:73" s="396" customFormat="1" ht="27.75" customHeight="1" thickBot="1">
      <c r="A147" s="638" t="s">
        <v>486</v>
      </c>
      <c r="B147" s="398"/>
      <c r="C147" s="399">
        <v>6050000</v>
      </c>
      <c r="D147" s="543">
        <f>SUM(B148:B149)</f>
        <v>2050000</v>
      </c>
      <c r="E147" s="543">
        <v>782000</v>
      </c>
      <c r="F147" s="569">
        <f t="shared" si="18"/>
        <v>0.38146341463414635</v>
      </c>
      <c r="G147" s="395"/>
      <c r="H147" s="395"/>
      <c r="I147" s="395"/>
      <c r="J147" s="395"/>
      <c r="K147" s="395"/>
      <c r="L147" s="395"/>
      <c r="M147" s="395"/>
      <c r="N147" s="395"/>
      <c r="O147" s="395"/>
      <c r="P147" s="395"/>
      <c r="Q147" s="395"/>
      <c r="R147" s="395"/>
      <c r="S147" s="395"/>
      <c r="T147" s="395"/>
      <c r="U147" s="395"/>
      <c r="V147" s="395"/>
      <c r="W147" s="395"/>
      <c r="X147" s="395"/>
      <c r="Y147" s="395"/>
      <c r="Z147" s="395"/>
      <c r="AA147" s="395"/>
      <c r="AB147" s="395"/>
      <c r="AC147" s="395"/>
      <c r="AD147" s="395"/>
      <c r="AE147" s="395"/>
      <c r="AF147" s="395"/>
      <c r="AG147" s="395"/>
      <c r="AH147" s="395"/>
      <c r="AI147" s="395"/>
      <c r="AJ147" s="395"/>
      <c r="AK147" s="395"/>
      <c r="AL147" s="395"/>
      <c r="AM147" s="395"/>
      <c r="AN147" s="395"/>
      <c r="AO147" s="395"/>
      <c r="AP147" s="395"/>
      <c r="AQ147" s="395"/>
      <c r="AR147" s="395"/>
      <c r="AS147" s="395"/>
      <c r="AT147" s="395"/>
      <c r="AU147" s="395"/>
      <c r="AV147" s="395"/>
      <c r="AW147" s="395"/>
      <c r="AX147" s="395"/>
      <c r="AY147" s="395"/>
      <c r="AZ147" s="395"/>
      <c r="BA147" s="395"/>
      <c r="BB147" s="395"/>
      <c r="BC147" s="395"/>
      <c r="BD147" s="395"/>
      <c r="BE147" s="395"/>
      <c r="BF147" s="395"/>
      <c r="BG147" s="395"/>
      <c r="BH147" s="395"/>
      <c r="BI147" s="395"/>
      <c r="BJ147" s="395"/>
      <c r="BK147" s="395"/>
      <c r="BL147" s="395"/>
      <c r="BM147" s="395"/>
      <c r="BN147" s="395"/>
      <c r="BO147" s="395"/>
      <c r="BP147" s="395"/>
      <c r="BQ147" s="395"/>
      <c r="BR147" s="395"/>
      <c r="BS147" s="395"/>
      <c r="BT147" s="395"/>
      <c r="BU147" s="395"/>
    </row>
    <row r="148" spans="1:73" s="396" customFormat="1" ht="30" customHeight="1" thickBot="1">
      <c r="A148" s="397" t="s">
        <v>487</v>
      </c>
      <c r="B148" s="393">
        <v>2000000</v>
      </c>
      <c r="C148" s="399"/>
      <c r="D148" s="543"/>
      <c r="E148" s="543"/>
      <c r="F148" s="569"/>
      <c r="G148" s="395"/>
      <c r="H148" s="395"/>
      <c r="I148" s="395"/>
      <c r="J148" s="395"/>
      <c r="K148" s="395"/>
      <c r="L148" s="395"/>
      <c r="M148" s="395"/>
      <c r="N148" s="395"/>
      <c r="O148" s="395"/>
      <c r="P148" s="395"/>
      <c r="Q148" s="395"/>
      <c r="R148" s="395"/>
      <c r="S148" s="395"/>
      <c r="T148" s="395"/>
      <c r="U148" s="395"/>
      <c r="V148" s="395"/>
      <c r="W148" s="395"/>
      <c r="X148" s="395"/>
      <c r="Y148" s="395"/>
      <c r="Z148" s="395"/>
      <c r="AA148" s="395"/>
      <c r="AB148" s="395"/>
      <c r="AC148" s="395"/>
      <c r="AD148" s="395"/>
      <c r="AE148" s="395"/>
      <c r="AF148" s="395"/>
      <c r="AG148" s="395"/>
      <c r="AH148" s="395"/>
      <c r="AI148" s="395"/>
      <c r="AJ148" s="395"/>
      <c r="AK148" s="395"/>
      <c r="AL148" s="395"/>
      <c r="AM148" s="395"/>
      <c r="AN148" s="395"/>
      <c r="AO148" s="395"/>
      <c r="AP148" s="395"/>
      <c r="AQ148" s="395"/>
      <c r="AR148" s="395"/>
      <c r="AS148" s="395"/>
      <c r="AT148" s="395"/>
      <c r="AU148" s="395"/>
      <c r="AV148" s="395"/>
      <c r="AW148" s="395"/>
      <c r="AX148" s="395"/>
      <c r="AY148" s="395"/>
      <c r="AZ148" s="395"/>
      <c r="BA148" s="395"/>
      <c r="BB148" s="395"/>
      <c r="BC148" s="395"/>
      <c r="BD148" s="395"/>
      <c r="BE148" s="395"/>
      <c r="BF148" s="395"/>
      <c r="BG148" s="395"/>
      <c r="BH148" s="395"/>
      <c r="BI148" s="395"/>
      <c r="BJ148" s="395"/>
      <c r="BK148" s="395"/>
      <c r="BL148" s="395"/>
      <c r="BM148" s="395"/>
      <c r="BN148" s="395"/>
      <c r="BO148" s="395"/>
      <c r="BP148" s="395"/>
      <c r="BQ148" s="395"/>
      <c r="BR148" s="395"/>
      <c r="BS148" s="395"/>
      <c r="BT148" s="395"/>
      <c r="BU148" s="395"/>
    </row>
    <row r="149" spans="1:73" s="396" customFormat="1" thickBot="1">
      <c r="A149" s="397" t="s">
        <v>652</v>
      </c>
      <c r="B149" s="393">
        <v>50000</v>
      </c>
      <c r="C149" s="399"/>
      <c r="D149" s="543"/>
      <c r="E149" s="543"/>
      <c r="F149" s="569"/>
      <c r="G149" s="395"/>
      <c r="H149" s="395"/>
      <c r="I149" s="395"/>
      <c r="J149" s="395"/>
      <c r="K149" s="395"/>
      <c r="L149" s="395"/>
      <c r="M149" s="395"/>
      <c r="N149" s="395"/>
      <c r="O149" s="395"/>
      <c r="P149" s="395"/>
      <c r="Q149" s="395"/>
      <c r="R149" s="395"/>
      <c r="S149" s="395"/>
      <c r="T149" s="395"/>
      <c r="U149" s="395"/>
      <c r="V149" s="395"/>
      <c r="W149" s="395"/>
      <c r="X149" s="395"/>
      <c r="Y149" s="395"/>
      <c r="Z149" s="395"/>
      <c r="AA149" s="395"/>
      <c r="AB149" s="395"/>
      <c r="AC149" s="395"/>
      <c r="AD149" s="395"/>
      <c r="AE149" s="395"/>
      <c r="AF149" s="395"/>
      <c r="AG149" s="395"/>
      <c r="AH149" s="395"/>
      <c r="AI149" s="395"/>
      <c r="AJ149" s="395"/>
      <c r="AK149" s="395"/>
      <c r="AL149" s="395"/>
      <c r="AM149" s="395"/>
      <c r="AN149" s="395"/>
      <c r="AO149" s="395"/>
      <c r="AP149" s="395"/>
      <c r="AQ149" s="395"/>
      <c r="AR149" s="395"/>
      <c r="AS149" s="395"/>
      <c r="AT149" s="395"/>
      <c r="AU149" s="395"/>
      <c r="AV149" s="395"/>
      <c r="AW149" s="395"/>
      <c r="AX149" s="395"/>
      <c r="AY149" s="395"/>
      <c r="AZ149" s="395"/>
      <c r="BA149" s="395"/>
      <c r="BB149" s="395"/>
      <c r="BC149" s="395"/>
      <c r="BD149" s="395"/>
      <c r="BE149" s="395"/>
      <c r="BF149" s="395"/>
      <c r="BG149" s="395"/>
      <c r="BH149" s="395"/>
      <c r="BI149" s="395"/>
      <c r="BJ149" s="395"/>
      <c r="BK149" s="395"/>
      <c r="BL149" s="395"/>
      <c r="BM149" s="395"/>
      <c r="BN149" s="395"/>
      <c r="BO149" s="395"/>
      <c r="BP149" s="395"/>
      <c r="BQ149" s="395"/>
      <c r="BR149" s="395"/>
      <c r="BS149" s="395"/>
      <c r="BT149" s="395"/>
      <c r="BU149" s="395"/>
    </row>
    <row r="150" spans="1:73" s="396" customFormat="1" ht="39.75" customHeight="1" thickBot="1">
      <c r="A150" s="397" t="s">
        <v>882</v>
      </c>
      <c r="B150" s="393">
        <f>4000000-4000000</f>
        <v>0</v>
      </c>
      <c r="C150" s="399"/>
      <c r="D150" s="543"/>
      <c r="E150" s="543"/>
      <c r="F150" s="569"/>
      <c r="G150" s="395"/>
      <c r="H150" s="395"/>
      <c r="I150" s="395"/>
      <c r="J150" s="395"/>
      <c r="K150" s="395"/>
      <c r="L150" s="395"/>
      <c r="M150" s="395"/>
      <c r="N150" s="395"/>
      <c r="O150" s="395"/>
      <c r="P150" s="395"/>
      <c r="Q150" s="395"/>
      <c r="R150" s="395"/>
      <c r="S150" s="395"/>
      <c r="T150" s="395"/>
      <c r="U150" s="395"/>
      <c r="V150" s="395"/>
      <c r="W150" s="395"/>
      <c r="X150" s="395"/>
      <c r="Y150" s="395"/>
      <c r="Z150" s="395"/>
      <c r="AA150" s="395"/>
      <c r="AB150" s="395"/>
      <c r="AC150" s="395"/>
      <c r="AD150" s="395"/>
      <c r="AE150" s="395"/>
      <c r="AF150" s="395"/>
      <c r="AG150" s="395"/>
      <c r="AH150" s="395"/>
      <c r="AI150" s="395"/>
      <c r="AJ150" s="395"/>
      <c r="AK150" s="395"/>
      <c r="AL150" s="395"/>
      <c r="AM150" s="395"/>
      <c r="AN150" s="395"/>
      <c r="AO150" s="395"/>
      <c r="AP150" s="395"/>
      <c r="AQ150" s="395"/>
      <c r="AR150" s="395"/>
      <c r="AS150" s="395"/>
      <c r="AT150" s="395"/>
      <c r="AU150" s="395"/>
      <c r="AV150" s="395"/>
      <c r="AW150" s="395"/>
      <c r="AX150" s="395"/>
      <c r="AY150" s="395"/>
      <c r="AZ150" s="395"/>
      <c r="BA150" s="395"/>
      <c r="BB150" s="395"/>
      <c r="BC150" s="395"/>
      <c r="BD150" s="395"/>
      <c r="BE150" s="395"/>
      <c r="BF150" s="395"/>
      <c r="BG150" s="395"/>
      <c r="BH150" s="395"/>
      <c r="BI150" s="395"/>
      <c r="BJ150" s="395"/>
      <c r="BK150" s="395"/>
      <c r="BL150" s="395"/>
      <c r="BM150" s="395"/>
      <c r="BN150" s="395"/>
      <c r="BO150" s="395"/>
      <c r="BP150" s="395"/>
      <c r="BQ150" s="395"/>
      <c r="BR150" s="395"/>
      <c r="BS150" s="395"/>
      <c r="BT150" s="395"/>
      <c r="BU150" s="395"/>
    </row>
    <row r="151" spans="1:73" s="396" customFormat="1" ht="49.5" customHeight="1" thickBot="1">
      <c r="A151" s="638" t="s">
        <v>883</v>
      </c>
      <c r="B151" s="393"/>
      <c r="C151" s="399">
        <v>2000000</v>
      </c>
      <c r="D151" s="543">
        <v>0</v>
      </c>
      <c r="E151" s="543">
        <v>0</v>
      </c>
      <c r="F151" s="569">
        <v>0</v>
      </c>
      <c r="G151" s="395"/>
      <c r="H151" s="395"/>
      <c r="I151" s="395"/>
      <c r="J151" s="395"/>
      <c r="K151" s="395"/>
      <c r="L151" s="395"/>
      <c r="M151" s="395"/>
      <c r="N151" s="395"/>
      <c r="O151" s="395"/>
      <c r="P151" s="395"/>
      <c r="Q151" s="395"/>
      <c r="R151" s="395"/>
      <c r="S151" s="395"/>
      <c r="T151" s="395"/>
      <c r="U151" s="395"/>
      <c r="V151" s="395"/>
      <c r="W151" s="395"/>
      <c r="X151" s="395"/>
      <c r="Y151" s="395"/>
      <c r="Z151" s="395"/>
      <c r="AA151" s="395"/>
      <c r="AB151" s="395"/>
      <c r="AC151" s="395"/>
      <c r="AD151" s="395"/>
      <c r="AE151" s="395"/>
      <c r="AF151" s="395"/>
      <c r="AG151" s="395"/>
      <c r="AH151" s="395"/>
      <c r="AI151" s="395"/>
      <c r="AJ151" s="395"/>
      <c r="AK151" s="395"/>
      <c r="AL151" s="395"/>
      <c r="AM151" s="395"/>
      <c r="AN151" s="395"/>
      <c r="AO151" s="395"/>
      <c r="AP151" s="395"/>
      <c r="AQ151" s="395"/>
      <c r="AR151" s="395"/>
      <c r="AS151" s="395"/>
      <c r="AT151" s="395"/>
      <c r="AU151" s="395"/>
      <c r="AV151" s="395"/>
      <c r="AW151" s="395"/>
      <c r="AX151" s="395"/>
      <c r="AY151" s="395"/>
      <c r="AZ151" s="395"/>
      <c r="BA151" s="395"/>
      <c r="BB151" s="395"/>
      <c r="BC151" s="395"/>
      <c r="BD151" s="395"/>
      <c r="BE151" s="395"/>
      <c r="BF151" s="395"/>
      <c r="BG151" s="395"/>
      <c r="BH151" s="395"/>
      <c r="BI151" s="395"/>
      <c r="BJ151" s="395"/>
      <c r="BK151" s="395"/>
      <c r="BL151" s="395"/>
      <c r="BM151" s="395"/>
      <c r="BN151" s="395"/>
      <c r="BO151" s="395"/>
      <c r="BP151" s="395"/>
      <c r="BQ151" s="395"/>
      <c r="BR151" s="395"/>
      <c r="BS151" s="395"/>
      <c r="BT151" s="395"/>
      <c r="BU151" s="395"/>
    </row>
    <row r="152" spans="1:73" s="541" customFormat="1" ht="44.25" customHeight="1" thickBot="1">
      <c r="A152" s="678" t="s">
        <v>522</v>
      </c>
      <c r="B152" s="679"/>
      <c r="C152" s="680">
        <f>SUM(C139:C151)</f>
        <v>61790000</v>
      </c>
      <c r="D152" s="680">
        <f>SUM(D139:D151)</f>
        <v>83407500</v>
      </c>
      <c r="E152" s="680">
        <f t="shared" ref="E152" si="19">SUM(E139:E151)</f>
        <v>60134588</v>
      </c>
      <c r="F152" s="706">
        <f>E152/D152</f>
        <v>0.72097338968318192</v>
      </c>
      <c r="G152" s="278"/>
      <c r="H152" s="540"/>
      <c r="I152" s="540"/>
      <c r="J152" s="540"/>
      <c r="K152" s="540"/>
      <c r="L152" s="540"/>
      <c r="M152" s="540"/>
      <c r="N152" s="540"/>
      <c r="O152" s="540"/>
      <c r="P152" s="540"/>
      <c r="Q152" s="540"/>
      <c r="R152" s="540"/>
      <c r="S152" s="540"/>
      <c r="T152" s="540"/>
      <c r="U152" s="540"/>
      <c r="V152" s="540"/>
      <c r="W152" s="540"/>
      <c r="X152" s="540"/>
      <c r="Y152" s="540"/>
      <c r="Z152" s="540"/>
      <c r="AA152" s="540"/>
      <c r="AB152" s="540"/>
      <c r="AC152" s="540"/>
      <c r="AD152" s="540"/>
      <c r="AE152" s="540"/>
      <c r="AF152" s="540"/>
      <c r="AG152" s="540"/>
      <c r="AH152" s="540"/>
      <c r="AI152" s="540"/>
      <c r="AJ152" s="540"/>
      <c r="AK152" s="540"/>
      <c r="AL152" s="540"/>
      <c r="AM152" s="540"/>
      <c r="AN152" s="540"/>
      <c r="AO152" s="540"/>
      <c r="AP152" s="540"/>
      <c r="AQ152" s="540"/>
      <c r="AR152" s="540"/>
      <c r="AS152" s="540"/>
      <c r="AT152" s="540"/>
      <c r="AU152" s="540"/>
      <c r="AV152" s="540"/>
      <c r="AW152" s="540"/>
      <c r="AX152" s="540"/>
      <c r="AY152" s="540"/>
      <c r="AZ152" s="540"/>
      <c r="BA152" s="540"/>
      <c r="BB152" s="540"/>
      <c r="BC152" s="540"/>
      <c r="BD152" s="540"/>
      <c r="BE152" s="540"/>
      <c r="BF152" s="540"/>
      <c r="BG152" s="540"/>
      <c r="BH152" s="540"/>
      <c r="BI152" s="540"/>
      <c r="BJ152" s="540"/>
      <c r="BK152" s="540"/>
      <c r="BL152" s="540"/>
      <c r="BM152" s="540"/>
      <c r="BN152" s="540"/>
      <c r="BO152" s="540"/>
      <c r="BP152" s="540"/>
      <c r="BQ152" s="540"/>
      <c r="BR152" s="540"/>
      <c r="BS152" s="540"/>
      <c r="BT152" s="540"/>
      <c r="BU152" s="540"/>
    </row>
    <row r="153" spans="1:73" s="396" customFormat="1" ht="28.5" customHeight="1" thickBot="1">
      <c r="A153" s="647"/>
      <c r="B153" s="681"/>
      <c r="C153" s="650"/>
      <c r="D153" s="650"/>
      <c r="E153" s="650"/>
      <c r="F153" s="699"/>
      <c r="G153" s="395"/>
      <c r="H153" s="395"/>
      <c r="I153" s="395"/>
      <c r="J153" s="395"/>
      <c r="K153" s="395"/>
      <c r="L153" s="395"/>
      <c r="M153" s="395"/>
      <c r="N153" s="395"/>
      <c r="O153" s="395"/>
      <c r="P153" s="395"/>
      <c r="Q153" s="395"/>
      <c r="R153" s="395"/>
      <c r="S153" s="395"/>
      <c r="T153" s="395"/>
      <c r="U153" s="395"/>
      <c r="V153" s="395"/>
      <c r="W153" s="395"/>
      <c r="X153" s="395"/>
      <c r="Y153" s="395"/>
      <c r="Z153" s="395"/>
      <c r="AA153" s="395"/>
      <c r="AB153" s="395"/>
      <c r="AC153" s="395"/>
      <c r="AD153" s="395"/>
      <c r="AE153" s="395"/>
      <c r="AF153" s="395"/>
      <c r="AG153" s="395"/>
      <c r="AH153" s="395"/>
      <c r="AI153" s="395"/>
      <c r="AJ153" s="395"/>
      <c r="AK153" s="395"/>
      <c r="AL153" s="395"/>
      <c r="AM153" s="395"/>
      <c r="AN153" s="395"/>
      <c r="AO153" s="395"/>
      <c r="AP153" s="395"/>
      <c r="AQ153" s="395"/>
      <c r="AR153" s="395"/>
      <c r="AS153" s="395"/>
      <c r="AT153" s="395"/>
      <c r="AU153" s="395"/>
      <c r="AV153" s="395"/>
      <c r="AW153" s="395"/>
      <c r="AX153" s="395"/>
      <c r="AY153" s="395"/>
      <c r="AZ153" s="395"/>
      <c r="BA153" s="395"/>
      <c r="BB153" s="395"/>
      <c r="BC153" s="395"/>
      <c r="BD153" s="395"/>
      <c r="BE153" s="395"/>
      <c r="BF153" s="395"/>
      <c r="BG153" s="395"/>
      <c r="BH153" s="395"/>
      <c r="BI153" s="395"/>
      <c r="BJ153" s="395"/>
      <c r="BK153" s="395"/>
      <c r="BL153" s="395"/>
      <c r="BM153" s="395"/>
      <c r="BN153" s="395"/>
      <c r="BO153" s="395"/>
      <c r="BP153" s="395"/>
      <c r="BQ153" s="395"/>
      <c r="BR153" s="395"/>
      <c r="BS153" s="395"/>
      <c r="BT153" s="395"/>
      <c r="BU153" s="395"/>
    </row>
    <row r="154" spans="1:73" s="541" customFormat="1" ht="44.25" customHeight="1" thickBot="1">
      <c r="A154" s="674" t="s">
        <v>523</v>
      </c>
      <c r="B154" s="682"/>
      <c r="C154" s="676"/>
      <c r="D154" s="676"/>
      <c r="E154" s="676"/>
      <c r="F154" s="705"/>
      <c r="G154" s="278"/>
      <c r="H154" s="540"/>
      <c r="I154" s="540"/>
      <c r="J154" s="540"/>
      <c r="K154" s="540"/>
      <c r="L154" s="540"/>
      <c r="M154" s="540"/>
      <c r="N154" s="540"/>
      <c r="O154" s="540"/>
      <c r="P154" s="540"/>
      <c r="Q154" s="540"/>
      <c r="R154" s="540"/>
      <c r="S154" s="540"/>
      <c r="T154" s="540"/>
      <c r="U154" s="540"/>
      <c r="V154" s="540"/>
      <c r="W154" s="540"/>
      <c r="X154" s="540"/>
      <c r="Y154" s="540"/>
      <c r="Z154" s="540"/>
      <c r="AA154" s="540"/>
      <c r="AB154" s="540"/>
      <c r="AC154" s="540"/>
      <c r="AD154" s="540"/>
      <c r="AE154" s="540"/>
      <c r="AF154" s="540"/>
      <c r="AG154" s="540"/>
      <c r="AH154" s="540"/>
      <c r="AI154" s="540"/>
      <c r="AJ154" s="540"/>
      <c r="AK154" s="540"/>
      <c r="AL154" s="540"/>
      <c r="AM154" s="540"/>
      <c r="AN154" s="540"/>
      <c r="AO154" s="540"/>
      <c r="AP154" s="540"/>
      <c r="AQ154" s="540"/>
      <c r="AR154" s="540"/>
      <c r="AS154" s="540"/>
      <c r="AT154" s="540"/>
      <c r="AU154" s="540"/>
      <c r="AV154" s="540"/>
      <c r="AW154" s="540"/>
      <c r="AX154" s="540"/>
      <c r="AY154" s="540"/>
      <c r="AZ154" s="540"/>
      <c r="BA154" s="540"/>
      <c r="BB154" s="540"/>
      <c r="BC154" s="540"/>
      <c r="BD154" s="540"/>
      <c r="BE154" s="540"/>
      <c r="BF154" s="540"/>
      <c r="BG154" s="540"/>
      <c r="BH154" s="540"/>
      <c r="BI154" s="540"/>
      <c r="BJ154" s="540"/>
      <c r="BK154" s="540"/>
      <c r="BL154" s="540"/>
      <c r="BM154" s="540"/>
      <c r="BN154" s="540"/>
      <c r="BO154" s="540"/>
      <c r="BP154" s="540"/>
      <c r="BQ154" s="540"/>
      <c r="BR154" s="540"/>
      <c r="BS154" s="540"/>
      <c r="BT154" s="540"/>
      <c r="BU154" s="540"/>
    </row>
    <row r="155" spans="1:73" s="646" customFormat="1" ht="75" customHeight="1" thickBot="1">
      <c r="A155" s="911" t="s">
        <v>845</v>
      </c>
      <c r="B155" s="912"/>
      <c r="C155" s="399">
        <v>1485000</v>
      </c>
      <c r="D155" s="543">
        <f>SUM(C155)+300000</f>
        <v>1785000</v>
      </c>
      <c r="E155" s="543">
        <v>1681716</v>
      </c>
      <c r="F155" s="569">
        <f t="shared" ref="F155:F162" si="20">E155/D155</f>
        <v>0.94213781512605044</v>
      </c>
      <c r="G155" s="395"/>
      <c r="H155" s="645"/>
      <c r="I155" s="645"/>
      <c r="J155" s="645"/>
      <c r="K155" s="645"/>
      <c r="L155" s="645"/>
      <c r="M155" s="645"/>
      <c r="N155" s="645"/>
      <c r="O155" s="645"/>
      <c r="P155" s="645"/>
      <c r="Q155" s="645"/>
      <c r="R155" s="645"/>
      <c r="S155" s="645"/>
      <c r="T155" s="645"/>
      <c r="U155" s="645"/>
      <c r="V155" s="645"/>
      <c r="W155" s="645"/>
      <c r="X155" s="645"/>
      <c r="Y155" s="645"/>
      <c r="Z155" s="645"/>
      <c r="AA155" s="645"/>
      <c r="AB155" s="645"/>
      <c r="AC155" s="645"/>
      <c r="AD155" s="645"/>
      <c r="AE155" s="645"/>
      <c r="AF155" s="645"/>
      <c r="AG155" s="645"/>
      <c r="AH155" s="645"/>
      <c r="AI155" s="645"/>
      <c r="AJ155" s="645"/>
      <c r="AK155" s="645"/>
      <c r="AL155" s="645"/>
      <c r="AM155" s="645"/>
      <c r="AN155" s="645"/>
      <c r="AO155" s="645"/>
      <c r="AP155" s="645"/>
      <c r="AQ155" s="645"/>
      <c r="AR155" s="645"/>
      <c r="AS155" s="645"/>
      <c r="AT155" s="645"/>
      <c r="AU155" s="645"/>
      <c r="AV155" s="645"/>
      <c r="AW155" s="645"/>
      <c r="AX155" s="645"/>
      <c r="AY155" s="645"/>
      <c r="AZ155" s="645"/>
      <c r="BA155" s="645"/>
      <c r="BB155" s="645"/>
      <c r="BC155" s="645"/>
      <c r="BD155" s="645"/>
      <c r="BE155" s="645"/>
      <c r="BF155" s="645"/>
      <c r="BG155" s="645"/>
      <c r="BH155" s="645"/>
      <c r="BI155" s="645"/>
      <c r="BJ155" s="645"/>
      <c r="BK155" s="645"/>
      <c r="BL155" s="645"/>
      <c r="BM155" s="645"/>
      <c r="BN155" s="645"/>
      <c r="BO155" s="645"/>
      <c r="BP155" s="645"/>
      <c r="BQ155" s="645"/>
      <c r="BR155" s="645"/>
      <c r="BS155" s="645"/>
      <c r="BT155" s="645"/>
      <c r="BU155" s="645"/>
    </row>
    <row r="156" spans="1:73" s="396" customFormat="1" ht="38.25" thickBot="1">
      <c r="A156" s="638" t="s">
        <v>466</v>
      </c>
      <c r="B156" s="393"/>
      <c r="C156" s="399">
        <v>568508702</v>
      </c>
      <c r="D156" s="543">
        <f>SUM(C156)+36741485+50781978+32884582-2258807</f>
        <v>686657940</v>
      </c>
      <c r="E156" s="543">
        <v>686657940</v>
      </c>
      <c r="F156" s="569">
        <f t="shared" si="20"/>
        <v>1</v>
      </c>
      <c r="G156" s="400"/>
      <c r="H156" s="395"/>
      <c r="I156" s="395"/>
      <c r="J156" s="395"/>
      <c r="K156" s="395"/>
      <c r="L156" s="395"/>
      <c r="M156" s="395"/>
      <c r="N156" s="395"/>
      <c r="O156" s="395"/>
      <c r="P156" s="395"/>
      <c r="Q156" s="395"/>
      <c r="R156" s="395"/>
      <c r="S156" s="395"/>
      <c r="T156" s="395"/>
      <c r="U156" s="395"/>
      <c r="V156" s="395"/>
      <c r="W156" s="395"/>
      <c r="X156" s="395"/>
      <c r="Y156" s="395"/>
      <c r="Z156" s="395"/>
      <c r="AA156" s="395"/>
      <c r="AB156" s="395"/>
      <c r="AC156" s="395"/>
      <c r="AD156" s="395"/>
      <c r="AE156" s="395"/>
      <c r="AF156" s="395"/>
      <c r="AG156" s="395"/>
      <c r="AH156" s="395"/>
      <c r="AI156" s="395"/>
      <c r="AJ156" s="395"/>
      <c r="AK156" s="395"/>
      <c r="AL156" s="395"/>
      <c r="AM156" s="395"/>
      <c r="AN156" s="395"/>
      <c r="AO156" s="395"/>
      <c r="AP156" s="395"/>
      <c r="AQ156" s="395"/>
      <c r="AR156" s="395"/>
      <c r="AS156" s="395"/>
      <c r="AT156" s="395"/>
      <c r="AU156" s="395"/>
      <c r="AV156" s="395"/>
      <c r="AW156" s="395"/>
      <c r="AX156" s="395"/>
      <c r="AY156" s="395"/>
      <c r="AZ156" s="395"/>
      <c r="BA156" s="395"/>
      <c r="BB156" s="395"/>
      <c r="BC156" s="395"/>
      <c r="BD156" s="395"/>
      <c r="BE156" s="395"/>
      <c r="BF156" s="395"/>
      <c r="BG156" s="395"/>
      <c r="BH156" s="395"/>
      <c r="BI156" s="395"/>
      <c r="BJ156" s="395"/>
      <c r="BK156" s="395"/>
      <c r="BL156" s="395"/>
      <c r="BM156" s="395"/>
      <c r="BN156" s="395"/>
      <c r="BO156" s="395"/>
      <c r="BP156" s="395"/>
      <c r="BQ156" s="395"/>
      <c r="BR156" s="395"/>
      <c r="BS156" s="395"/>
      <c r="BT156" s="395"/>
      <c r="BU156" s="395"/>
    </row>
    <row r="157" spans="1:73" s="396" customFormat="1" ht="57" thickBot="1">
      <c r="A157" s="638" t="s">
        <v>467</v>
      </c>
      <c r="B157" s="393"/>
      <c r="C157" s="399">
        <v>100000000</v>
      </c>
      <c r="D157" s="543">
        <f>SUM(C157)+47782313+21247350</f>
        <v>169029663</v>
      </c>
      <c r="E157" s="543">
        <v>169029663</v>
      </c>
      <c r="F157" s="569">
        <f t="shared" si="20"/>
        <v>1</v>
      </c>
      <c r="G157" s="292"/>
      <c r="H157" s="395"/>
      <c r="I157" s="395"/>
      <c r="J157" s="395"/>
      <c r="K157" s="395"/>
      <c r="L157" s="395"/>
      <c r="M157" s="395"/>
      <c r="N157" s="395"/>
      <c r="O157" s="395"/>
      <c r="P157" s="395"/>
      <c r="Q157" s="395"/>
      <c r="R157" s="395"/>
      <c r="S157" s="395"/>
      <c r="T157" s="395"/>
      <c r="U157" s="395"/>
      <c r="V157" s="395"/>
      <c r="W157" s="395"/>
      <c r="X157" s="395"/>
      <c r="Y157" s="395"/>
      <c r="Z157" s="395"/>
      <c r="AA157" s="395"/>
      <c r="AB157" s="395"/>
      <c r="AC157" s="395"/>
      <c r="AD157" s="395"/>
      <c r="AE157" s="395"/>
      <c r="AF157" s="395"/>
      <c r="AG157" s="395"/>
      <c r="AH157" s="395"/>
      <c r="AI157" s="395"/>
      <c r="AJ157" s="395"/>
      <c r="AK157" s="395"/>
      <c r="AL157" s="395"/>
      <c r="AM157" s="395"/>
      <c r="AN157" s="395"/>
      <c r="AO157" s="395"/>
      <c r="AP157" s="395"/>
      <c r="AQ157" s="395"/>
      <c r="AR157" s="395"/>
      <c r="AS157" s="395"/>
      <c r="AT157" s="395"/>
      <c r="AU157" s="395"/>
      <c r="AV157" s="395"/>
      <c r="AW157" s="395"/>
      <c r="AX157" s="395"/>
      <c r="AY157" s="395"/>
      <c r="AZ157" s="395"/>
      <c r="BA157" s="395"/>
      <c r="BB157" s="395"/>
      <c r="BC157" s="395"/>
      <c r="BD157" s="395"/>
      <c r="BE157" s="395"/>
      <c r="BF157" s="395"/>
      <c r="BG157" s="395"/>
      <c r="BH157" s="395"/>
      <c r="BI157" s="395"/>
      <c r="BJ157" s="395"/>
      <c r="BK157" s="395"/>
      <c r="BL157" s="395"/>
      <c r="BM157" s="395"/>
      <c r="BN157" s="395"/>
      <c r="BO157" s="395"/>
      <c r="BP157" s="395"/>
      <c r="BQ157" s="395"/>
      <c r="BR157" s="395"/>
      <c r="BS157" s="395"/>
      <c r="BT157" s="395"/>
      <c r="BU157" s="395"/>
    </row>
    <row r="158" spans="1:73" s="396" customFormat="1" ht="27.75" customHeight="1" thickBot="1">
      <c r="A158" s="638" t="s">
        <v>846</v>
      </c>
      <c r="B158" s="393"/>
      <c r="C158" s="399">
        <v>1020650</v>
      </c>
      <c r="D158" s="543">
        <f t="shared" ref="D158" si="21">SUM(C158)</f>
        <v>1020650</v>
      </c>
      <c r="E158" s="543">
        <v>1020650</v>
      </c>
      <c r="F158" s="569">
        <f t="shared" si="20"/>
        <v>1</v>
      </c>
      <c r="G158" s="292">
        <f>SUM(D156:D158)</f>
        <v>856708253</v>
      </c>
      <c r="H158" s="395"/>
      <c r="I158" s="395"/>
      <c r="J158" s="395"/>
      <c r="K158" s="395"/>
      <c r="L158" s="395"/>
      <c r="M158" s="395"/>
      <c r="N158" s="395"/>
      <c r="O158" s="395"/>
      <c r="P158" s="395"/>
      <c r="Q158" s="395"/>
      <c r="R158" s="395"/>
      <c r="S158" s="395"/>
      <c r="T158" s="395"/>
      <c r="U158" s="395"/>
      <c r="V158" s="395"/>
      <c r="W158" s="395"/>
      <c r="X158" s="395"/>
      <c r="Y158" s="395"/>
      <c r="Z158" s="395"/>
      <c r="AA158" s="395"/>
      <c r="AB158" s="395"/>
      <c r="AC158" s="395"/>
      <c r="AD158" s="395"/>
      <c r="AE158" s="395"/>
      <c r="AF158" s="395"/>
      <c r="AG158" s="395"/>
      <c r="AH158" s="395"/>
      <c r="AI158" s="395"/>
      <c r="AJ158" s="395"/>
      <c r="AK158" s="395"/>
      <c r="AL158" s="395"/>
      <c r="AM158" s="395"/>
      <c r="AN158" s="395"/>
      <c r="AO158" s="395"/>
      <c r="AP158" s="395"/>
      <c r="AQ158" s="395"/>
      <c r="AR158" s="395"/>
      <c r="AS158" s="395"/>
      <c r="AT158" s="395"/>
      <c r="AU158" s="395"/>
      <c r="AV158" s="395"/>
      <c r="AW158" s="395"/>
      <c r="AX158" s="395"/>
      <c r="AY158" s="395"/>
      <c r="AZ158" s="395"/>
      <c r="BA158" s="395"/>
      <c r="BB158" s="395"/>
      <c r="BC158" s="395"/>
      <c r="BD158" s="395"/>
      <c r="BE158" s="395"/>
      <c r="BF158" s="395"/>
      <c r="BG158" s="395"/>
      <c r="BH158" s="395"/>
      <c r="BI158" s="395"/>
      <c r="BJ158" s="395"/>
      <c r="BK158" s="395"/>
      <c r="BL158" s="395"/>
      <c r="BM158" s="395"/>
      <c r="BN158" s="395"/>
      <c r="BO158" s="395"/>
      <c r="BP158" s="395"/>
      <c r="BQ158" s="395"/>
      <c r="BR158" s="395"/>
      <c r="BS158" s="395"/>
      <c r="BT158" s="395"/>
      <c r="BU158" s="395"/>
    </row>
    <row r="159" spans="1:73" s="396" customFormat="1" ht="39.75" customHeight="1" thickBot="1">
      <c r="A159" s="638" t="s">
        <v>847</v>
      </c>
      <c r="B159" s="393"/>
      <c r="C159" s="399"/>
      <c r="D159" s="543">
        <v>135476</v>
      </c>
      <c r="E159" s="543">
        <v>135476</v>
      </c>
      <c r="F159" s="569">
        <f t="shared" si="20"/>
        <v>1</v>
      </c>
      <c r="G159" s="395"/>
      <c r="H159" s="395"/>
      <c r="I159" s="395"/>
      <c r="J159" s="395"/>
      <c r="K159" s="395"/>
      <c r="L159" s="395"/>
      <c r="M159" s="395"/>
      <c r="N159" s="395"/>
      <c r="O159" s="395"/>
      <c r="P159" s="395"/>
      <c r="Q159" s="395"/>
      <c r="R159" s="395"/>
      <c r="S159" s="395"/>
      <c r="T159" s="395"/>
      <c r="U159" s="395"/>
      <c r="V159" s="395"/>
      <c r="W159" s="395"/>
      <c r="X159" s="395"/>
      <c r="Y159" s="395"/>
      <c r="Z159" s="395"/>
      <c r="AA159" s="395"/>
      <c r="AB159" s="395"/>
      <c r="AC159" s="395"/>
      <c r="AD159" s="395"/>
      <c r="AE159" s="395"/>
      <c r="AF159" s="395"/>
      <c r="AG159" s="395"/>
      <c r="AH159" s="395"/>
      <c r="AI159" s="395"/>
      <c r="AJ159" s="395"/>
      <c r="AK159" s="395"/>
      <c r="AL159" s="395"/>
      <c r="AM159" s="395"/>
      <c r="AN159" s="395"/>
      <c r="AO159" s="395"/>
      <c r="AP159" s="395"/>
      <c r="AQ159" s="395"/>
      <c r="AR159" s="395"/>
      <c r="AS159" s="395"/>
      <c r="AT159" s="395"/>
      <c r="AU159" s="395"/>
      <c r="AV159" s="395"/>
      <c r="AW159" s="395"/>
      <c r="AX159" s="395"/>
      <c r="AY159" s="395"/>
      <c r="AZ159" s="395"/>
      <c r="BA159" s="395"/>
      <c r="BB159" s="395"/>
      <c r="BC159" s="395"/>
      <c r="BD159" s="395"/>
      <c r="BE159" s="395"/>
      <c r="BF159" s="395"/>
      <c r="BG159" s="395"/>
      <c r="BH159" s="395"/>
      <c r="BI159" s="395"/>
      <c r="BJ159" s="395"/>
      <c r="BK159" s="395"/>
      <c r="BL159" s="395"/>
      <c r="BM159" s="395"/>
      <c r="BN159" s="395"/>
      <c r="BO159" s="395"/>
      <c r="BP159" s="395"/>
      <c r="BQ159" s="395"/>
      <c r="BR159" s="395"/>
      <c r="BS159" s="395"/>
      <c r="BT159" s="395"/>
      <c r="BU159" s="395"/>
    </row>
    <row r="160" spans="1:73" s="541" customFormat="1" ht="66.75" customHeight="1" thickBot="1">
      <c r="A160" s="537" t="s">
        <v>456</v>
      </c>
      <c r="B160" s="550"/>
      <c r="C160" s="539" t="s">
        <v>343</v>
      </c>
      <c r="D160" s="673" t="s">
        <v>344</v>
      </c>
      <c r="E160" s="673" t="s">
        <v>285</v>
      </c>
      <c r="F160" s="704" t="s">
        <v>286</v>
      </c>
      <c r="G160" s="278"/>
      <c r="H160" s="540"/>
      <c r="I160" s="540"/>
      <c r="J160" s="540"/>
      <c r="K160" s="540"/>
      <c r="L160" s="540"/>
      <c r="M160" s="540"/>
      <c r="N160" s="540"/>
      <c r="O160" s="540"/>
      <c r="P160" s="540"/>
      <c r="Q160" s="540"/>
      <c r="R160" s="540"/>
      <c r="S160" s="540"/>
      <c r="T160" s="540"/>
      <c r="U160" s="540"/>
      <c r="V160" s="540"/>
      <c r="W160" s="540"/>
      <c r="X160" s="540"/>
      <c r="Y160" s="540"/>
      <c r="Z160" s="540"/>
      <c r="AA160" s="540"/>
      <c r="AB160" s="540"/>
      <c r="AC160" s="540"/>
      <c r="AD160" s="540"/>
      <c r="AE160" s="540"/>
      <c r="AF160" s="540"/>
      <c r="AG160" s="540"/>
      <c r="AH160" s="540"/>
      <c r="AI160" s="540"/>
      <c r="AJ160" s="540"/>
      <c r="AK160" s="540"/>
      <c r="AL160" s="540"/>
      <c r="AM160" s="540"/>
      <c r="AN160" s="540"/>
      <c r="AO160" s="540"/>
      <c r="AP160" s="540"/>
      <c r="AQ160" s="540"/>
      <c r="AR160" s="540"/>
      <c r="AS160" s="540"/>
      <c r="AT160" s="540"/>
      <c r="AU160" s="540"/>
      <c r="AV160" s="540"/>
      <c r="AW160" s="540"/>
      <c r="AX160" s="540"/>
      <c r="AY160" s="540"/>
      <c r="AZ160" s="540"/>
      <c r="BA160" s="540"/>
      <c r="BB160" s="540"/>
      <c r="BC160" s="540"/>
      <c r="BD160" s="540"/>
      <c r="BE160" s="540"/>
      <c r="BF160" s="540"/>
      <c r="BG160" s="540"/>
      <c r="BH160" s="540"/>
      <c r="BI160" s="540"/>
      <c r="BJ160" s="540"/>
      <c r="BK160" s="540"/>
      <c r="BL160" s="540"/>
      <c r="BM160" s="540"/>
      <c r="BN160" s="540"/>
      <c r="BO160" s="540"/>
      <c r="BP160" s="540"/>
      <c r="BQ160" s="540"/>
      <c r="BR160" s="540"/>
      <c r="BS160" s="540"/>
      <c r="BT160" s="540"/>
      <c r="BU160" s="540"/>
    </row>
    <row r="161" spans="1:73" s="401" customFormat="1" ht="24" customHeight="1" thickBot="1">
      <c r="A161" s="638" t="s">
        <v>859</v>
      </c>
      <c r="B161" s="398"/>
      <c r="C161" s="399"/>
      <c r="D161" s="543">
        <f>943400+500000+4848068</f>
        <v>6291468</v>
      </c>
      <c r="E161" s="543">
        <v>6291468</v>
      </c>
      <c r="F161" s="569">
        <f t="shared" si="20"/>
        <v>1</v>
      </c>
      <c r="G161" s="400"/>
      <c r="H161" s="400"/>
      <c r="I161" s="400"/>
      <c r="J161" s="400"/>
      <c r="K161" s="400"/>
      <c r="L161" s="400"/>
      <c r="M161" s="400"/>
      <c r="N161" s="400"/>
      <c r="O161" s="400"/>
      <c r="P161" s="400"/>
      <c r="Q161" s="400"/>
      <c r="R161" s="400"/>
      <c r="S161" s="400"/>
      <c r="T161" s="400"/>
      <c r="U161" s="400"/>
      <c r="V161" s="400"/>
      <c r="W161" s="400"/>
      <c r="X161" s="400"/>
      <c r="Y161" s="400"/>
      <c r="Z161" s="400"/>
      <c r="AA161" s="400"/>
      <c r="AB161" s="400"/>
      <c r="AC161" s="400"/>
      <c r="AD161" s="400"/>
      <c r="AE161" s="400"/>
      <c r="AF161" s="400"/>
      <c r="AG161" s="400"/>
      <c r="AH161" s="400"/>
      <c r="AI161" s="400"/>
      <c r="AJ161" s="400"/>
      <c r="AK161" s="400"/>
      <c r="AL161" s="400"/>
      <c r="AM161" s="400"/>
      <c r="AN161" s="400"/>
      <c r="AO161" s="400"/>
      <c r="AP161" s="400"/>
      <c r="AQ161" s="400"/>
      <c r="AR161" s="400"/>
      <c r="AS161" s="400"/>
      <c r="AT161" s="400"/>
      <c r="AU161" s="400"/>
      <c r="AV161" s="400"/>
      <c r="AW161" s="400"/>
      <c r="AX161" s="400"/>
      <c r="AY161" s="400"/>
      <c r="AZ161" s="400"/>
      <c r="BA161" s="400"/>
      <c r="BB161" s="400"/>
      <c r="BC161" s="400"/>
      <c r="BD161" s="400"/>
      <c r="BE161" s="400"/>
      <c r="BF161" s="400"/>
      <c r="BG161" s="400"/>
      <c r="BH161" s="400"/>
      <c r="BI161" s="400"/>
      <c r="BJ161" s="400"/>
      <c r="BK161" s="400"/>
      <c r="BL161" s="400"/>
      <c r="BM161" s="400"/>
      <c r="BN161" s="400"/>
      <c r="BO161" s="400"/>
      <c r="BP161" s="400"/>
      <c r="BQ161" s="400"/>
      <c r="BR161" s="400"/>
      <c r="BS161" s="400"/>
      <c r="BT161" s="400"/>
      <c r="BU161" s="400"/>
    </row>
    <row r="162" spans="1:73" s="396" customFormat="1" ht="37.5" customHeight="1" thickBot="1">
      <c r="A162" s="638" t="s">
        <v>471</v>
      </c>
      <c r="B162" s="393"/>
      <c r="C162" s="399">
        <v>10000000</v>
      </c>
      <c r="D162" s="543">
        <f>SUM(B163:B165)</f>
        <v>10139352</v>
      </c>
      <c r="E162" s="543">
        <v>5881000</v>
      </c>
      <c r="F162" s="569">
        <f t="shared" si="20"/>
        <v>0.58001734233114699</v>
      </c>
      <c r="G162" s="395"/>
      <c r="H162" s="395"/>
      <c r="I162" s="395"/>
      <c r="J162" s="395"/>
      <c r="K162" s="395"/>
      <c r="L162" s="395"/>
      <c r="M162" s="395"/>
      <c r="N162" s="395"/>
      <c r="O162" s="395"/>
      <c r="P162" s="395"/>
      <c r="Q162" s="395"/>
      <c r="R162" s="395"/>
      <c r="S162" s="395"/>
      <c r="T162" s="395"/>
      <c r="U162" s="395"/>
      <c r="V162" s="395"/>
      <c r="W162" s="395"/>
      <c r="X162" s="395"/>
      <c r="Y162" s="395"/>
      <c r="Z162" s="395"/>
      <c r="AA162" s="395"/>
      <c r="AB162" s="395"/>
      <c r="AC162" s="395"/>
      <c r="AD162" s="395"/>
      <c r="AE162" s="395"/>
      <c r="AF162" s="395"/>
      <c r="AG162" s="395"/>
      <c r="AH162" s="395"/>
      <c r="AI162" s="395"/>
      <c r="AJ162" s="395"/>
      <c r="AK162" s="395"/>
      <c r="AL162" s="395"/>
      <c r="AM162" s="395"/>
      <c r="AN162" s="395"/>
      <c r="AO162" s="395"/>
      <c r="AP162" s="395"/>
      <c r="AQ162" s="395"/>
      <c r="AR162" s="395"/>
      <c r="AS162" s="395"/>
      <c r="AT162" s="395"/>
      <c r="AU162" s="395"/>
      <c r="AV162" s="395"/>
      <c r="AW162" s="395"/>
      <c r="AX162" s="395"/>
      <c r="AY162" s="395"/>
      <c r="AZ162" s="395"/>
      <c r="BA162" s="395"/>
      <c r="BB162" s="395"/>
      <c r="BC162" s="395"/>
      <c r="BD162" s="395"/>
      <c r="BE162" s="395"/>
      <c r="BF162" s="395"/>
      <c r="BG162" s="395"/>
      <c r="BH162" s="395"/>
      <c r="BI162" s="395"/>
      <c r="BJ162" s="395"/>
      <c r="BK162" s="395"/>
      <c r="BL162" s="395"/>
      <c r="BM162" s="395"/>
      <c r="BN162" s="395"/>
      <c r="BO162" s="395"/>
      <c r="BP162" s="395"/>
      <c r="BQ162" s="395"/>
      <c r="BR162" s="395"/>
      <c r="BS162" s="395"/>
      <c r="BT162" s="395"/>
      <c r="BU162" s="395"/>
    </row>
    <row r="163" spans="1:73" s="396" customFormat="1" ht="37.5" customHeight="1" thickBot="1">
      <c r="A163" s="397" t="s">
        <v>856</v>
      </c>
      <c r="B163" s="393">
        <v>4597000</v>
      </c>
      <c r="C163" s="399"/>
      <c r="D163" s="543"/>
      <c r="E163" s="543"/>
      <c r="F163" s="569"/>
      <c r="G163" s="395"/>
      <c r="H163" s="395"/>
      <c r="I163" s="395"/>
      <c r="J163" s="395"/>
      <c r="K163" s="395"/>
      <c r="L163" s="395"/>
      <c r="M163" s="395"/>
      <c r="N163" s="395"/>
      <c r="O163" s="395"/>
      <c r="P163" s="395"/>
      <c r="Q163" s="395"/>
      <c r="R163" s="395"/>
      <c r="S163" s="395"/>
      <c r="T163" s="395"/>
      <c r="U163" s="395"/>
      <c r="V163" s="395"/>
      <c r="W163" s="395"/>
      <c r="X163" s="395"/>
      <c r="Y163" s="395"/>
      <c r="Z163" s="395"/>
      <c r="AA163" s="395"/>
      <c r="AB163" s="395"/>
      <c r="AC163" s="395"/>
      <c r="AD163" s="395"/>
      <c r="AE163" s="395"/>
      <c r="AF163" s="395"/>
      <c r="AG163" s="395"/>
      <c r="AH163" s="395"/>
      <c r="AI163" s="395"/>
      <c r="AJ163" s="395"/>
      <c r="AK163" s="395"/>
      <c r="AL163" s="395"/>
      <c r="AM163" s="395"/>
      <c r="AN163" s="395"/>
      <c r="AO163" s="395"/>
      <c r="AP163" s="395"/>
      <c r="AQ163" s="395"/>
      <c r="AR163" s="395"/>
      <c r="AS163" s="395"/>
      <c r="AT163" s="395"/>
      <c r="AU163" s="395"/>
      <c r="AV163" s="395"/>
      <c r="AW163" s="395"/>
      <c r="AX163" s="395"/>
      <c r="AY163" s="395"/>
      <c r="AZ163" s="395"/>
      <c r="BA163" s="395"/>
      <c r="BB163" s="395"/>
      <c r="BC163" s="395"/>
      <c r="BD163" s="395"/>
      <c r="BE163" s="395"/>
      <c r="BF163" s="395"/>
      <c r="BG163" s="395"/>
      <c r="BH163" s="395"/>
      <c r="BI163" s="395"/>
      <c r="BJ163" s="395"/>
      <c r="BK163" s="395"/>
      <c r="BL163" s="395"/>
      <c r="BM163" s="395"/>
      <c r="BN163" s="395"/>
      <c r="BO163" s="395"/>
      <c r="BP163" s="395"/>
      <c r="BQ163" s="395"/>
      <c r="BR163" s="395"/>
      <c r="BS163" s="395"/>
      <c r="BT163" s="395"/>
      <c r="BU163" s="395"/>
    </row>
    <row r="164" spans="1:73" s="396" customFormat="1" ht="24.75" customHeight="1" thickBot="1">
      <c r="A164" s="545" t="s">
        <v>857</v>
      </c>
      <c r="B164" s="421">
        <f>5403000+5064352-5403000</f>
        <v>5064352</v>
      </c>
      <c r="C164" s="399"/>
      <c r="D164" s="543"/>
      <c r="E164" s="543"/>
      <c r="F164" s="569"/>
      <c r="G164" s="395"/>
      <c r="H164" s="395"/>
      <c r="I164" s="395"/>
      <c r="J164" s="395"/>
      <c r="K164" s="395"/>
      <c r="L164" s="395"/>
      <c r="M164" s="395"/>
      <c r="N164" s="395"/>
      <c r="O164" s="395"/>
      <c r="P164" s="395"/>
      <c r="Q164" s="395"/>
      <c r="R164" s="395"/>
      <c r="S164" s="395"/>
      <c r="T164" s="395"/>
      <c r="U164" s="395"/>
      <c r="V164" s="395"/>
      <c r="W164" s="395"/>
      <c r="X164" s="395"/>
      <c r="Y164" s="395"/>
      <c r="Z164" s="395"/>
      <c r="AA164" s="395"/>
      <c r="AB164" s="395"/>
      <c r="AC164" s="395"/>
      <c r="AD164" s="395"/>
      <c r="AE164" s="395"/>
      <c r="AF164" s="395"/>
      <c r="AG164" s="395"/>
      <c r="AH164" s="395"/>
      <c r="AI164" s="395"/>
      <c r="AJ164" s="395"/>
      <c r="AK164" s="395"/>
      <c r="AL164" s="395"/>
      <c r="AM164" s="395"/>
      <c r="AN164" s="395"/>
      <c r="AO164" s="395"/>
      <c r="AP164" s="395"/>
      <c r="AQ164" s="395"/>
      <c r="AR164" s="395"/>
      <c r="AS164" s="395"/>
      <c r="AT164" s="395"/>
      <c r="AU164" s="395"/>
      <c r="AV164" s="395"/>
      <c r="AW164" s="395"/>
      <c r="AX164" s="395"/>
      <c r="AY164" s="395"/>
      <c r="AZ164" s="395"/>
      <c r="BA164" s="395"/>
      <c r="BB164" s="395"/>
      <c r="BC164" s="395"/>
      <c r="BD164" s="395"/>
      <c r="BE164" s="395"/>
      <c r="BF164" s="395"/>
      <c r="BG164" s="395"/>
      <c r="BH164" s="395"/>
      <c r="BI164" s="395"/>
      <c r="BJ164" s="395"/>
      <c r="BK164" s="395"/>
      <c r="BL164" s="395"/>
      <c r="BM164" s="395"/>
      <c r="BN164" s="395"/>
      <c r="BO164" s="395"/>
      <c r="BP164" s="395"/>
      <c r="BQ164" s="395"/>
      <c r="BR164" s="395"/>
      <c r="BS164" s="395"/>
      <c r="BT164" s="395"/>
      <c r="BU164" s="395"/>
    </row>
    <row r="165" spans="1:73" s="396" customFormat="1" ht="24.75" customHeight="1" thickBot="1">
      <c r="A165" s="397" t="s">
        <v>858</v>
      </c>
      <c r="B165" s="393">
        <v>478000</v>
      </c>
      <c r="C165" s="403"/>
      <c r="D165" s="403"/>
      <c r="E165" s="403"/>
      <c r="F165" s="419"/>
      <c r="G165" s="395"/>
      <c r="H165" s="395"/>
      <c r="I165" s="395"/>
      <c r="J165" s="395"/>
      <c r="K165" s="395"/>
      <c r="L165" s="395"/>
      <c r="M165" s="395"/>
      <c r="N165" s="395"/>
      <c r="O165" s="395"/>
      <c r="P165" s="395"/>
      <c r="Q165" s="395"/>
      <c r="R165" s="395"/>
      <c r="S165" s="395"/>
      <c r="T165" s="395"/>
      <c r="U165" s="395"/>
      <c r="V165" s="395"/>
      <c r="W165" s="395"/>
      <c r="X165" s="395"/>
      <c r="Y165" s="395"/>
      <c r="Z165" s="395"/>
      <c r="AA165" s="395"/>
      <c r="AB165" s="395"/>
      <c r="AC165" s="395"/>
      <c r="AD165" s="395"/>
      <c r="AE165" s="395"/>
      <c r="AF165" s="395"/>
      <c r="AG165" s="395"/>
      <c r="AH165" s="395"/>
      <c r="AI165" s="395"/>
      <c r="AJ165" s="395"/>
      <c r="AK165" s="395"/>
      <c r="AL165" s="395"/>
      <c r="AM165" s="395"/>
      <c r="AN165" s="395"/>
      <c r="AO165" s="395"/>
      <c r="AP165" s="395"/>
      <c r="AQ165" s="395"/>
      <c r="AR165" s="395"/>
      <c r="AS165" s="395"/>
      <c r="AT165" s="395"/>
      <c r="AU165" s="395"/>
      <c r="AV165" s="395"/>
      <c r="AW165" s="395"/>
      <c r="AX165" s="395"/>
      <c r="AY165" s="395"/>
      <c r="AZ165" s="395"/>
      <c r="BA165" s="395"/>
      <c r="BB165" s="395"/>
      <c r="BC165" s="395"/>
      <c r="BD165" s="395"/>
      <c r="BE165" s="395"/>
      <c r="BF165" s="395"/>
      <c r="BG165" s="395"/>
      <c r="BH165" s="395"/>
      <c r="BI165" s="395"/>
      <c r="BJ165" s="395"/>
      <c r="BK165" s="395"/>
      <c r="BL165" s="395"/>
      <c r="BM165" s="395"/>
      <c r="BN165" s="395"/>
      <c r="BO165" s="395"/>
      <c r="BP165" s="395"/>
      <c r="BQ165" s="395"/>
      <c r="BR165" s="395"/>
      <c r="BS165" s="395"/>
      <c r="BT165" s="395"/>
      <c r="BU165" s="395"/>
    </row>
    <row r="166" spans="1:73" s="396" customFormat="1" ht="39.75" customHeight="1" thickBot="1">
      <c r="A166" s="638" t="s">
        <v>484</v>
      </c>
      <c r="B166" s="398"/>
      <c r="C166" s="399">
        <v>100000000</v>
      </c>
      <c r="D166" s="543">
        <f>SUM(B167)</f>
        <v>125009957</v>
      </c>
      <c r="E166" s="543">
        <v>125009957</v>
      </c>
      <c r="F166" s="569">
        <f t="shared" ref="F166" si="22">E166/D166</f>
        <v>1</v>
      </c>
      <c r="G166" s="395"/>
      <c r="H166" s="395"/>
      <c r="I166" s="395"/>
      <c r="J166" s="395"/>
      <c r="K166" s="395"/>
      <c r="L166" s="395"/>
      <c r="M166" s="395"/>
      <c r="N166" s="395"/>
      <c r="O166" s="395"/>
      <c r="P166" s="395"/>
      <c r="Q166" s="395"/>
      <c r="R166" s="395"/>
      <c r="S166" s="395"/>
      <c r="T166" s="395"/>
      <c r="U166" s="395"/>
      <c r="V166" s="395"/>
      <c r="W166" s="395"/>
      <c r="X166" s="395"/>
      <c r="Y166" s="395"/>
      <c r="Z166" s="395"/>
      <c r="AA166" s="395"/>
      <c r="AB166" s="395"/>
      <c r="AC166" s="395"/>
      <c r="AD166" s="395"/>
      <c r="AE166" s="395"/>
      <c r="AF166" s="395"/>
      <c r="AG166" s="395"/>
      <c r="AH166" s="395"/>
      <c r="AI166" s="395"/>
      <c r="AJ166" s="395"/>
      <c r="AK166" s="395"/>
      <c r="AL166" s="395"/>
      <c r="AM166" s="395"/>
      <c r="AN166" s="395"/>
      <c r="AO166" s="395"/>
      <c r="AP166" s="395"/>
      <c r="AQ166" s="395"/>
      <c r="AR166" s="395"/>
      <c r="AS166" s="395"/>
      <c r="AT166" s="395"/>
      <c r="AU166" s="395"/>
      <c r="AV166" s="395"/>
      <c r="AW166" s="395"/>
      <c r="AX166" s="395"/>
      <c r="AY166" s="395"/>
      <c r="AZ166" s="395"/>
      <c r="BA166" s="395"/>
      <c r="BB166" s="395"/>
      <c r="BC166" s="395"/>
      <c r="BD166" s="395"/>
      <c r="BE166" s="395"/>
      <c r="BF166" s="395"/>
      <c r="BG166" s="395"/>
      <c r="BH166" s="395"/>
      <c r="BI166" s="395"/>
      <c r="BJ166" s="395"/>
      <c r="BK166" s="395"/>
      <c r="BL166" s="395"/>
      <c r="BM166" s="395"/>
      <c r="BN166" s="395"/>
      <c r="BO166" s="395"/>
      <c r="BP166" s="395"/>
      <c r="BQ166" s="395"/>
      <c r="BR166" s="395"/>
      <c r="BS166" s="395"/>
      <c r="BT166" s="395"/>
      <c r="BU166" s="395"/>
    </row>
    <row r="167" spans="1:73" s="396" customFormat="1" ht="39.75" customHeight="1" thickBot="1">
      <c r="A167" s="397" t="s">
        <v>485</v>
      </c>
      <c r="B167" s="393">
        <f>100000000+10009957+15000000</f>
        <v>125009957</v>
      </c>
      <c r="C167" s="394"/>
      <c r="D167" s="425"/>
      <c r="E167" s="425"/>
      <c r="F167" s="707"/>
      <c r="G167" s="395"/>
      <c r="H167" s="395"/>
      <c r="I167" s="395"/>
      <c r="J167" s="395"/>
      <c r="K167" s="395"/>
      <c r="L167" s="395"/>
      <c r="M167" s="395"/>
      <c r="N167" s="395"/>
      <c r="O167" s="395"/>
      <c r="P167" s="395"/>
      <c r="Q167" s="395"/>
      <c r="R167" s="395"/>
      <c r="S167" s="395"/>
      <c r="T167" s="395"/>
      <c r="U167" s="395"/>
      <c r="V167" s="395"/>
      <c r="W167" s="395"/>
      <c r="X167" s="395"/>
      <c r="Y167" s="395"/>
      <c r="Z167" s="395"/>
      <c r="AA167" s="395"/>
      <c r="AB167" s="395"/>
      <c r="AC167" s="395"/>
      <c r="AD167" s="395"/>
      <c r="AE167" s="395"/>
      <c r="AF167" s="395"/>
      <c r="AG167" s="395"/>
      <c r="AH167" s="395"/>
      <c r="AI167" s="395"/>
      <c r="AJ167" s="395"/>
      <c r="AK167" s="395"/>
      <c r="AL167" s="395"/>
      <c r="AM167" s="395"/>
      <c r="AN167" s="395"/>
      <c r="AO167" s="395"/>
      <c r="AP167" s="395"/>
      <c r="AQ167" s="395"/>
      <c r="AR167" s="395"/>
      <c r="AS167" s="395"/>
      <c r="AT167" s="395"/>
      <c r="AU167" s="395"/>
      <c r="AV167" s="395"/>
      <c r="AW167" s="395"/>
      <c r="AX167" s="395"/>
      <c r="AY167" s="395"/>
      <c r="AZ167" s="395"/>
      <c r="BA167" s="395"/>
      <c r="BB167" s="395"/>
      <c r="BC167" s="395"/>
      <c r="BD167" s="395"/>
      <c r="BE167" s="395"/>
      <c r="BF167" s="395"/>
      <c r="BG167" s="395"/>
      <c r="BH167" s="395"/>
      <c r="BI167" s="395"/>
      <c r="BJ167" s="395"/>
      <c r="BK167" s="395"/>
      <c r="BL167" s="395"/>
      <c r="BM167" s="395"/>
      <c r="BN167" s="395"/>
      <c r="BO167" s="395"/>
      <c r="BP167" s="395"/>
      <c r="BQ167" s="395"/>
      <c r="BR167" s="395"/>
      <c r="BS167" s="395"/>
      <c r="BT167" s="395"/>
      <c r="BU167" s="395"/>
    </row>
    <row r="168" spans="1:73" s="396" customFormat="1" ht="27.75" customHeight="1" thickBot="1">
      <c r="A168" s="638" t="s">
        <v>878</v>
      </c>
      <c r="B168" s="398"/>
      <c r="C168" s="399"/>
      <c r="D168" s="543">
        <v>206049</v>
      </c>
      <c r="E168" s="543">
        <v>206049</v>
      </c>
      <c r="F168" s="569">
        <f t="shared" ref="F168:F177" si="23">E168/D168</f>
        <v>1</v>
      </c>
      <c r="G168" s="395"/>
      <c r="H168" s="395"/>
      <c r="I168" s="395"/>
      <c r="J168" s="395"/>
      <c r="K168" s="395"/>
      <c r="L168" s="395"/>
      <c r="M168" s="395"/>
      <c r="N168" s="395"/>
      <c r="O168" s="395"/>
      <c r="P168" s="395"/>
      <c r="Q168" s="395"/>
      <c r="R168" s="395"/>
      <c r="S168" s="395"/>
      <c r="T168" s="395"/>
      <c r="U168" s="395"/>
      <c r="V168" s="395"/>
      <c r="W168" s="395"/>
      <c r="X168" s="395"/>
      <c r="Y168" s="395"/>
      <c r="Z168" s="395"/>
      <c r="AA168" s="395"/>
      <c r="AB168" s="395"/>
      <c r="AC168" s="395"/>
      <c r="AD168" s="395"/>
      <c r="AE168" s="395"/>
      <c r="AF168" s="395"/>
      <c r="AG168" s="395"/>
      <c r="AH168" s="395"/>
      <c r="AI168" s="395"/>
      <c r="AJ168" s="395"/>
      <c r="AK168" s="395"/>
      <c r="AL168" s="395"/>
      <c r="AM168" s="395"/>
      <c r="AN168" s="395"/>
      <c r="AO168" s="395"/>
      <c r="AP168" s="395"/>
      <c r="AQ168" s="395"/>
      <c r="AR168" s="395"/>
      <c r="AS168" s="395"/>
      <c r="AT168" s="395"/>
      <c r="AU168" s="395"/>
      <c r="AV168" s="395"/>
      <c r="AW168" s="395"/>
      <c r="AX168" s="395"/>
      <c r="AY168" s="395"/>
      <c r="AZ168" s="395"/>
      <c r="BA168" s="395"/>
      <c r="BB168" s="395"/>
      <c r="BC168" s="395"/>
      <c r="BD168" s="395"/>
      <c r="BE168" s="395"/>
      <c r="BF168" s="395"/>
      <c r="BG168" s="395"/>
      <c r="BH168" s="395"/>
      <c r="BI168" s="395"/>
      <c r="BJ168" s="395"/>
      <c r="BK168" s="395"/>
      <c r="BL168" s="395"/>
      <c r="BM168" s="395"/>
      <c r="BN168" s="395"/>
      <c r="BO168" s="395"/>
      <c r="BP168" s="395"/>
      <c r="BQ168" s="395"/>
      <c r="BR168" s="395"/>
      <c r="BS168" s="395"/>
      <c r="BT168" s="395"/>
      <c r="BU168" s="395"/>
    </row>
    <row r="169" spans="1:73" s="401" customFormat="1" ht="39.75" customHeight="1" thickBot="1">
      <c r="A169" s="638" t="s">
        <v>879</v>
      </c>
      <c r="B169" s="398"/>
      <c r="C169" s="399"/>
      <c r="D169" s="399">
        <v>9969500</v>
      </c>
      <c r="E169" s="399">
        <f>1614000+8355500</f>
        <v>9969500</v>
      </c>
      <c r="F169" s="569">
        <f t="shared" si="23"/>
        <v>1</v>
      </c>
      <c r="G169" s="400"/>
      <c r="H169" s="400"/>
      <c r="I169" s="400"/>
      <c r="J169" s="400"/>
      <c r="K169" s="400"/>
      <c r="L169" s="400"/>
      <c r="M169" s="400"/>
      <c r="N169" s="400"/>
      <c r="O169" s="400"/>
      <c r="P169" s="400"/>
      <c r="Q169" s="400"/>
      <c r="R169" s="400"/>
      <c r="S169" s="400"/>
      <c r="T169" s="400"/>
      <c r="U169" s="400"/>
      <c r="V169" s="400"/>
      <c r="W169" s="400"/>
      <c r="X169" s="400"/>
      <c r="Y169" s="400"/>
      <c r="Z169" s="400"/>
      <c r="AA169" s="400"/>
      <c r="AB169" s="400"/>
      <c r="AC169" s="400"/>
      <c r="AD169" s="400"/>
      <c r="AE169" s="400"/>
      <c r="AF169" s="400"/>
      <c r="AG169" s="400"/>
      <c r="AH169" s="400"/>
      <c r="AI169" s="400"/>
      <c r="AJ169" s="400"/>
      <c r="AK169" s="400"/>
      <c r="AL169" s="400"/>
      <c r="AM169" s="400"/>
      <c r="AN169" s="400"/>
      <c r="AO169" s="400"/>
      <c r="AP169" s="400"/>
      <c r="AQ169" s="400"/>
      <c r="AR169" s="400"/>
      <c r="AS169" s="400"/>
      <c r="AT169" s="400"/>
      <c r="AU169" s="400"/>
      <c r="AV169" s="400"/>
      <c r="AW169" s="400"/>
      <c r="AX169" s="400"/>
      <c r="AY169" s="400"/>
      <c r="AZ169" s="400"/>
      <c r="BA169" s="400"/>
      <c r="BB169" s="400"/>
      <c r="BC169" s="400"/>
      <c r="BD169" s="400"/>
      <c r="BE169" s="400"/>
      <c r="BF169" s="400"/>
      <c r="BG169" s="400"/>
      <c r="BH169" s="400"/>
      <c r="BI169" s="400"/>
      <c r="BJ169" s="400"/>
      <c r="BK169" s="400"/>
      <c r="BL169" s="400"/>
      <c r="BM169" s="400"/>
      <c r="BN169" s="400"/>
      <c r="BO169" s="400"/>
      <c r="BP169" s="400"/>
      <c r="BQ169" s="400"/>
      <c r="BR169" s="400"/>
      <c r="BS169" s="400"/>
      <c r="BT169" s="400"/>
      <c r="BU169" s="400"/>
    </row>
    <row r="170" spans="1:73" s="396" customFormat="1" ht="38.25" thickBot="1">
      <c r="A170" s="638" t="s">
        <v>490</v>
      </c>
      <c r="B170" s="398"/>
      <c r="C170" s="399">
        <v>300000</v>
      </c>
      <c r="D170" s="543">
        <f t="shared" ref="D170" si="24">SUM(C170)</f>
        <v>300000</v>
      </c>
      <c r="E170" s="543">
        <v>0</v>
      </c>
      <c r="F170" s="569">
        <f t="shared" si="23"/>
        <v>0</v>
      </c>
      <c r="G170" s="395"/>
      <c r="H170" s="395"/>
      <c r="I170" s="395"/>
      <c r="J170" s="395"/>
      <c r="K170" s="395"/>
      <c r="L170" s="395"/>
      <c r="M170" s="395"/>
      <c r="N170" s="395"/>
      <c r="O170" s="395"/>
      <c r="P170" s="395"/>
      <c r="Q170" s="395"/>
      <c r="R170" s="395"/>
      <c r="S170" s="395"/>
      <c r="T170" s="395"/>
      <c r="U170" s="395"/>
      <c r="V170" s="395"/>
      <c r="W170" s="395"/>
      <c r="X170" s="395"/>
      <c r="Y170" s="395"/>
      <c r="Z170" s="395"/>
      <c r="AA170" s="395"/>
      <c r="AB170" s="395"/>
      <c r="AC170" s="395"/>
      <c r="AD170" s="395"/>
      <c r="AE170" s="395"/>
      <c r="AF170" s="395"/>
      <c r="AG170" s="395"/>
      <c r="AH170" s="395"/>
      <c r="AI170" s="395"/>
      <c r="AJ170" s="395"/>
      <c r="AK170" s="395"/>
      <c r="AL170" s="395"/>
      <c r="AM170" s="395"/>
      <c r="AN170" s="395"/>
      <c r="AO170" s="395"/>
      <c r="AP170" s="395"/>
      <c r="AQ170" s="395"/>
      <c r="AR170" s="395"/>
      <c r="AS170" s="395"/>
      <c r="AT170" s="395"/>
      <c r="AU170" s="395"/>
      <c r="AV170" s="395"/>
      <c r="AW170" s="395"/>
      <c r="AX170" s="395"/>
      <c r="AY170" s="395"/>
      <c r="AZ170" s="395"/>
      <c r="BA170" s="395"/>
      <c r="BB170" s="395"/>
      <c r="BC170" s="395"/>
      <c r="BD170" s="395"/>
      <c r="BE170" s="395"/>
      <c r="BF170" s="395"/>
      <c r="BG170" s="395"/>
      <c r="BH170" s="395"/>
      <c r="BI170" s="395"/>
      <c r="BJ170" s="395"/>
      <c r="BK170" s="395"/>
      <c r="BL170" s="395"/>
      <c r="BM170" s="395"/>
      <c r="BN170" s="395"/>
      <c r="BO170" s="395"/>
      <c r="BP170" s="395"/>
      <c r="BQ170" s="395"/>
      <c r="BR170" s="395"/>
      <c r="BS170" s="395"/>
      <c r="BT170" s="395"/>
      <c r="BU170" s="395"/>
    </row>
    <row r="171" spans="1:73" s="396" customFormat="1" ht="32.25" customHeight="1" thickBot="1">
      <c r="A171" s="638" t="s">
        <v>886</v>
      </c>
      <c r="B171" s="398"/>
      <c r="C171" s="399">
        <v>5000000</v>
      </c>
      <c r="D171" s="543">
        <f>SUM(C171)+13424000</f>
        <v>18424000</v>
      </c>
      <c r="E171" s="543">
        <v>18424000</v>
      </c>
      <c r="F171" s="569">
        <f t="shared" si="23"/>
        <v>1</v>
      </c>
      <c r="G171" s="395"/>
      <c r="H171" s="395"/>
      <c r="I171" s="395"/>
      <c r="J171" s="395"/>
      <c r="K171" s="395"/>
      <c r="L171" s="395"/>
      <c r="M171" s="395"/>
      <c r="N171" s="395"/>
      <c r="O171" s="395"/>
      <c r="P171" s="395"/>
      <c r="Q171" s="395"/>
      <c r="R171" s="395"/>
      <c r="S171" s="395"/>
      <c r="T171" s="395"/>
      <c r="U171" s="395"/>
      <c r="V171" s="395"/>
      <c r="W171" s="395"/>
      <c r="X171" s="395"/>
      <c r="Y171" s="395"/>
      <c r="Z171" s="395"/>
      <c r="AA171" s="395"/>
      <c r="AB171" s="395"/>
      <c r="AC171" s="395"/>
      <c r="AD171" s="395"/>
      <c r="AE171" s="395"/>
      <c r="AF171" s="395"/>
      <c r="AG171" s="395"/>
      <c r="AH171" s="395"/>
      <c r="AI171" s="395"/>
      <c r="AJ171" s="395"/>
      <c r="AK171" s="395"/>
      <c r="AL171" s="395"/>
      <c r="AM171" s="395"/>
      <c r="AN171" s="395"/>
      <c r="AO171" s="395"/>
      <c r="AP171" s="395"/>
      <c r="AQ171" s="395"/>
      <c r="AR171" s="395"/>
      <c r="AS171" s="395"/>
      <c r="AT171" s="395"/>
      <c r="AU171" s="395"/>
      <c r="AV171" s="395"/>
      <c r="AW171" s="395"/>
      <c r="AX171" s="395"/>
      <c r="AY171" s="395"/>
      <c r="AZ171" s="395"/>
      <c r="BA171" s="395"/>
      <c r="BB171" s="395"/>
      <c r="BC171" s="395"/>
      <c r="BD171" s="395"/>
      <c r="BE171" s="395"/>
      <c r="BF171" s="395"/>
      <c r="BG171" s="395"/>
      <c r="BH171" s="395"/>
      <c r="BI171" s="395"/>
      <c r="BJ171" s="395"/>
      <c r="BK171" s="395"/>
      <c r="BL171" s="395"/>
      <c r="BM171" s="395"/>
      <c r="BN171" s="395"/>
      <c r="BO171" s="395"/>
      <c r="BP171" s="395"/>
      <c r="BQ171" s="395"/>
      <c r="BR171" s="395"/>
      <c r="BS171" s="395"/>
      <c r="BT171" s="395"/>
      <c r="BU171" s="395"/>
    </row>
    <row r="172" spans="1:73" s="396" customFormat="1" ht="50.25" customHeight="1" thickBot="1">
      <c r="A172" s="715" t="s">
        <v>923</v>
      </c>
      <c r="B172" s="398"/>
      <c r="C172" s="399"/>
      <c r="D172" s="543">
        <v>1417482</v>
      </c>
      <c r="E172" s="543">
        <v>2835113</v>
      </c>
      <c r="F172" s="569">
        <f t="shared" si="23"/>
        <v>2.0001051159732541</v>
      </c>
      <c r="G172" s="395"/>
      <c r="H172" s="395"/>
      <c r="I172" s="395"/>
      <c r="J172" s="395"/>
      <c r="K172" s="395"/>
      <c r="L172" s="395"/>
      <c r="M172" s="395"/>
      <c r="N172" s="395"/>
      <c r="O172" s="395"/>
      <c r="P172" s="395"/>
      <c r="Q172" s="395"/>
      <c r="R172" s="395"/>
      <c r="S172" s="395"/>
      <c r="T172" s="395"/>
      <c r="U172" s="395"/>
      <c r="V172" s="395"/>
      <c r="W172" s="395"/>
      <c r="X172" s="395"/>
      <c r="Y172" s="395"/>
      <c r="Z172" s="395"/>
      <c r="AA172" s="395"/>
      <c r="AB172" s="395"/>
      <c r="AC172" s="395"/>
      <c r="AD172" s="395"/>
      <c r="AE172" s="395"/>
      <c r="AF172" s="395"/>
      <c r="AG172" s="395"/>
      <c r="AH172" s="395"/>
      <c r="AI172" s="395"/>
      <c r="AJ172" s="395"/>
      <c r="AK172" s="395"/>
      <c r="AL172" s="395"/>
      <c r="AM172" s="395"/>
      <c r="AN172" s="395"/>
      <c r="AO172" s="395"/>
      <c r="AP172" s="395"/>
      <c r="AQ172" s="395"/>
      <c r="AR172" s="395"/>
      <c r="AS172" s="395"/>
      <c r="AT172" s="395"/>
      <c r="AU172" s="395"/>
      <c r="AV172" s="395"/>
      <c r="AW172" s="395"/>
      <c r="AX172" s="395"/>
      <c r="AY172" s="395"/>
      <c r="AZ172" s="395"/>
      <c r="BA172" s="395"/>
      <c r="BB172" s="395"/>
      <c r="BC172" s="395"/>
      <c r="BD172" s="395"/>
      <c r="BE172" s="395"/>
      <c r="BF172" s="395"/>
      <c r="BG172" s="395"/>
      <c r="BH172" s="395"/>
      <c r="BI172" s="395"/>
      <c r="BJ172" s="395"/>
      <c r="BK172" s="395"/>
      <c r="BL172" s="395"/>
      <c r="BM172" s="395"/>
      <c r="BN172" s="395"/>
      <c r="BO172" s="395"/>
      <c r="BP172" s="395"/>
      <c r="BQ172" s="395"/>
      <c r="BR172" s="395"/>
      <c r="BS172" s="395"/>
      <c r="BT172" s="395"/>
      <c r="BU172" s="395"/>
    </row>
    <row r="173" spans="1:73" s="401" customFormat="1" ht="38.25" customHeight="1" thickBot="1">
      <c r="A173" s="638" t="s">
        <v>873</v>
      </c>
      <c r="B173" s="423"/>
      <c r="C173" s="399"/>
      <c r="D173" s="399">
        <f>22356945-22356945</f>
        <v>0</v>
      </c>
      <c r="E173" s="399">
        <v>0</v>
      </c>
      <c r="F173" s="569">
        <v>0</v>
      </c>
      <c r="G173" s="400"/>
      <c r="H173" s="400"/>
      <c r="I173" s="400"/>
      <c r="J173" s="400"/>
      <c r="K173" s="400"/>
      <c r="L173" s="400"/>
      <c r="M173" s="400"/>
      <c r="N173" s="400"/>
      <c r="O173" s="400"/>
      <c r="P173" s="400"/>
      <c r="Q173" s="400"/>
      <c r="R173" s="400"/>
      <c r="S173" s="400"/>
      <c r="T173" s="400"/>
      <c r="U173" s="400"/>
      <c r="V173" s="400"/>
      <c r="W173" s="400"/>
      <c r="X173" s="400"/>
      <c r="Y173" s="400"/>
      <c r="Z173" s="400"/>
      <c r="AA173" s="400"/>
      <c r="AB173" s="400"/>
      <c r="AC173" s="400"/>
      <c r="AD173" s="400"/>
      <c r="AE173" s="400"/>
      <c r="AF173" s="400"/>
      <c r="AG173" s="400"/>
      <c r="AH173" s="400"/>
      <c r="AI173" s="400"/>
      <c r="AJ173" s="400"/>
      <c r="AK173" s="400"/>
      <c r="AL173" s="400"/>
      <c r="AM173" s="400"/>
      <c r="AN173" s="400"/>
      <c r="AO173" s="400"/>
      <c r="AP173" s="400"/>
      <c r="AQ173" s="400"/>
      <c r="AR173" s="400"/>
      <c r="AS173" s="400"/>
      <c r="AT173" s="400"/>
      <c r="AU173" s="400"/>
      <c r="AV173" s="400"/>
      <c r="AW173" s="400"/>
      <c r="AX173" s="400"/>
      <c r="AY173" s="400"/>
      <c r="AZ173" s="400"/>
      <c r="BA173" s="400"/>
      <c r="BB173" s="400"/>
      <c r="BC173" s="400"/>
      <c r="BD173" s="400"/>
      <c r="BE173" s="400"/>
      <c r="BF173" s="400"/>
      <c r="BG173" s="400"/>
      <c r="BH173" s="400"/>
      <c r="BI173" s="400"/>
      <c r="BJ173" s="400"/>
      <c r="BK173" s="400"/>
      <c r="BL173" s="400"/>
      <c r="BM173" s="400"/>
      <c r="BN173" s="400"/>
      <c r="BO173" s="400"/>
      <c r="BP173" s="400"/>
      <c r="BQ173" s="400"/>
      <c r="BR173" s="400"/>
      <c r="BS173" s="400"/>
      <c r="BT173" s="400"/>
      <c r="BU173" s="400"/>
    </row>
    <row r="174" spans="1:73" s="401" customFormat="1" ht="35.25" customHeight="1" thickBot="1">
      <c r="A174" s="404" t="s">
        <v>895</v>
      </c>
      <c r="B174" s="677"/>
      <c r="C174" s="422">
        <v>5000000</v>
      </c>
      <c r="D174" s="543">
        <f>SUM(C174)-5000000</f>
        <v>0</v>
      </c>
      <c r="E174" s="543">
        <v>0</v>
      </c>
      <c r="F174" s="569">
        <v>0</v>
      </c>
      <c r="G174" s="400"/>
      <c r="H174" s="400"/>
      <c r="I174" s="400"/>
      <c r="J174" s="400"/>
      <c r="K174" s="400"/>
      <c r="L174" s="400"/>
      <c r="M174" s="400"/>
      <c r="N174" s="400"/>
      <c r="O174" s="400"/>
      <c r="P174" s="400"/>
      <c r="Q174" s="400"/>
      <c r="R174" s="400"/>
      <c r="S174" s="400"/>
      <c r="T174" s="400"/>
      <c r="U174" s="400"/>
      <c r="V174" s="400"/>
      <c r="W174" s="400"/>
      <c r="X174" s="400"/>
      <c r="Y174" s="400"/>
      <c r="Z174" s="400"/>
      <c r="AA174" s="400"/>
      <c r="AB174" s="400"/>
      <c r="AC174" s="400"/>
      <c r="AD174" s="400"/>
      <c r="AE174" s="400"/>
      <c r="AF174" s="400"/>
      <c r="AG174" s="400"/>
      <c r="AH174" s="400"/>
      <c r="AI174" s="400"/>
      <c r="AJ174" s="400"/>
      <c r="AK174" s="400"/>
      <c r="AL174" s="400"/>
      <c r="AM174" s="400"/>
      <c r="AN174" s="400"/>
      <c r="AO174" s="400"/>
      <c r="AP174" s="400"/>
      <c r="AQ174" s="400"/>
      <c r="AR174" s="400"/>
      <c r="AS174" s="400"/>
      <c r="AT174" s="400"/>
      <c r="AU174" s="400"/>
      <c r="AV174" s="400"/>
      <c r="AW174" s="400"/>
      <c r="AX174" s="400"/>
      <c r="AY174" s="400"/>
      <c r="AZ174" s="400"/>
      <c r="BA174" s="400"/>
      <c r="BB174" s="400"/>
      <c r="BC174" s="400"/>
      <c r="BD174" s="400"/>
      <c r="BE174" s="400"/>
      <c r="BF174" s="400"/>
      <c r="BG174" s="400"/>
      <c r="BH174" s="400"/>
      <c r="BI174" s="400"/>
      <c r="BJ174" s="400"/>
      <c r="BK174" s="400"/>
      <c r="BL174" s="400"/>
      <c r="BM174" s="400"/>
      <c r="BN174" s="400"/>
      <c r="BO174" s="400"/>
      <c r="BP174" s="400"/>
      <c r="BQ174" s="400"/>
      <c r="BR174" s="400"/>
      <c r="BS174" s="400"/>
      <c r="BT174" s="400"/>
      <c r="BU174" s="400"/>
    </row>
    <row r="175" spans="1:73" s="401" customFormat="1" ht="39.75" customHeight="1" thickBot="1">
      <c r="A175" s="638" t="s">
        <v>882</v>
      </c>
      <c r="B175" s="398"/>
      <c r="C175" s="399"/>
      <c r="D175" s="543">
        <v>4000000</v>
      </c>
      <c r="E175" s="543">
        <v>1715000</v>
      </c>
      <c r="F175" s="569">
        <f t="shared" si="23"/>
        <v>0.42875000000000002</v>
      </c>
      <c r="G175" s="400"/>
      <c r="H175" s="400"/>
      <c r="I175" s="400"/>
      <c r="J175" s="400"/>
      <c r="K175" s="400"/>
      <c r="L175" s="400"/>
      <c r="M175" s="400"/>
      <c r="N175" s="400"/>
      <c r="O175" s="400"/>
      <c r="P175" s="400"/>
      <c r="Q175" s="400"/>
      <c r="R175" s="400"/>
      <c r="S175" s="400"/>
      <c r="T175" s="400"/>
      <c r="U175" s="400"/>
      <c r="V175" s="400"/>
      <c r="W175" s="400"/>
      <c r="X175" s="400"/>
      <c r="Y175" s="400"/>
      <c r="Z175" s="400"/>
      <c r="AA175" s="400"/>
      <c r="AB175" s="400"/>
      <c r="AC175" s="400"/>
      <c r="AD175" s="400"/>
      <c r="AE175" s="400"/>
      <c r="AF175" s="400"/>
      <c r="AG175" s="400"/>
      <c r="AH175" s="400"/>
      <c r="AI175" s="400"/>
      <c r="AJ175" s="400"/>
      <c r="AK175" s="400"/>
      <c r="AL175" s="400"/>
      <c r="AM175" s="400"/>
      <c r="AN175" s="400"/>
      <c r="AO175" s="400"/>
      <c r="AP175" s="400"/>
      <c r="AQ175" s="400"/>
      <c r="AR175" s="400"/>
      <c r="AS175" s="400"/>
      <c r="AT175" s="400"/>
      <c r="AU175" s="400"/>
      <c r="AV175" s="400"/>
      <c r="AW175" s="400"/>
      <c r="AX175" s="400"/>
      <c r="AY175" s="400"/>
      <c r="AZ175" s="400"/>
      <c r="BA175" s="400"/>
      <c r="BB175" s="400"/>
      <c r="BC175" s="400"/>
      <c r="BD175" s="400"/>
      <c r="BE175" s="400"/>
      <c r="BF175" s="400"/>
      <c r="BG175" s="400"/>
      <c r="BH175" s="400"/>
      <c r="BI175" s="400"/>
      <c r="BJ175" s="400"/>
      <c r="BK175" s="400"/>
      <c r="BL175" s="400"/>
      <c r="BM175" s="400"/>
      <c r="BN175" s="400"/>
      <c r="BO175" s="400"/>
      <c r="BP175" s="400"/>
      <c r="BQ175" s="400"/>
      <c r="BR175" s="400"/>
      <c r="BS175" s="400"/>
      <c r="BT175" s="400"/>
      <c r="BU175" s="400"/>
    </row>
    <row r="176" spans="1:73" s="401" customFormat="1" ht="39.75" customHeight="1" thickBot="1">
      <c r="A176" s="638" t="s">
        <v>910</v>
      </c>
      <c r="B176" s="398"/>
      <c r="C176" s="399"/>
      <c r="D176" s="543">
        <v>1000000</v>
      </c>
      <c r="E176" s="543">
        <v>1242656</v>
      </c>
      <c r="F176" s="569">
        <f t="shared" si="23"/>
        <v>1.242656</v>
      </c>
      <c r="G176" s="400"/>
      <c r="H176" s="400"/>
      <c r="I176" s="400"/>
      <c r="J176" s="400"/>
      <c r="K176" s="400"/>
      <c r="L176" s="400"/>
      <c r="M176" s="400"/>
      <c r="N176" s="400"/>
      <c r="O176" s="400"/>
      <c r="P176" s="400"/>
      <c r="Q176" s="400"/>
      <c r="R176" s="400"/>
      <c r="S176" s="400"/>
      <c r="T176" s="400"/>
      <c r="U176" s="400"/>
      <c r="V176" s="400"/>
      <c r="W176" s="400"/>
      <c r="X176" s="400"/>
      <c r="Y176" s="400"/>
      <c r="Z176" s="400"/>
      <c r="AA176" s="400"/>
      <c r="AB176" s="400"/>
      <c r="AC176" s="400"/>
      <c r="AD176" s="400"/>
      <c r="AE176" s="400"/>
      <c r="AF176" s="400"/>
      <c r="AG176" s="400"/>
      <c r="AH176" s="400"/>
      <c r="AI176" s="400"/>
      <c r="AJ176" s="400"/>
      <c r="AK176" s="400"/>
      <c r="AL176" s="400"/>
      <c r="AM176" s="400"/>
      <c r="AN176" s="400"/>
      <c r="AO176" s="400"/>
      <c r="AP176" s="400"/>
      <c r="AQ176" s="400"/>
      <c r="AR176" s="400"/>
      <c r="AS176" s="400"/>
      <c r="AT176" s="400"/>
      <c r="AU176" s="400"/>
      <c r="AV176" s="400"/>
      <c r="AW176" s="400"/>
      <c r="AX176" s="400"/>
      <c r="AY176" s="400"/>
      <c r="AZ176" s="400"/>
      <c r="BA176" s="400"/>
      <c r="BB176" s="400"/>
      <c r="BC176" s="400"/>
      <c r="BD176" s="400"/>
      <c r="BE176" s="400"/>
      <c r="BF176" s="400"/>
      <c r="BG176" s="400"/>
      <c r="BH176" s="400"/>
      <c r="BI176" s="400"/>
      <c r="BJ176" s="400"/>
      <c r="BK176" s="400"/>
      <c r="BL176" s="400"/>
      <c r="BM176" s="400"/>
      <c r="BN176" s="400"/>
      <c r="BO176" s="400"/>
      <c r="BP176" s="400"/>
      <c r="BQ176" s="400"/>
      <c r="BR176" s="400"/>
      <c r="BS176" s="400"/>
      <c r="BT176" s="400"/>
      <c r="BU176" s="400"/>
    </row>
    <row r="177" spans="1:73" s="396" customFormat="1" ht="55.5" customHeight="1" thickBot="1">
      <c r="A177" s="638" t="s">
        <v>883</v>
      </c>
      <c r="B177" s="393"/>
      <c r="C177" s="399"/>
      <c r="D177" s="543">
        <v>2000000</v>
      </c>
      <c r="E177" s="543">
        <v>1990000</v>
      </c>
      <c r="F177" s="569">
        <f t="shared" si="23"/>
        <v>0.995</v>
      </c>
      <c r="G177" s="395"/>
      <c r="H177" s="395"/>
      <c r="I177" s="395"/>
      <c r="J177" s="395"/>
      <c r="K177" s="395"/>
      <c r="L177" s="395"/>
      <c r="M177" s="395"/>
      <c r="N177" s="395"/>
      <c r="O177" s="395"/>
      <c r="P177" s="395"/>
      <c r="Q177" s="395"/>
      <c r="R177" s="395"/>
      <c r="S177" s="395"/>
      <c r="T177" s="395"/>
      <c r="U177" s="395"/>
      <c r="V177" s="395"/>
      <c r="W177" s="395"/>
      <c r="X177" s="395"/>
      <c r="Y177" s="395"/>
      <c r="Z177" s="395"/>
      <c r="AA177" s="395"/>
      <c r="AB177" s="395"/>
      <c r="AC177" s="395"/>
      <c r="AD177" s="395"/>
      <c r="AE177" s="395"/>
      <c r="AF177" s="395"/>
      <c r="AG177" s="395"/>
      <c r="AH177" s="395"/>
      <c r="AI177" s="395"/>
      <c r="AJ177" s="395"/>
      <c r="AK177" s="395"/>
      <c r="AL177" s="395"/>
      <c r="AM177" s="395"/>
      <c r="AN177" s="395"/>
      <c r="AO177" s="395"/>
      <c r="AP177" s="395"/>
      <c r="AQ177" s="395"/>
      <c r="AR177" s="395"/>
      <c r="AS177" s="395"/>
      <c r="AT177" s="395"/>
      <c r="AU177" s="395"/>
      <c r="AV177" s="395"/>
      <c r="AW177" s="395"/>
      <c r="AX177" s="395"/>
      <c r="AY177" s="395"/>
      <c r="AZ177" s="395"/>
      <c r="BA177" s="395"/>
      <c r="BB177" s="395"/>
      <c r="BC177" s="395"/>
      <c r="BD177" s="395"/>
      <c r="BE177" s="395"/>
      <c r="BF177" s="395"/>
      <c r="BG177" s="395"/>
      <c r="BH177" s="395"/>
      <c r="BI177" s="395"/>
      <c r="BJ177" s="395"/>
      <c r="BK177" s="395"/>
      <c r="BL177" s="395"/>
      <c r="BM177" s="395"/>
      <c r="BN177" s="395"/>
      <c r="BO177" s="395"/>
      <c r="BP177" s="395"/>
      <c r="BQ177" s="395"/>
      <c r="BR177" s="395"/>
      <c r="BS177" s="395"/>
      <c r="BT177" s="395"/>
      <c r="BU177" s="395"/>
    </row>
    <row r="178" spans="1:73" s="401" customFormat="1" ht="44.25" customHeight="1" thickBot="1">
      <c r="A178" s="638" t="s">
        <v>921</v>
      </c>
      <c r="B178" s="398"/>
      <c r="C178" s="399"/>
      <c r="D178" s="543"/>
      <c r="E178" s="543">
        <v>12000</v>
      </c>
      <c r="F178" s="569">
        <v>0</v>
      </c>
      <c r="G178" s="400"/>
      <c r="H178" s="400"/>
      <c r="I178" s="400"/>
      <c r="J178" s="400"/>
      <c r="K178" s="400"/>
      <c r="L178" s="400"/>
      <c r="M178" s="400"/>
      <c r="N178" s="400"/>
      <c r="O178" s="400"/>
      <c r="P178" s="400"/>
      <c r="Q178" s="400"/>
      <c r="R178" s="400"/>
      <c r="S178" s="400"/>
      <c r="T178" s="400"/>
      <c r="U178" s="400"/>
      <c r="V178" s="400"/>
      <c r="W178" s="400"/>
      <c r="X178" s="400"/>
      <c r="Y178" s="400"/>
      <c r="Z178" s="400"/>
      <c r="AA178" s="400"/>
      <c r="AB178" s="400"/>
      <c r="AC178" s="400"/>
      <c r="AD178" s="400"/>
      <c r="AE178" s="400"/>
      <c r="AF178" s="400"/>
      <c r="AG178" s="400"/>
      <c r="AH178" s="400"/>
      <c r="AI178" s="400"/>
      <c r="AJ178" s="400"/>
      <c r="AK178" s="400"/>
      <c r="AL178" s="400"/>
      <c r="AM178" s="400"/>
      <c r="AN178" s="400"/>
      <c r="AO178" s="400"/>
      <c r="AP178" s="400"/>
      <c r="AQ178" s="400"/>
      <c r="AR178" s="400"/>
      <c r="AS178" s="400"/>
      <c r="AT178" s="400"/>
      <c r="AU178" s="400"/>
      <c r="AV178" s="400"/>
      <c r="AW178" s="400"/>
      <c r="AX178" s="400"/>
      <c r="AY178" s="400"/>
      <c r="AZ178" s="400"/>
      <c r="BA178" s="400"/>
      <c r="BB178" s="400"/>
      <c r="BC178" s="400"/>
      <c r="BD178" s="400"/>
      <c r="BE178" s="400"/>
      <c r="BF178" s="400"/>
      <c r="BG178" s="400"/>
      <c r="BH178" s="400"/>
      <c r="BI178" s="400"/>
      <c r="BJ178" s="400"/>
      <c r="BK178" s="400"/>
      <c r="BL178" s="400"/>
      <c r="BM178" s="400"/>
      <c r="BN178" s="400"/>
      <c r="BO178" s="400"/>
      <c r="BP178" s="400"/>
      <c r="BQ178" s="400"/>
      <c r="BR178" s="400"/>
      <c r="BS178" s="400"/>
      <c r="BT178" s="400"/>
      <c r="BU178" s="400"/>
    </row>
    <row r="179" spans="1:73" s="401" customFormat="1" ht="42" customHeight="1" thickBot="1">
      <c r="A179" s="316" t="s">
        <v>922</v>
      </c>
      <c r="B179" s="317"/>
      <c r="C179" s="318"/>
      <c r="D179" s="543"/>
      <c r="E179" s="543">
        <v>50000</v>
      </c>
      <c r="F179" s="569">
        <v>0</v>
      </c>
      <c r="G179" s="400"/>
      <c r="H179" s="400"/>
      <c r="I179" s="400"/>
      <c r="J179" s="400"/>
      <c r="K179" s="400"/>
      <c r="L179" s="400"/>
      <c r="M179" s="400"/>
      <c r="N179" s="400"/>
      <c r="O179" s="400"/>
      <c r="P179" s="400"/>
      <c r="Q179" s="400"/>
      <c r="R179" s="400"/>
      <c r="S179" s="400"/>
      <c r="T179" s="400"/>
      <c r="U179" s="400"/>
      <c r="V179" s="400"/>
      <c r="W179" s="400"/>
      <c r="X179" s="400"/>
      <c r="Y179" s="400"/>
      <c r="Z179" s="400"/>
      <c r="AA179" s="400"/>
      <c r="AB179" s="400"/>
      <c r="AC179" s="400"/>
      <c r="AD179" s="400"/>
      <c r="AE179" s="400"/>
      <c r="AF179" s="400"/>
      <c r="AG179" s="400"/>
      <c r="AH179" s="400"/>
      <c r="AI179" s="400"/>
      <c r="AJ179" s="400"/>
      <c r="AK179" s="400"/>
      <c r="AL179" s="400"/>
      <c r="AM179" s="400"/>
      <c r="AN179" s="400"/>
      <c r="AO179" s="400"/>
      <c r="AP179" s="400"/>
      <c r="AQ179" s="400"/>
      <c r="AR179" s="400"/>
      <c r="AS179" s="400"/>
      <c r="AT179" s="400"/>
      <c r="AU179" s="400"/>
      <c r="AV179" s="400"/>
      <c r="AW179" s="400"/>
      <c r="AX179" s="400"/>
      <c r="AY179" s="400"/>
      <c r="AZ179" s="400"/>
      <c r="BA179" s="400"/>
      <c r="BB179" s="400"/>
      <c r="BC179" s="400"/>
      <c r="BD179" s="400"/>
      <c r="BE179" s="400"/>
      <c r="BF179" s="400"/>
      <c r="BG179" s="400"/>
      <c r="BH179" s="400"/>
      <c r="BI179" s="400"/>
      <c r="BJ179" s="400"/>
      <c r="BK179" s="400"/>
      <c r="BL179" s="400"/>
      <c r="BM179" s="400"/>
      <c r="BN179" s="400"/>
      <c r="BO179" s="400"/>
      <c r="BP179" s="400"/>
      <c r="BQ179" s="400"/>
      <c r="BR179" s="400"/>
      <c r="BS179" s="400"/>
      <c r="BT179" s="400"/>
      <c r="BU179" s="400"/>
    </row>
    <row r="180" spans="1:73" s="409" customFormat="1" ht="38.25" customHeight="1" thickBot="1">
      <c r="A180" s="638" t="s">
        <v>508</v>
      </c>
      <c r="B180" s="639"/>
      <c r="C180" s="399">
        <v>200000000</v>
      </c>
      <c r="D180" s="543">
        <v>83051101</v>
      </c>
      <c r="E180" s="543">
        <v>0</v>
      </c>
      <c r="F180" s="569">
        <v>0</v>
      </c>
      <c r="G180" s="408"/>
      <c r="H180" s="408"/>
      <c r="I180" s="408"/>
      <c r="J180" s="408"/>
      <c r="K180" s="408"/>
      <c r="L180" s="408"/>
      <c r="M180" s="408"/>
      <c r="N180" s="408"/>
      <c r="O180" s="408"/>
      <c r="P180" s="408"/>
      <c r="Q180" s="408"/>
      <c r="R180" s="408"/>
      <c r="S180" s="408"/>
      <c r="T180" s="408"/>
      <c r="U180" s="408"/>
      <c r="V180" s="408"/>
      <c r="W180" s="408"/>
      <c r="X180" s="408"/>
      <c r="Y180" s="408"/>
      <c r="Z180" s="408"/>
      <c r="AA180" s="408"/>
      <c r="AB180" s="408"/>
      <c r="AC180" s="408"/>
      <c r="AD180" s="408"/>
      <c r="AE180" s="408"/>
      <c r="AF180" s="408"/>
      <c r="AG180" s="408"/>
      <c r="AH180" s="408"/>
      <c r="AI180" s="408"/>
      <c r="AJ180" s="408"/>
      <c r="AK180" s="408"/>
      <c r="AL180" s="408"/>
      <c r="AM180" s="408"/>
      <c r="AN180" s="408"/>
      <c r="AO180" s="408"/>
      <c r="AP180" s="408"/>
      <c r="AQ180" s="408"/>
      <c r="AR180" s="408"/>
      <c r="AS180" s="408"/>
      <c r="AT180" s="408"/>
      <c r="AU180" s="408"/>
      <c r="AV180" s="408"/>
      <c r="AW180" s="408"/>
      <c r="AX180" s="408"/>
      <c r="AY180" s="408"/>
      <c r="AZ180" s="408"/>
      <c r="BA180" s="408"/>
      <c r="BB180" s="408"/>
      <c r="BC180" s="408"/>
      <c r="BD180" s="408"/>
      <c r="BE180" s="408"/>
      <c r="BF180" s="408"/>
      <c r="BG180" s="408"/>
      <c r="BH180" s="408"/>
      <c r="BI180" s="408"/>
      <c r="BJ180" s="408"/>
      <c r="BK180" s="408"/>
      <c r="BL180" s="408"/>
      <c r="BM180" s="408"/>
      <c r="BN180" s="408"/>
      <c r="BO180" s="408"/>
      <c r="BP180" s="408"/>
      <c r="BQ180" s="408"/>
      <c r="BR180" s="408"/>
      <c r="BS180" s="408"/>
      <c r="BT180" s="408"/>
      <c r="BU180" s="408"/>
    </row>
    <row r="181" spans="1:73" s="409" customFormat="1" ht="38.25" customHeight="1" thickBot="1">
      <c r="A181" s="404" t="s">
        <v>509</v>
      </c>
      <c r="B181" s="410"/>
      <c r="C181" s="403">
        <v>783410294</v>
      </c>
      <c r="D181" s="543">
        <f>SUM(B182+B183+B185+B186+B190+B191+B192+B193+B194+B195+B196+B204+B201+B175+B177+B203+B197+B198)</f>
        <v>1701594275</v>
      </c>
      <c r="E181" s="543">
        <v>0</v>
      </c>
      <c r="F181" s="569">
        <v>0</v>
      </c>
      <c r="G181" s="546"/>
      <c r="H181" s="408"/>
      <c r="I181" s="408"/>
      <c r="J181" s="408"/>
      <c r="K181" s="408"/>
      <c r="L181" s="408"/>
      <c r="M181" s="408"/>
      <c r="N181" s="408"/>
      <c r="O181" s="408"/>
      <c r="P181" s="408"/>
      <c r="Q181" s="408"/>
      <c r="R181" s="408"/>
      <c r="S181" s="408"/>
      <c r="T181" s="408"/>
      <c r="U181" s="408"/>
      <c r="V181" s="408"/>
      <c r="W181" s="408"/>
      <c r="X181" s="408"/>
      <c r="Y181" s="408"/>
      <c r="Z181" s="408"/>
      <c r="AA181" s="408"/>
      <c r="AB181" s="408"/>
      <c r="AC181" s="408"/>
      <c r="AD181" s="408"/>
      <c r="AE181" s="408"/>
      <c r="AF181" s="408"/>
      <c r="AG181" s="408"/>
      <c r="AH181" s="408"/>
      <c r="AI181" s="408"/>
      <c r="AJ181" s="408"/>
      <c r="AK181" s="408"/>
      <c r="AL181" s="408"/>
      <c r="AM181" s="408"/>
      <c r="AN181" s="408"/>
      <c r="AO181" s="408"/>
      <c r="AP181" s="408"/>
      <c r="AQ181" s="408"/>
      <c r="AR181" s="408"/>
      <c r="AS181" s="408"/>
      <c r="AT181" s="408"/>
      <c r="AU181" s="408"/>
      <c r="AV181" s="408"/>
      <c r="AW181" s="408"/>
      <c r="AX181" s="408"/>
      <c r="AY181" s="408"/>
      <c r="AZ181" s="408"/>
      <c r="BA181" s="408"/>
      <c r="BB181" s="408"/>
      <c r="BC181" s="408"/>
      <c r="BD181" s="408"/>
      <c r="BE181" s="408"/>
      <c r="BF181" s="408"/>
      <c r="BG181" s="408"/>
      <c r="BH181" s="408"/>
      <c r="BI181" s="408"/>
      <c r="BJ181" s="408"/>
      <c r="BK181" s="408"/>
      <c r="BL181" s="408"/>
      <c r="BM181" s="408"/>
      <c r="BN181" s="408"/>
      <c r="BO181" s="408"/>
      <c r="BP181" s="408"/>
      <c r="BQ181" s="408"/>
      <c r="BR181" s="408"/>
      <c r="BS181" s="408"/>
      <c r="BT181" s="408"/>
      <c r="BU181" s="408"/>
    </row>
    <row r="182" spans="1:73" s="409" customFormat="1" ht="38.25" customHeight="1" thickBot="1">
      <c r="A182" s="638" t="s">
        <v>897</v>
      </c>
      <c r="B182" s="393">
        <v>3000000</v>
      </c>
      <c r="C182" s="399"/>
      <c r="D182" s="650"/>
      <c r="E182" s="650"/>
      <c r="F182" s="699"/>
      <c r="G182" s="546"/>
      <c r="H182" s="408"/>
      <c r="I182" s="408"/>
      <c r="J182" s="408"/>
      <c r="K182" s="408"/>
      <c r="L182" s="408"/>
      <c r="M182" s="408"/>
      <c r="N182" s="408"/>
      <c r="O182" s="408"/>
      <c r="P182" s="408"/>
      <c r="Q182" s="408"/>
      <c r="R182" s="408"/>
      <c r="S182" s="408"/>
      <c r="T182" s="408"/>
      <c r="U182" s="408"/>
      <c r="V182" s="408"/>
      <c r="W182" s="408"/>
      <c r="X182" s="408"/>
      <c r="Y182" s="408"/>
      <c r="Z182" s="408"/>
      <c r="AA182" s="408"/>
      <c r="AB182" s="408"/>
      <c r="AC182" s="408"/>
      <c r="AD182" s="408"/>
      <c r="AE182" s="408"/>
      <c r="AF182" s="408"/>
      <c r="AG182" s="408"/>
      <c r="AH182" s="408"/>
      <c r="AI182" s="408"/>
      <c r="AJ182" s="408"/>
      <c r="AK182" s="408"/>
      <c r="AL182" s="408"/>
      <c r="AM182" s="408"/>
      <c r="AN182" s="408"/>
      <c r="AO182" s="408"/>
      <c r="AP182" s="408"/>
      <c r="AQ182" s="408"/>
      <c r="AR182" s="408"/>
      <c r="AS182" s="408"/>
      <c r="AT182" s="408"/>
      <c r="AU182" s="408"/>
      <c r="AV182" s="408"/>
      <c r="AW182" s="408"/>
      <c r="AX182" s="408"/>
      <c r="AY182" s="408"/>
      <c r="AZ182" s="408"/>
      <c r="BA182" s="408"/>
      <c r="BB182" s="408"/>
      <c r="BC182" s="408"/>
      <c r="BD182" s="408"/>
      <c r="BE182" s="408"/>
      <c r="BF182" s="408"/>
      <c r="BG182" s="408"/>
      <c r="BH182" s="408"/>
      <c r="BI182" s="408"/>
      <c r="BJ182" s="408"/>
      <c r="BK182" s="408"/>
      <c r="BL182" s="408"/>
      <c r="BM182" s="408"/>
      <c r="BN182" s="408"/>
      <c r="BO182" s="408"/>
      <c r="BP182" s="408"/>
      <c r="BQ182" s="408"/>
      <c r="BR182" s="408"/>
      <c r="BS182" s="408"/>
      <c r="BT182" s="408"/>
      <c r="BU182" s="408"/>
    </row>
    <row r="183" spans="1:73" s="396" customFormat="1" ht="44.25" customHeight="1" thickBot="1">
      <c r="A183" s="638" t="s">
        <v>898</v>
      </c>
      <c r="B183" s="393">
        <f>3875000-73+8870741+307517-13053185</f>
        <v>0</v>
      </c>
      <c r="C183" s="399"/>
      <c r="D183" s="543"/>
      <c r="E183" s="543"/>
      <c r="F183" s="569"/>
      <c r="G183" s="395"/>
      <c r="H183" s="395"/>
      <c r="I183" s="395"/>
      <c r="J183" s="395"/>
      <c r="K183" s="395"/>
      <c r="L183" s="395"/>
      <c r="M183" s="395"/>
      <c r="N183" s="395"/>
      <c r="O183" s="395"/>
      <c r="P183" s="395"/>
      <c r="Q183" s="395"/>
      <c r="R183" s="395"/>
      <c r="S183" s="395"/>
      <c r="T183" s="395"/>
      <c r="U183" s="395"/>
      <c r="V183" s="395"/>
      <c r="W183" s="395"/>
      <c r="X183" s="395"/>
      <c r="Y183" s="395"/>
      <c r="Z183" s="395"/>
      <c r="AA183" s="395"/>
      <c r="AB183" s="395"/>
      <c r="AC183" s="395"/>
      <c r="AD183" s="395"/>
      <c r="AE183" s="395"/>
      <c r="AF183" s="395"/>
      <c r="AG183" s="395"/>
      <c r="AH183" s="395"/>
      <c r="AI183" s="395"/>
      <c r="AJ183" s="395"/>
      <c r="AK183" s="395"/>
      <c r="AL183" s="395"/>
      <c r="AM183" s="395"/>
      <c r="AN183" s="395"/>
      <c r="AO183" s="395"/>
      <c r="AP183" s="395"/>
      <c r="AQ183" s="395"/>
      <c r="AR183" s="395"/>
      <c r="AS183" s="395"/>
      <c r="AT183" s="395"/>
      <c r="AU183" s="395"/>
      <c r="AV183" s="395"/>
      <c r="AW183" s="395"/>
      <c r="AX183" s="395"/>
      <c r="AY183" s="395"/>
      <c r="AZ183" s="395"/>
      <c r="BA183" s="395"/>
      <c r="BB183" s="395"/>
      <c r="BC183" s="395"/>
      <c r="BD183" s="395"/>
      <c r="BE183" s="395"/>
      <c r="BF183" s="395"/>
      <c r="BG183" s="395"/>
      <c r="BH183" s="395"/>
      <c r="BI183" s="395"/>
      <c r="BJ183" s="395"/>
      <c r="BK183" s="395"/>
      <c r="BL183" s="395"/>
      <c r="BM183" s="395"/>
      <c r="BN183" s="395"/>
      <c r="BO183" s="395"/>
      <c r="BP183" s="395"/>
      <c r="BQ183" s="395"/>
      <c r="BR183" s="395"/>
      <c r="BS183" s="395"/>
      <c r="BT183" s="395"/>
      <c r="BU183" s="395"/>
    </row>
    <row r="184" spans="1:73" s="401" customFormat="1" ht="38.25" customHeight="1" thickBot="1">
      <c r="A184" s="638" t="s">
        <v>510</v>
      </c>
      <c r="B184" s="398"/>
      <c r="C184" s="399"/>
      <c r="D184" s="543"/>
      <c r="E184" s="543"/>
      <c r="F184" s="569"/>
      <c r="G184" s="400"/>
      <c r="H184" s="400"/>
      <c r="I184" s="400"/>
      <c r="J184" s="400"/>
      <c r="K184" s="400"/>
      <c r="L184" s="400"/>
      <c r="M184" s="400"/>
      <c r="N184" s="400"/>
      <c r="O184" s="400"/>
      <c r="P184" s="400"/>
      <c r="Q184" s="400"/>
      <c r="R184" s="400"/>
      <c r="S184" s="400"/>
      <c r="T184" s="400"/>
      <c r="U184" s="400"/>
      <c r="V184" s="400"/>
      <c r="W184" s="400"/>
      <c r="X184" s="400"/>
      <c r="Y184" s="400"/>
      <c r="Z184" s="400"/>
      <c r="AA184" s="400"/>
      <c r="AB184" s="400"/>
      <c r="AC184" s="400"/>
      <c r="AD184" s="400"/>
      <c r="AE184" s="400"/>
      <c r="AF184" s="400"/>
      <c r="AG184" s="400"/>
      <c r="AH184" s="400"/>
      <c r="AI184" s="400"/>
      <c r="AJ184" s="400"/>
      <c r="AK184" s="400"/>
      <c r="AL184" s="400"/>
      <c r="AM184" s="400"/>
      <c r="AN184" s="400"/>
      <c r="AO184" s="400"/>
      <c r="AP184" s="400"/>
      <c r="AQ184" s="400"/>
      <c r="AR184" s="400"/>
      <c r="AS184" s="400"/>
      <c r="AT184" s="400"/>
      <c r="AU184" s="400"/>
      <c r="AV184" s="400"/>
      <c r="AW184" s="400"/>
      <c r="AX184" s="400"/>
      <c r="AY184" s="400"/>
      <c r="AZ184" s="400"/>
      <c r="BA184" s="400"/>
      <c r="BB184" s="400"/>
      <c r="BC184" s="400"/>
      <c r="BD184" s="400"/>
      <c r="BE184" s="400"/>
      <c r="BF184" s="400"/>
      <c r="BG184" s="400"/>
      <c r="BH184" s="400"/>
      <c r="BI184" s="400"/>
      <c r="BJ184" s="400"/>
      <c r="BK184" s="400"/>
      <c r="BL184" s="400"/>
      <c r="BM184" s="400"/>
      <c r="BN184" s="400"/>
      <c r="BO184" s="400"/>
      <c r="BP184" s="400"/>
      <c r="BQ184" s="400"/>
      <c r="BR184" s="400"/>
      <c r="BS184" s="400"/>
      <c r="BT184" s="400"/>
      <c r="BU184" s="400"/>
    </row>
    <row r="185" spans="1:73" s="396" customFormat="1" ht="59.25" customHeight="1" thickBot="1">
      <c r="A185" s="397" t="s">
        <v>511</v>
      </c>
      <c r="B185" s="393">
        <v>12148581</v>
      </c>
      <c r="C185" s="399"/>
      <c r="D185" s="543"/>
      <c r="E185" s="543"/>
      <c r="F185" s="569"/>
      <c r="G185" s="395"/>
      <c r="H185" s="395"/>
      <c r="I185" s="395"/>
      <c r="J185" s="395"/>
      <c r="K185" s="395"/>
      <c r="L185" s="395"/>
      <c r="M185" s="395"/>
      <c r="N185" s="395"/>
      <c r="O185" s="395"/>
      <c r="P185" s="395"/>
      <c r="Q185" s="395"/>
      <c r="R185" s="395"/>
      <c r="S185" s="395"/>
      <c r="T185" s="395"/>
      <c r="U185" s="395"/>
      <c r="V185" s="395"/>
      <c r="W185" s="395"/>
      <c r="X185" s="395"/>
      <c r="Y185" s="395"/>
      <c r="Z185" s="395"/>
      <c r="AA185" s="395"/>
      <c r="AB185" s="395"/>
      <c r="AC185" s="395"/>
      <c r="AD185" s="395"/>
      <c r="AE185" s="395"/>
      <c r="AF185" s="395"/>
      <c r="AG185" s="395"/>
      <c r="AH185" s="395"/>
      <c r="AI185" s="395"/>
      <c r="AJ185" s="395"/>
      <c r="AK185" s="395"/>
      <c r="AL185" s="395"/>
      <c r="AM185" s="395"/>
      <c r="AN185" s="395"/>
      <c r="AO185" s="395"/>
      <c r="AP185" s="395"/>
      <c r="AQ185" s="395"/>
      <c r="AR185" s="395"/>
      <c r="AS185" s="395"/>
      <c r="AT185" s="395"/>
      <c r="AU185" s="395"/>
      <c r="AV185" s="395"/>
      <c r="AW185" s="395"/>
      <c r="AX185" s="395"/>
      <c r="AY185" s="395"/>
      <c r="AZ185" s="395"/>
      <c r="BA185" s="395"/>
      <c r="BB185" s="395"/>
      <c r="BC185" s="395"/>
      <c r="BD185" s="395"/>
      <c r="BE185" s="395"/>
      <c r="BF185" s="395"/>
      <c r="BG185" s="395"/>
      <c r="BH185" s="395"/>
      <c r="BI185" s="395"/>
      <c r="BJ185" s="395"/>
      <c r="BK185" s="395"/>
      <c r="BL185" s="395"/>
      <c r="BM185" s="395"/>
      <c r="BN185" s="395"/>
      <c r="BO185" s="395"/>
      <c r="BP185" s="395"/>
      <c r="BQ185" s="395"/>
      <c r="BR185" s="395"/>
      <c r="BS185" s="395"/>
      <c r="BT185" s="395"/>
      <c r="BU185" s="395"/>
    </row>
    <row r="186" spans="1:73" s="396" customFormat="1" ht="38.25" thickBot="1">
      <c r="A186" s="638" t="s">
        <v>512</v>
      </c>
      <c r="B186" s="393">
        <f>SUM(B188:B189)</f>
        <v>211140184</v>
      </c>
      <c r="C186" s="399"/>
      <c r="D186" s="543"/>
      <c r="E186" s="543"/>
      <c r="F186" s="569"/>
      <c r="G186" s="395"/>
      <c r="H186" s="395"/>
      <c r="I186" s="395"/>
      <c r="J186" s="395"/>
      <c r="K186" s="395"/>
      <c r="L186" s="395"/>
      <c r="M186" s="395"/>
      <c r="N186" s="395"/>
      <c r="O186" s="395"/>
      <c r="P186" s="395"/>
      <c r="Q186" s="395"/>
      <c r="R186" s="395"/>
      <c r="S186" s="395"/>
      <c r="T186" s="395"/>
      <c r="U186" s="395"/>
      <c r="V186" s="395"/>
      <c r="W186" s="395"/>
      <c r="X186" s="395"/>
      <c r="Y186" s="395"/>
      <c r="Z186" s="395"/>
      <c r="AA186" s="395"/>
      <c r="AB186" s="395"/>
      <c r="AC186" s="395"/>
      <c r="AD186" s="395"/>
      <c r="AE186" s="395"/>
      <c r="AF186" s="395"/>
      <c r="AG186" s="395"/>
      <c r="AH186" s="395"/>
      <c r="AI186" s="395"/>
      <c r="AJ186" s="395"/>
      <c r="AK186" s="395"/>
      <c r="AL186" s="395"/>
      <c r="AM186" s="395"/>
      <c r="AN186" s="395"/>
      <c r="AO186" s="395"/>
      <c r="AP186" s="395"/>
      <c r="AQ186" s="395"/>
      <c r="AR186" s="395"/>
      <c r="AS186" s="395"/>
      <c r="AT186" s="395"/>
      <c r="AU186" s="395"/>
      <c r="AV186" s="395"/>
      <c r="AW186" s="395"/>
      <c r="AX186" s="395"/>
      <c r="AY186" s="395"/>
      <c r="AZ186" s="395"/>
      <c r="BA186" s="395"/>
      <c r="BB186" s="395"/>
      <c r="BC186" s="395"/>
      <c r="BD186" s="395"/>
      <c r="BE186" s="395"/>
      <c r="BF186" s="395"/>
      <c r="BG186" s="395"/>
      <c r="BH186" s="395"/>
      <c r="BI186" s="395"/>
      <c r="BJ186" s="395"/>
      <c r="BK186" s="395"/>
      <c r="BL186" s="395"/>
      <c r="BM186" s="395"/>
      <c r="BN186" s="395"/>
      <c r="BO186" s="395"/>
      <c r="BP186" s="395"/>
      <c r="BQ186" s="395"/>
      <c r="BR186" s="395"/>
      <c r="BS186" s="395"/>
      <c r="BT186" s="395"/>
      <c r="BU186" s="395"/>
    </row>
    <row r="187" spans="1:73" s="396" customFormat="1" ht="22.5" customHeight="1" thickBot="1">
      <c r="A187" s="397" t="s">
        <v>427</v>
      </c>
      <c r="B187" s="393"/>
      <c r="C187" s="399"/>
      <c r="D187" s="543"/>
      <c r="E187" s="543"/>
      <c r="F187" s="569"/>
      <c r="G187" s="395"/>
      <c r="H187" s="395"/>
      <c r="I187" s="395"/>
      <c r="J187" s="395"/>
      <c r="K187" s="395"/>
      <c r="L187" s="395"/>
      <c r="M187" s="395"/>
      <c r="N187" s="395"/>
      <c r="O187" s="395"/>
      <c r="P187" s="395"/>
      <c r="Q187" s="395"/>
      <c r="R187" s="395"/>
      <c r="S187" s="395"/>
      <c r="T187" s="395"/>
      <c r="U187" s="395"/>
      <c r="V187" s="395"/>
      <c r="W187" s="395"/>
      <c r="X187" s="395"/>
      <c r="Y187" s="395"/>
      <c r="Z187" s="395"/>
      <c r="AA187" s="395"/>
      <c r="AB187" s="395"/>
      <c r="AC187" s="395"/>
      <c r="AD187" s="395"/>
      <c r="AE187" s="395"/>
      <c r="AF187" s="395"/>
      <c r="AG187" s="395"/>
      <c r="AH187" s="395"/>
      <c r="AI187" s="395"/>
      <c r="AJ187" s="395"/>
      <c r="AK187" s="395"/>
      <c r="AL187" s="395"/>
      <c r="AM187" s="395"/>
      <c r="AN187" s="395"/>
      <c r="AO187" s="395"/>
      <c r="AP187" s="395"/>
      <c r="AQ187" s="395"/>
      <c r="AR187" s="395"/>
      <c r="AS187" s="395"/>
      <c r="AT187" s="395"/>
      <c r="AU187" s="395"/>
      <c r="AV187" s="395"/>
      <c r="AW187" s="395"/>
      <c r="AX187" s="395"/>
      <c r="AY187" s="395"/>
      <c r="AZ187" s="395"/>
      <c r="BA187" s="395"/>
      <c r="BB187" s="395"/>
      <c r="BC187" s="395"/>
      <c r="BD187" s="395"/>
      <c r="BE187" s="395"/>
      <c r="BF187" s="395"/>
      <c r="BG187" s="395"/>
      <c r="BH187" s="395"/>
      <c r="BI187" s="395"/>
      <c r="BJ187" s="395"/>
      <c r="BK187" s="395"/>
      <c r="BL187" s="395"/>
      <c r="BM187" s="395"/>
      <c r="BN187" s="395"/>
      <c r="BO187" s="395"/>
      <c r="BP187" s="395"/>
      <c r="BQ187" s="395"/>
      <c r="BR187" s="395"/>
      <c r="BS187" s="395"/>
      <c r="BT187" s="395"/>
      <c r="BU187" s="395"/>
    </row>
    <row r="188" spans="1:73" s="396" customFormat="1" ht="22.5" customHeight="1" thickBot="1">
      <c r="A188" s="397" t="s">
        <v>899</v>
      </c>
      <c r="B188" s="393">
        <v>49950000</v>
      </c>
      <c r="C188" s="399"/>
      <c r="D188" s="543"/>
      <c r="E188" s="543"/>
      <c r="F188" s="569"/>
      <c r="G188" s="395"/>
      <c r="H188" s="395"/>
      <c r="I188" s="395"/>
      <c r="J188" s="395"/>
      <c r="K188" s="395"/>
      <c r="L188" s="395"/>
      <c r="M188" s="395"/>
      <c r="N188" s="395"/>
      <c r="O188" s="395"/>
      <c r="P188" s="395"/>
      <c r="Q188" s="395"/>
      <c r="R188" s="395"/>
      <c r="S188" s="395"/>
      <c r="T188" s="395"/>
      <c r="U188" s="395"/>
      <c r="V188" s="395"/>
      <c r="W188" s="395"/>
      <c r="X188" s="395"/>
      <c r="Y188" s="395"/>
      <c r="Z188" s="395"/>
      <c r="AA188" s="395"/>
      <c r="AB188" s="395"/>
      <c r="AC188" s="395"/>
      <c r="AD188" s="395"/>
      <c r="AE188" s="395"/>
      <c r="AF188" s="395"/>
      <c r="AG188" s="395"/>
      <c r="AH188" s="395"/>
      <c r="AI188" s="395"/>
      <c r="AJ188" s="395"/>
      <c r="AK188" s="395"/>
      <c r="AL188" s="395"/>
      <c r="AM188" s="395"/>
      <c r="AN188" s="395"/>
      <c r="AO188" s="395"/>
      <c r="AP188" s="395"/>
      <c r="AQ188" s="395"/>
      <c r="AR188" s="395"/>
      <c r="AS188" s="395"/>
      <c r="AT188" s="395"/>
      <c r="AU188" s="395"/>
      <c r="AV188" s="395"/>
      <c r="AW188" s="395"/>
      <c r="AX188" s="395"/>
      <c r="AY188" s="395"/>
      <c r="AZ188" s="395"/>
      <c r="BA188" s="395"/>
      <c r="BB188" s="395"/>
      <c r="BC188" s="395"/>
      <c r="BD188" s="395"/>
      <c r="BE188" s="395"/>
      <c r="BF188" s="395"/>
      <c r="BG188" s="395"/>
      <c r="BH188" s="395"/>
      <c r="BI188" s="395"/>
      <c r="BJ188" s="395"/>
      <c r="BK188" s="395"/>
      <c r="BL188" s="395"/>
      <c r="BM188" s="395"/>
      <c r="BN188" s="395"/>
      <c r="BO188" s="395"/>
      <c r="BP188" s="395"/>
      <c r="BQ188" s="395"/>
      <c r="BR188" s="395"/>
      <c r="BS188" s="395"/>
      <c r="BT188" s="395"/>
      <c r="BU188" s="395"/>
    </row>
    <row r="189" spans="1:73" s="396" customFormat="1" ht="37.5" customHeight="1" thickBot="1">
      <c r="A189" s="397" t="s">
        <v>900</v>
      </c>
      <c r="B189" s="393">
        <f>164375993-3185809</f>
        <v>161190184</v>
      </c>
      <c r="C189" s="399"/>
      <c r="D189" s="543"/>
      <c r="E189" s="543"/>
      <c r="F189" s="569"/>
      <c r="G189" s="395"/>
      <c r="H189" s="395"/>
      <c r="I189" s="395"/>
      <c r="J189" s="395"/>
      <c r="K189" s="395"/>
      <c r="L189" s="395"/>
      <c r="M189" s="395"/>
      <c r="N189" s="395"/>
      <c r="O189" s="395"/>
      <c r="P189" s="395"/>
      <c r="Q189" s="395"/>
      <c r="R189" s="395"/>
      <c r="S189" s="395"/>
      <c r="T189" s="395"/>
      <c r="U189" s="395"/>
      <c r="V189" s="395"/>
      <c r="W189" s="395"/>
      <c r="X189" s="395"/>
      <c r="Y189" s="395"/>
      <c r="Z189" s="395"/>
      <c r="AA189" s="395"/>
      <c r="AB189" s="395"/>
      <c r="AC189" s="395"/>
      <c r="AD189" s="395"/>
      <c r="AE189" s="395"/>
      <c r="AF189" s="395"/>
      <c r="AG189" s="395"/>
      <c r="AH189" s="395"/>
      <c r="AI189" s="395"/>
      <c r="AJ189" s="395"/>
      <c r="AK189" s="395"/>
      <c r="AL189" s="395"/>
      <c r="AM189" s="395"/>
      <c r="AN189" s="395"/>
      <c r="AO189" s="395"/>
      <c r="AP189" s="395"/>
      <c r="AQ189" s="395"/>
      <c r="AR189" s="395"/>
      <c r="AS189" s="395"/>
      <c r="AT189" s="395"/>
      <c r="AU189" s="395"/>
      <c r="AV189" s="395"/>
      <c r="AW189" s="395"/>
      <c r="AX189" s="395"/>
      <c r="AY189" s="395"/>
      <c r="AZ189" s="395"/>
      <c r="BA189" s="395"/>
      <c r="BB189" s="395"/>
      <c r="BC189" s="395"/>
      <c r="BD189" s="395"/>
      <c r="BE189" s="395"/>
      <c r="BF189" s="395"/>
      <c r="BG189" s="395"/>
      <c r="BH189" s="395"/>
      <c r="BI189" s="395"/>
      <c r="BJ189" s="395"/>
      <c r="BK189" s="395"/>
      <c r="BL189" s="395"/>
      <c r="BM189" s="395"/>
      <c r="BN189" s="395"/>
      <c r="BO189" s="395"/>
      <c r="BP189" s="395"/>
      <c r="BQ189" s="395"/>
      <c r="BR189" s="395"/>
      <c r="BS189" s="395"/>
      <c r="BT189" s="395"/>
      <c r="BU189" s="395"/>
    </row>
    <row r="190" spans="1:73" s="401" customFormat="1" ht="75.75" customHeight="1" thickBot="1">
      <c r="A190" s="316" t="s">
        <v>651</v>
      </c>
      <c r="B190" s="393">
        <f>200700259-3733800-570363</f>
        <v>196396096</v>
      </c>
      <c r="C190" s="399"/>
      <c r="D190" s="543"/>
      <c r="E190" s="543"/>
      <c r="F190" s="569"/>
      <c r="G190" s="400"/>
      <c r="H190" s="400"/>
      <c r="I190" s="400"/>
      <c r="J190" s="400"/>
      <c r="K190" s="400"/>
      <c r="L190" s="400"/>
      <c r="M190" s="400"/>
      <c r="N190" s="400"/>
      <c r="O190" s="400"/>
      <c r="P190" s="400"/>
      <c r="Q190" s="400"/>
      <c r="R190" s="400"/>
      <c r="S190" s="400"/>
      <c r="T190" s="400"/>
      <c r="U190" s="400"/>
      <c r="V190" s="400"/>
      <c r="W190" s="400"/>
      <c r="X190" s="400"/>
      <c r="Y190" s="400"/>
      <c r="Z190" s="400"/>
      <c r="AA190" s="400"/>
      <c r="AB190" s="400"/>
      <c r="AC190" s="400"/>
      <c r="AD190" s="400"/>
      <c r="AE190" s="400"/>
      <c r="AF190" s="400"/>
      <c r="AG190" s="400"/>
      <c r="AH190" s="400"/>
      <c r="AI190" s="400"/>
      <c r="AJ190" s="400"/>
      <c r="AK190" s="400"/>
      <c r="AL190" s="400"/>
      <c r="AM190" s="400"/>
      <c r="AN190" s="400"/>
      <c r="AO190" s="400"/>
      <c r="AP190" s="400"/>
      <c r="AQ190" s="400"/>
      <c r="AR190" s="400"/>
      <c r="AS190" s="400"/>
      <c r="AT190" s="400"/>
      <c r="AU190" s="400"/>
      <c r="AV190" s="400"/>
      <c r="AW190" s="400"/>
      <c r="AX190" s="400"/>
      <c r="AY190" s="400"/>
      <c r="AZ190" s="400"/>
      <c r="BA190" s="400"/>
      <c r="BB190" s="400"/>
      <c r="BC190" s="400"/>
      <c r="BD190" s="400"/>
      <c r="BE190" s="400"/>
      <c r="BF190" s="400"/>
      <c r="BG190" s="400"/>
      <c r="BH190" s="400"/>
      <c r="BI190" s="400"/>
      <c r="BJ190" s="400"/>
      <c r="BK190" s="400"/>
      <c r="BL190" s="400"/>
      <c r="BM190" s="400"/>
      <c r="BN190" s="400"/>
      <c r="BO190" s="400"/>
      <c r="BP190" s="400"/>
      <c r="BQ190" s="400"/>
      <c r="BR190" s="400"/>
      <c r="BS190" s="400"/>
      <c r="BT190" s="400"/>
      <c r="BU190" s="400"/>
    </row>
    <row r="191" spans="1:73" s="652" customFormat="1" ht="38.25" customHeight="1" thickBot="1">
      <c r="A191" s="669" t="s">
        <v>864</v>
      </c>
      <c r="B191" s="393">
        <f>94177093-385100</f>
        <v>93791993</v>
      </c>
      <c r="C191" s="399"/>
      <c r="D191" s="543"/>
      <c r="E191" s="543"/>
      <c r="F191" s="569"/>
      <c r="G191" s="400"/>
      <c r="H191" s="651"/>
      <c r="I191" s="651"/>
      <c r="J191" s="651"/>
      <c r="K191" s="651"/>
      <c r="L191" s="651"/>
      <c r="M191" s="651"/>
      <c r="N191" s="651"/>
      <c r="O191" s="651"/>
      <c r="P191" s="651"/>
      <c r="Q191" s="651"/>
      <c r="R191" s="651"/>
      <c r="S191" s="651"/>
      <c r="T191" s="651"/>
      <c r="U191" s="651"/>
      <c r="V191" s="651"/>
      <c r="W191" s="651"/>
      <c r="X191" s="651"/>
      <c r="Y191" s="651"/>
      <c r="Z191" s="651"/>
      <c r="AA191" s="651"/>
      <c r="AB191" s="651"/>
      <c r="AC191" s="651"/>
      <c r="AD191" s="651"/>
      <c r="AE191" s="651"/>
      <c r="AF191" s="651"/>
      <c r="AG191" s="651"/>
      <c r="AH191" s="651"/>
      <c r="AI191" s="651"/>
      <c r="AJ191" s="651"/>
      <c r="AK191" s="651"/>
      <c r="AL191" s="651"/>
      <c r="AM191" s="651"/>
      <c r="AN191" s="651"/>
      <c r="AO191" s="651"/>
      <c r="AP191" s="651"/>
      <c r="AQ191" s="651"/>
      <c r="AR191" s="651"/>
      <c r="AS191" s="651"/>
      <c r="AT191" s="651"/>
      <c r="AU191" s="651"/>
      <c r="AV191" s="651"/>
      <c r="AW191" s="651"/>
      <c r="AX191" s="651"/>
      <c r="AY191" s="651"/>
      <c r="AZ191" s="651"/>
      <c r="BA191" s="651"/>
      <c r="BB191" s="651"/>
      <c r="BC191" s="651"/>
      <c r="BD191" s="651"/>
      <c r="BE191" s="651"/>
      <c r="BF191" s="651"/>
      <c r="BG191" s="651"/>
      <c r="BH191" s="651"/>
      <c r="BI191" s="651"/>
      <c r="BJ191" s="651"/>
      <c r="BK191" s="651"/>
      <c r="BL191" s="651"/>
      <c r="BM191" s="651"/>
      <c r="BN191" s="651"/>
      <c r="BO191" s="651"/>
      <c r="BP191" s="651"/>
      <c r="BQ191" s="651"/>
      <c r="BR191" s="651"/>
      <c r="BS191" s="651"/>
      <c r="BT191" s="651"/>
      <c r="BU191" s="651"/>
    </row>
    <row r="192" spans="1:73" s="670" customFormat="1" ht="64.5" customHeight="1" thickBot="1">
      <c r="A192" s="638" t="s">
        <v>901</v>
      </c>
      <c r="B192" s="393">
        <f>23945785-3016366-4437637-1972826</f>
        <v>14518956</v>
      </c>
      <c r="C192" s="399"/>
      <c r="D192" s="543"/>
      <c r="E192" s="543"/>
      <c r="F192" s="569"/>
      <c r="G192" s="400"/>
      <c r="H192" s="651"/>
      <c r="I192" s="651"/>
      <c r="J192" s="651"/>
      <c r="K192" s="651"/>
      <c r="L192" s="651"/>
      <c r="M192" s="651"/>
      <c r="N192" s="651"/>
      <c r="O192" s="651"/>
      <c r="P192" s="651"/>
      <c r="Q192" s="651"/>
      <c r="R192" s="651"/>
      <c r="S192" s="651"/>
      <c r="T192" s="651"/>
      <c r="U192" s="651"/>
      <c r="V192" s="651"/>
      <c r="W192" s="651"/>
      <c r="X192" s="651"/>
      <c r="Y192" s="651"/>
      <c r="Z192" s="651"/>
      <c r="AA192" s="651"/>
      <c r="AB192" s="651"/>
      <c r="AC192" s="651"/>
      <c r="AD192" s="651"/>
      <c r="AE192" s="651"/>
      <c r="AF192" s="651"/>
      <c r="AG192" s="651"/>
      <c r="AH192" s="651"/>
      <c r="AI192" s="651"/>
      <c r="AJ192" s="651"/>
      <c r="AK192" s="651"/>
      <c r="AL192" s="651"/>
      <c r="AM192" s="651"/>
      <c r="AN192" s="651"/>
      <c r="AO192" s="651"/>
      <c r="AP192" s="651"/>
      <c r="AQ192" s="651"/>
      <c r="AR192" s="651"/>
      <c r="AS192" s="651"/>
      <c r="AT192" s="651"/>
      <c r="AU192" s="651"/>
      <c r="AV192" s="651"/>
      <c r="AW192" s="651"/>
      <c r="AX192" s="651"/>
      <c r="AY192" s="651"/>
      <c r="AZ192" s="651"/>
      <c r="BA192" s="651"/>
      <c r="BB192" s="651"/>
      <c r="BC192" s="651"/>
      <c r="BD192" s="651"/>
      <c r="BE192" s="651"/>
      <c r="BF192" s="651"/>
      <c r="BG192" s="651"/>
      <c r="BH192" s="651"/>
      <c r="BI192" s="651"/>
      <c r="BJ192" s="651"/>
      <c r="BK192" s="651"/>
      <c r="BL192" s="651"/>
      <c r="BM192" s="651"/>
      <c r="BN192" s="651"/>
      <c r="BO192" s="651"/>
      <c r="BP192" s="651"/>
      <c r="BQ192" s="651"/>
      <c r="BR192" s="651"/>
      <c r="BS192" s="651"/>
      <c r="BT192" s="651"/>
      <c r="BU192" s="651"/>
    </row>
    <row r="193" spans="1:73" s="670" customFormat="1" ht="37.5" customHeight="1" thickBot="1">
      <c r="A193" s="420" t="s">
        <v>866</v>
      </c>
      <c r="B193" s="393">
        <v>2409098</v>
      </c>
      <c r="C193" s="422"/>
      <c r="D193" s="668"/>
      <c r="E193" s="668"/>
      <c r="F193" s="701"/>
      <c r="G193" s="400"/>
      <c r="H193" s="651"/>
      <c r="I193" s="651"/>
      <c r="J193" s="651"/>
      <c r="K193" s="651"/>
      <c r="L193" s="651"/>
      <c r="M193" s="651"/>
      <c r="N193" s="651"/>
      <c r="O193" s="651"/>
      <c r="P193" s="651"/>
      <c r="Q193" s="651"/>
      <c r="R193" s="651"/>
      <c r="S193" s="651"/>
      <c r="T193" s="651"/>
      <c r="U193" s="651"/>
      <c r="V193" s="651"/>
      <c r="W193" s="651"/>
      <c r="X193" s="651"/>
      <c r="Y193" s="651"/>
      <c r="Z193" s="651"/>
      <c r="AA193" s="651"/>
      <c r="AB193" s="651"/>
      <c r="AC193" s="651"/>
      <c r="AD193" s="651"/>
      <c r="AE193" s="651"/>
      <c r="AF193" s="651"/>
      <c r="AG193" s="651"/>
      <c r="AH193" s="651"/>
      <c r="AI193" s="651"/>
      <c r="AJ193" s="651"/>
      <c r="AK193" s="651"/>
      <c r="AL193" s="651"/>
      <c r="AM193" s="651"/>
      <c r="AN193" s="651"/>
      <c r="AO193" s="651"/>
      <c r="AP193" s="651"/>
      <c r="AQ193" s="651"/>
      <c r="AR193" s="651"/>
      <c r="AS193" s="651"/>
      <c r="AT193" s="651"/>
      <c r="AU193" s="651"/>
      <c r="AV193" s="651"/>
      <c r="AW193" s="651"/>
      <c r="AX193" s="651"/>
      <c r="AY193" s="651"/>
      <c r="AZ193" s="651"/>
      <c r="BA193" s="651"/>
      <c r="BB193" s="651"/>
      <c r="BC193" s="651"/>
      <c r="BD193" s="651"/>
      <c r="BE193" s="651"/>
      <c r="BF193" s="651"/>
      <c r="BG193" s="651"/>
      <c r="BH193" s="651"/>
      <c r="BI193" s="651"/>
      <c r="BJ193" s="651"/>
      <c r="BK193" s="651"/>
      <c r="BL193" s="651"/>
      <c r="BM193" s="651"/>
      <c r="BN193" s="651"/>
      <c r="BO193" s="651"/>
      <c r="BP193" s="651"/>
      <c r="BQ193" s="651"/>
      <c r="BR193" s="651"/>
      <c r="BS193" s="651"/>
      <c r="BT193" s="651"/>
      <c r="BU193" s="651"/>
    </row>
    <row r="194" spans="1:73" s="652" customFormat="1" ht="52.5" customHeight="1" thickBot="1">
      <c r="A194" s="638" t="s">
        <v>867</v>
      </c>
      <c r="B194" s="393">
        <f>104737609-5768450</f>
        <v>98969159</v>
      </c>
      <c r="C194" s="399"/>
      <c r="D194" s="543"/>
      <c r="E194" s="543"/>
      <c r="F194" s="569"/>
      <c r="G194" s="400"/>
      <c r="H194" s="651"/>
      <c r="I194" s="651"/>
      <c r="J194" s="651"/>
      <c r="K194" s="651"/>
      <c r="L194" s="651"/>
      <c r="M194" s="651"/>
      <c r="N194" s="651"/>
      <c r="O194" s="651"/>
      <c r="P194" s="651"/>
      <c r="Q194" s="651"/>
      <c r="R194" s="651"/>
      <c r="S194" s="651"/>
      <c r="T194" s="651"/>
      <c r="U194" s="651"/>
      <c r="V194" s="651"/>
      <c r="W194" s="651"/>
      <c r="X194" s="651"/>
      <c r="Y194" s="651"/>
      <c r="Z194" s="651"/>
      <c r="AA194" s="651"/>
      <c r="AB194" s="651"/>
      <c r="AC194" s="651"/>
      <c r="AD194" s="651"/>
      <c r="AE194" s="651"/>
      <c r="AF194" s="651"/>
      <c r="AG194" s="651"/>
      <c r="AH194" s="651"/>
      <c r="AI194" s="651"/>
      <c r="AJ194" s="651"/>
      <c r="AK194" s="651"/>
      <c r="AL194" s="651"/>
      <c r="AM194" s="651"/>
      <c r="AN194" s="651"/>
      <c r="AO194" s="651"/>
      <c r="AP194" s="651"/>
      <c r="AQ194" s="651"/>
      <c r="AR194" s="651"/>
      <c r="AS194" s="651"/>
      <c r="AT194" s="651"/>
      <c r="AU194" s="651"/>
      <c r="AV194" s="651"/>
      <c r="AW194" s="651"/>
      <c r="AX194" s="651"/>
      <c r="AY194" s="651"/>
      <c r="AZ194" s="651"/>
      <c r="BA194" s="651"/>
      <c r="BB194" s="651"/>
      <c r="BC194" s="651"/>
      <c r="BD194" s="651"/>
      <c r="BE194" s="651"/>
      <c r="BF194" s="651"/>
      <c r="BG194" s="651"/>
      <c r="BH194" s="651"/>
      <c r="BI194" s="651"/>
      <c r="BJ194" s="651"/>
      <c r="BK194" s="651"/>
      <c r="BL194" s="651"/>
      <c r="BM194" s="651"/>
      <c r="BN194" s="651"/>
      <c r="BO194" s="651"/>
      <c r="BP194" s="651"/>
      <c r="BQ194" s="651"/>
      <c r="BR194" s="651"/>
      <c r="BS194" s="651"/>
      <c r="BT194" s="651"/>
      <c r="BU194" s="651"/>
    </row>
    <row r="195" spans="1:73" s="401" customFormat="1" ht="52.5" customHeight="1" thickBot="1">
      <c r="A195" s="316" t="s">
        <v>870</v>
      </c>
      <c r="B195" s="393">
        <f>3730208-50000</f>
        <v>3680208</v>
      </c>
      <c r="C195" s="399"/>
      <c r="D195" s="543"/>
      <c r="E195" s="543"/>
      <c r="F195" s="569"/>
      <c r="G195" s="400"/>
      <c r="H195" s="400"/>
      <c r="I195" s="400"/>
      <c r="J195" s="400"/>
      <c r="K195" s="400"/>
      <c r="L195" s="400"/>
      <c r="M195" s="400"/>
      <c r="N195" s="400"/>
      <c r="O195" s="400"/>
      <c r="P195" s="400"/>
      <c r="Q195" s="400"/>
      <c r="R195" s="400"/>
      <c r="S195" s="400"/>
      <c r="T195" s="400"/>
      <c r="U195" s="400"/>
      <c r="V195" s="400"/>
      <c r="W195" s="400"/>
      <c r="X195" s="400"/>
      <c r="Y195" s="400"/>
      <c r="Z195" s="400"/>
      <c r="AA195" s="400"/>
      <c r="AB195" s="400"/>
      <c r="AC195" s="400"/>
      <c r="AD195" s="400"/>
      <c r="AE195" s="400"/>
      <c r="AF195" s="400"/>
      <c r="AG195" s="400"/>
      <c r="AH195" s="400"/>
      <c r="AI195" s="400"/>
      <c r="AJ195" s="400"/>
      <c r="AK195" s="400"/>
      <c r="AL195" s="400"/>
      <c r="AM195" s="400"/>
      <c r="AN195" s="400"/>
      <c r="AO195" s="400"/>
      <c r="AP195" s="400"/>
      <c r="AQ195" s="400"/>
      <c r="AR195" s="400"/>
      <c r="AS195" s="400"/>
      <c r="AT195" s="400"/>
      <c r="AU195" s="400"/>
      <c r="AV195" s="400"/>
      <c r="AW195" s="400"/>
      <c r="AX195" s="400"/>
      <c r="AY195" s="400"/>
      <c r="AZ195" s="400"/>
      <c r="BA195" s="400"/>
      <c r="BB195" s="400"/>
      <c r="BC195" s="400"/>
      <c r="BD195" s="400"/>
      <c r="BE195" s="400"/>
      <c r="BF195" s="400"/>
      <c r="BG195" s="400"/>
      <c r="BH195" s="400"/>
      <c r="BI195" s="400"/>
      <c r="BJ195" s="400"/>
      <c r="BK195" s="400"/>
      <c r="BL195" s="400"/>
      <c r="BM195" s="400"/>
      <c r="BN195" s="400"/>
      <c r="BO195" s="400"/>
      <c r="BP195" s="400"/>
      <c r="BQ195" s="400"/>
      <c r="BR195" s="400"/>
      <c r="BS195" s="400"/>
      <c r="BT195" s="400"/>
      <c r="BU195" s="400"/>
    </row>
    <row r="196" spans="1:73" s="401" customFormat="1" ht="52.5" customHeight="1" thickBot="1">
      <c r="A196" s="316" t="s">
        <v>802</v>
      </c>
      <c r="B196" s="393">
        <v>111490000</v>
      </c>
      <c r="C196" s="399"/>
      <c r="D196" s="543"/>
      <c r="E196" s="543"/>
      <c r="F196" s="569"/>
      <c r="G196" s="400"/>
      <c r="H196" s="400"/>
      <c r="I196" s="400"/>
      <c r="J196" s="400"/>
      <c r="K196" s="400"/>
      <c r="L196" s="400"/>
      <c r="M196" s="400"/>
      <c r="N196" s="400"/>
      <c r="O196" s="400"/>
      <c r="P196" s="400"/>
      <c r="Q196" s="400"/>
      <c r="R196" s="400"/>
      <c r="S196" s="400"/>
      <c r="T196" s="400"/>
      <c r="U196" s="400"/>
      <c r="V196" s="400"/>
      <c r="W196" s="400"/>
      <c r="X196" s="400"/>
      <c r="Y196" s="400"/>
      <c r="Z196" s="400"/>
      <c r="AA196" s="400"/>
      <c r="AB196" s="400"/>
      <c r="AC196" s="400"/>
      <c r="AD196" s="400"/>
      <c r="AE196" s="400"/>
      <c r="AF196" s="400"/>
      <c r="AG196" s="400"/>
      <c r="AH196" s="400"/>
      <c r="AI196" s="400"/>
      <c r="AJ196" s="400"/>
      <c r="AK196" s="400"/>
      <c r="AL196" s="400"/>
      <c r="AM196" s="400"/>
      <c r="AN196" s="400"/>
      <c r="AO196" s="400"/>
      <c r="AP196" s="400"/>
      <c r="AQ196" s="400"/>
      <c r="AR196" s="400"/>
      <c r="AS196" s="400"/>
      <c r="AT196" s="400"/>
      <c r="AU196" s="400"/>
      <c r="AV196" s="400"/>
      <c r="AW196" s="400"/>
      <c r="AX196" s="400"/>
      <c r="AY196" s="400"/>
      <c r="AZ196" s="400"/>
      <c r="BA196" s="400"/>
      <c r="BB196" s="400"/>
      <c r="BC196" s="400"/>
      <c r="BD196" s="400"/>
      <c r="BE196" s="400"/>
      <c r="BF196" s="400"/>
      <c r="BG196" s="400"/>
      <c r="BH196" s="400"/>
      <c r="BI196" s="400"/>
      <c r="BJ196" s="400"/>
      <c r="BK196" s="400"/>
      <c r="BL196" s="400"/>
      <c r="BM196" s="400"/>
      <c r="BN196" s="400"/>
      <c r="BO196" s="400"/>
      <c r="BP196" s="400"/>
      <c r="BQ196" s="400"/>
      <c r="BR196" s="400"/>
      <c r="BS196" s="400"/>
      <c r="BT196" s="400"/>
      <c r="BU196" s="400"/>
    </row>
    <row r="197" spans="1:73" s="401" customFormat="1" ht="52.5" customHeight="1" thickBot="1">
      <c r="A197" s="316" t="s">
        <v>814</v>
      </c>
      <c r="B197" s="393">
        <v>554050000</v>
      </c>
      <c r="C197" s="399"/>
      <c r="D197" s="543"/>
      <c r="E197" s="543"/>
      <c r="F197" s="569"/>
      <c r="G197" s="400"/>
      <c r="H197" s="400"/>
      <c r="I197" s="400"/>
      <c r="J197" s="400"/>
      <c r="K197" s="400"/>
      <c r="L197" s="400"/>
      <c r="M197" s="400"/>
      <c r="N197" s="400"/>
      <c r="O197" s="400"/>
      <c r="P197" s="400"/>
      <c r="Q197" s="400"/>
      <c r="R197" s="400"/>
      <c r="S197" s="400"/>
      <c r="T197" s="400"/>
      <c r="U197" s="400"/>
      <c r="V197" s="400"/>
      <c r="W197" s="400"/>
      <c r="X197" s="400"/>
      <c r="Y197" s="400"/>
      <c r="Z197" s="400"/>
      <c r="AA197" s="400"/>
      <c r="AB197" s="400"/>
      <c r="AC197" s="400"/>
      <c r="AD197" s="400"/>
      <c r="AE197" s="400"/>
      <c r="AF197" s="400"/>
      <c r="AG197" s="400"/>
      <c r="AH197" s="400"/>
      <c r="AI197" s="400"/>
      <c r="AJ197" s="400"/>
      <c r="AK197" s="400"/>
      <c r="AL197" s="400"/>
      <c r="AM197" s="400"/>
      <c r="AN197" s="400"/>
      <c r="AO197" s="400"/>
      <c r="AP197" s="400"/>
      <c r="AQ197" s="400"/>
      <c r="AR197" s="400"/>
      <c r="AS197" s="400"/>
      <c r="AT197" s="400"/>
      <c r="AU197" s="400"/>
      <c r="AV197" s="400"/>
      <c r="AW197" s="400"/>
      <c r="AX197" s="400"/>
      <c r="AY197" s="400"/>
      <c r="AZ197" s="400"/>
      <c r="BA197" s="400"/>
      <c r="BB197" s="400"/>
      <c r="BC197" s="400"/>
      <c r="BD197" s="400"/>
      <c r="BE197" s="400"/>
      <c r="BF197" s="400"/>
      <c r="BG197" s="400"/>
      <c r="BH197" s="400"/>
      <c r="BI197" s="400"/>
      <c r="BJ197" s="400"/>
      <c r="BK197" s="400"/>
      <c r="BL197" s="400"/>
      <c r="BM197" s="400"/>
      <c r="BN197" s="400"/>
      <c r="BO197" s="400"/>
      <c r="BP197" s="400"/>
      <c r="BQ197" s="400"/>
      <c r="BR197" s="400"/>
      <c r="BS197" s="400"/>
      <c r="BT197" s="400"/>
      <c r="BU197" s="400"/>
    </row>
    <row r="198" spans="1:73" s="401" customFormat="1" ht="52.5" customHeight="1" thickBot="1">
      <c r="A198" s="316" t="s">
        <v>902</v>
      </c>
      <c r="B198" s="393">
        <v>400000000</v>
      </c>
      <c r="C198" s="399"/>
      <c r="D198" s="399"/>
      <c r="E198" s="399"/>
      <c r="F198" s="315"/>
      <c r="G198" s="400"/>
      <c r="H198" s="400"/>
      <c r="I198" s="400"/>
      <c r="J198" s="400"/>
      <c r="K198" s="400"/>
      <c r="L198" s="400"/>
      <c r="M198" s="400"/>
      <c r="N198" s="400"/>
      <c r="O198" s="400"/>
      <c r="P198" s="400"/>
      <c r="Q198" s="400"/>
      <c r="R198" s="400"/>
      <c r="S198" s="400"/>
      <c r="T198" s="400"/>
      <c r="U198" s="400"/>
      <c r="V198" s="400"/>
      <c r="W198" s="400"/>
      <c r="X198" s="400"/>
      <c r="Y198" s="400"/>
      <c r="Z198" s="400"/>
      <c r="AA198" s="400"/>
      <c r="AB198" s="400"/>
      <c r="AC198" s="400"/>
      <c r="AD198" s="400"/>
      <c r="AE198" s="400"/>
      <c r="AF198" s="400"/>
      <c r="AG198" s="400"/>
      <c r="AH198" s="400"/>
      <c r="AI198" s="400"/>
      <c r="AJ198" s="400"/>
      <c r="AK198" s="400"/>
      <c r="AL198" s="400"/>
      <c r="AM198" s="400"/>
      <c r="AN198" s="400"/>
      <c r="AO198" s="400"/>
      <c r="AP198" s="400"/>
      <c r="AQ198" s="400"/>
      <c r="AR198" s="400"/>
      <c r="AS198" s="400"/>
      <c r="AT198" s="400"/>
      <c r="AU198" s="400"/>
      <c r="AV198" s="400"/>
      <c r="AW198" s="400"/>
      <c r="AX198" s="400"/>
      <c r="AY198" s="400"/>
      <c r="AZ198" s="400"/>
      <c r="BA198" s="400"/>
      <c r="BB198" s="400"/>
      <c r="BC198" s="400"/>
      <c r="BD198" s="400"/>
      <c r="BE198" s="400"/>
      <c r="BF198" s="400"/>
      <c r="BG198" s="400"/>
      <c r="BH198" s="400"/>
      <c r="BI198" s="400"/>
      <c r="BJ198" s="400"/>
      <c r="BK198" s="400"/>
      <c r="BL198" s="400"/>
      <c r="BM198" s="400"/>
      <c r="BN198" s="400"/>
      <c r="BO198" s="400"/>
      <c r="BP198" s="400"/>
      <c r="BQ198" s="400"/>
      <c r="BR198" s="400"/>
      <c r="BS198" s="400"/>
      <c r="BT198" s="400"/>
      <c r="BU198" s="400"/>
    </row>
    <row r="199" spans="1:73" s="396" customFormat="1" ht="27.75" customHeight="1" thickBot="1">
      <c r="A199" s="638" t="s">
        <v>486</v>
      </c>
      <c r="B199" s="398"/>
      <c r="C199" s="399"/>
      <c r="D199" s="543"/>
      <c r="E199" s="543"/>
      <c r="F199" s="569"/>
      <c r="G199" s="395"/>
      <c r="H199" s="395"/>
      <c r="I199" s="395"/>
      <c r="J199" s="395"/>
      <c r="K199" s="395"/>
      <c r="L199" s="395"/>
      <c r="M199" s="395"/>
      <c r="N199" s="395"/>
      <c r="O199" s="395"/>
      <c r="P199" s="395"/>
      <c r="Q199" s="395"/>
      <c r="R199" s="395"/>
      <c r="S199" s="395"/>
      <c r="T199" s="395"/>
      <c r="U199" s="395"/>
      <c r="V199" s="395"/>
      <c r="W199" s="395"/>
      <c r="X199" s="395"/>
      <c r="Y199" s="395"/>
      <c r="Z199" s="395"/>
      <c r="AA199" s="395"/>
      <c r="AB199" s="395"/>
      <c r="AC199" s="395"/>
      <c r="AD199" s="395"/>
      <c r="AE199" s="395"/>
      <c r="AF199" s="395"/>
      <c r="AG199" s="395"/>
      <c r="AH199" s="395"/>
      <c r="AI199" s="395"/>
      <c r="AJ199" s="395"/>
      <c r="AK199" s="395"/>
      <c r="AL199" s="395"/>
      <c r="AM199" s="395"/>
      <c r="AN199" s="395"/>
      <c r="AO199" s="395"/>
      <c r="AP199" s="395"/>
      <c r="AQ199" s="395"/>
      <c r="AR199" s="395"/>
      <c r="AS199" s="395"/>
      <c r="AT199" s="395"/>
      <c r="AU199" s="395"/>
      <c r="AV199" s="395"/>
      <c r="AW199" s="395"/>
      <c r="AX199" s="395"/>
      <c r="AY199" s="395"/>
      <c r="AZ199" s="395"/>
      <c r="BA199" s="395"/>
      <c r="BB199" s="395"/>
      <c r="BC199" s="395"/>
      <c r="BD199" s="395"/>
      <c r="BE199" s="395"/>
      <c r="BF199" s="395"/>
      <c r="BG199" s="395"/>
      <c r="BH199" s="395"/>
      <c r="BI199" s="395"/>
      <c r="BJ199" s="395"/>
      <c r="BK199" s="395"/>
      <c r="BL199" s="395"/>
      <c r="BM199" s="395"/>
      <c r="BN199" s="395"/>
      <c r="BO199" s="395"/>
      <c r="BP199" s="395"/>
      <c r="BQ199" s="395"/>
      <c r="BR199" s="395"/>
      <c r="BS199" s="395"/>
      <c r="BT199" s="395"/>
      <c r="BU199" s="395"/>
    </row>
    <row r="200" spans="1:73" s="401" customFormat="1" ht="29.25" customHeight="1" thickBot="1">
      <c r="A200" s="638" t="s">
        <v>653</v>
      </c>
      <c r="B200" s="398"/>
      <c r="C200" s="399"/>
      <c r="D200" s="543"/>
      <c r="E200" s="543"/>
      <c r="F200" s="569"/>
      <c r="G200" s="400"/>
      <c r="H200" s="400"/>
      <c r="I200" s="400"/>
      <c r="J200" s="400"/>
      <c r="K200" s="400"/>
      <c r="L200" s="400"/>
      <c r="M200" s="400"/>
      <c r="N200" s="400"/>
      <c r="O200" s="400"/>
      <c r="P200" s="400"/>
      <c r="Q200" s="400"/>
      <c r="R200" s="400"/>
      <c r="S200" s="400"/>
      <c r="T200" s="400"/>
      <c r="U200" s="400"/>
      <c r="V200" s="400"/>
      <c r="W200" s="400"/>
      <c r="X200" s="400"/>
      <c r="Y200" s="400"/>
      <c r="Z200" s="400"/>
      <c r="AA200" s="400"/>
      <c r="AB200" s="400"/>
      <c r="AC200" s="400"/>
      <c r="AD200" s="400"/>
      <c r="AE200" s="400"/>
      <c r="AF200" s="400"/>
      <c r="AG200" s="400"/>
      <c r="AH200" s="400"/>
      <c r="AI200" s="400"/>
      <c r="AJ200" s="400"/>
      <c r="AK200" s="400"/>
      <c r="AL200" s="400"/>
      <c r="AM200" s="400"/>
      <c r="AN200" s="400"/>
      <c r="AO200" s="400"/>
      <c r="AP200" s="400"/>
      <c r="AQ200" s="400"/>
      <c r="AR200" s="400"/>
      <c r="AS200" s="400"/>
      <c r="AT200" s="400"/>
      <c r="AU200" s="400"/>
      <c r="AV200" s="400"/>
      <c r="AW200" s="400"/>
      <c r="AX200" s="400"/>
      <c r="AY200" s="400"/>
      <c r="AZ200" s="400"/>
      <c r="BA200" s="400"/>
      <c r="BB200" s="400"/>
      <c r="BC200" s="400"/>
      <c r="BD200" s="400"/>
      <c r="BE200" s="400"/>
      <c r="BF200" s="400"/>
      <c r="BG200" s="400"/>
      <c r="BH200" s="400"/>
      <c r="BI200" s="400"/>
      <c r="BJ200" s="400"/>
      <c r="BK200" s="400"/>
      <c r="BL200" s="400"/>
      <c r="BM200" s="400"/>
      <c r="BN200" s="400"/>
      <c r="BO200" s="400"/>
      <c r="BP200" s="400"/>
      <c r="BQ200" s="400"/>
      <c r="BR200" s="400"/>
      <c r="BS200" s="400"/>
      <c r="BT200" s="400"/>
      <c r="BU200" s="400"/>
    </row>
    <row r="201" spans="1:73" s="396" customFormat="1" ht="24.75" customHeight="1" thickBot="1">
      <c r="A201" s="397" t="s">
        <v>909</v>
      </c>
      <c r="B201" s="393">
        <f>1000000-1000000</f>
        <v>0</v>
      </c>
      <c r="C201" s="399"/>
      <c r="D201" s="543"/>
      <c r="E201" s="543"/>
      <c r="F201" s="569"/>
      <c r="G201" s="395"/>
      <c r="H201" s="395"/>
      <c r="I201" s="395"/>
      <c r="J201" s="395"/>
      <c r="K201" s="395"/>
      <c r="L201" s="395"/>
      <c r="M201" s="395"/>
      <c r="N201" s="395"/>
      <c r="O201" s="395"/>
      <c r="P201" s="395"/>
      <c r="Q201" s="395"/>
      <c r="R201" s="395"/>
      <c r="S201" s="395"/>
      <c r="T201" s="395"/>
      <c r="U201" s="395"/>
      <c r="V201" s="395"/>
      <c r="W201" s="395"/>
      <c r="X201" s="395"/>
      <c r="Y201" s="395"/>
      <c r="Z201" s="395"/>
      <c r="AA201" s="395"/>
      <c r="AB201" s="395"/>
      <c r="AC201" s="395"/>
      <c r="AD201" s="395"/>
      <c r="AE201" s="395"/>
      <c r="AF201" s="395"/>
      <c r="AG201" s="395"/>
      <c r="AH201" s="395"/>
      <c r="AI201" s="395"/>
      <c r="AJ201" s="395"/>
      <c r="AK201" s="395"/>
      <c r="AL201" s="395"/>
      <c r="AM201" s="395"/>
      <c r="AN201" s="395"/>
      <c r="AO201" s="395"/>
      <c r="AP201" s="395"/>
      <c r="AQ201" s="395"/>
      <c r="AR201" s="395"/>
      <c r="AS201" s="395"/>
      <c r="AT201" s="395"/>
      <c r="AU201" s="395"/>
      <c r="AV201" s="395"/>
      <c r="AW201" s="395"/>
      <c r="AX201" s="395"/>
      <c r="AY201" s="395"/>
      <c r="AZ201" s="395"/>
      <c r="BA201" s="395"/>
      <c r="BB201" s="395"/>
      <c r="BC201" s="395"/>
      <c r="BD201" s="395"/>
      <c r="BE201" s="395"/>
      <c r="BF201" s="395"/>
      <c r="BG201" s="395"/>
      <c r="BH201" s="395"/>
      <c r="BI201" s="395"/>
      <c r="BJ201" s="395"/>
      <c r="BK201" s="395"/>
      <c r="BL201" s="395"/>
      <c r="BM201" s="395"/>
      <c r="BN201" s="395"/>
      <c r="BO201" s="395"/>
      <c r="BP201" s="395"/>
      <c r="BQ201" s="395"/>
      <c r="BR201" s="395"/>
      <c r="BS201" s="395"/>
      <c r="BT201" s="395"/>
      <c r="BU201" s="395"/>
    </row>
    <row r="202" spans="1:73" s="396" customFormat="1" ht="24.75" customHeight="1" thickBot="1">
      <c r="A202" s="397" t="s">
        <v>655</v>
      </c>
      <c r="B202" s="393">
        <f>1000000-1000000</f>
        <v>0</v>
      </c>
      <c r="C202" s="399"/>
      <c r="D202" s="543"/>
      <c r="E202" s="543"/>
      <c r="F202" s="569"/>
      <c r="G202" s="395"/>
      <c r="H202" s="395"/>
      <c r="I202" s="395"/>
      <c r="J202" s="395"/>
      <c r="K202" s="395"/>
      <c r="L202" s="395"/>
      <c r="M202" s="395"/>
      <c r="N202" s="395"/>
      <c r="O202" s="395"/>
      <c r="P202" s="395"/>
      <c r="Q202" s="395"/>
      <c r="R202" s="395"/>
      <c r="S202" s="395"/>
      <c r="T202" s="395"/>
      <c r="U202" s="395"/>
      <c r="V202" s="395"/>
      <c r="W202" s="395"/>
      <c r="X202" s="395"/>
      <c r="Y202" s="395"/>
      <c r="Z202" s="395"/>
      <c r="AA202" s="395"/>
      <c r="AB202" s="395"/>
      <c r="AC202" s="395"/>
      <c r="AD202" s="395"/>
      <c r="AE202" s="395"/>
      <c r="AF202" s="395"/>
      <c r="AG202" s="395"/>
      <c r="AH202" s="395"/>
      <c r="AI202" s="395"/>
      <c r="AJ202" s="395"/>
      <c r="AK202" s="395"/>
      <c r="AL202" s="395"/>
      <c r="AM202" s="395"/>
      <c r="AN202" s="395"/>
      <c r="AO202" s="395"/>
      <c r="AP202" s="395"/>
      <c r="AQ202" s="395"/>
      <c r="AR202" s="395"/>
      <c r="AS202" s="395"/>
      <c r="AT202" s="395"/>
      <c r="AU202" s="395"/>
      <c r="AV202" s="395"/>
      <c r="AW202" s="395"/>
      <c r="AX202" s="395"/>
      <c r="AY202" s="395"/>
      <c r="AZ202" s="395"/>
      <c r="BA202" s="395"/>
      <c r="BB202" s="395"/>
      <c r="BC202" s="395"/>
      <c r="BD202" s="395"/>
      <c r="BE202" s="395"/>
      <c r="BF202" s="395"/>
      <c r="BG202" s="395"/>
      <c r="BH202" s="395"/>
      <c r="BI202" s="395"/>
      <c r="BJ202" s="395"/>
      <c r="BK202" s="395"/>
      <c r="BL202" s="395"/>
      <c r="BM202" s="395"/>
      <c r="BN202" s="395"/>
      <c r="BO202" s="395"/>
      <c r="BP202" s="395"/>
      <c r="BQ202" s="395"/>
      <c r="BR202" s="395"/>
      <c r="BS202" s="395"/>
      <c r="BT202" s="395"/>
      <c r="BU202" s="395"/>
    </row>
    <row r="203" spans="1:73" s="401" customFormat="1" ht="35.25" customHeight="1" thickBot="1">
      <c r="A203" s="669" t="s">
        <v>665</v>
      </c>
      <c r="B203" s="671">
        <f>16000000-16000000</f>
        <v>0</v>
      </c>
      <c r="C203" s="399">
        <v>0</v>
      </c>
      <c r="D203" s="543"/>
      <c r="E203" s="543"/>
      <c r="F203" s="569"/>
      <c r="G203" s="400"/>
      <c r="H203" s="400"/>
      <c r="I203" s="400"/>
      <c r="J203" s="400"/>
      <c r="K203" s="400"/>
      <c r="L203" s="400"/>
      <c r="M203" s="400"/>
      <c r="N203" s="400"/>
      <c r="O203" s="400"/>
      <c r="P203" s="400"/>
      <c r="Q203" s="400"/>
      <c r="R203" s="400"/>
      <c r="S203" s="400"/>
      <c r="T203" s="400"/>
      <c r="U203" s="400"/>
      <c r="V203" s="400"/>
      <c r="W203" s="400"/>
      <c r="X203" s="400"/>
      <c r="Y203" s="400"/>
      <c r="Z203" s="400"/>
      <c r="AA203" s="400"/>
      <c r="AB203" s="400"/>
      <c r="AC203" s="400"/>
      <c r="AD203" s="400"/>
      <c r="AE203" s="400"/>
      <c r="AF203" s="400"/>
      <c r="AG203" s="400"/>
      <c r="AH203" s="400"/>
      <c r="AI203" s="400"/>
      <c r="AJ203" s="400"/>
      <c r="AK203" s="400"/>
      <c r="AL203" s="400"/>
      <c r="AM203" s="400"/>
      <c r="AN203" s="400"/>
      <c r="AO203" s="400"/>
      <c r="AP203" s="400"/>
      <c r="AQ203" s="400"/>
      <c r="AR203" s="400"/>
      <c r="AS203" s="400"/>
      <c r="AT203" s="400"/>
      <c r="AU203" s="400"/>
      <c r="AV203" s="400"/>
      <c r="AW203" s="400"/>
      <c r="AX203" s="400"/>
      <c r="AY203" s="400"/>
      <c r="AZ203" s="400"/>
      <c r="BA203" s="400"/>
      <c r="BB203" s="400"/>
      <c r="BC203" s="400"/>
      <c r="BD203" s="400"/>
      <c r="BE203" s="400"/>
      <c r="BF203" s="400"/>
      <c r="BG203" s="400"/>
      <c r="BH203" s="400"/>
      <c r="BI203" s="400"/>
      <c r="BJ203" s="400"/>
      <c r="BK203" s="400"/>
      <c r="BL203" s="400"/>
      <c r="BM203" s="400"/>
      <c r="BN203" s="400"/>
      <c r="BO203" s="400"/>
      <c r="BP203" s="400"/>
      <c r="BQ203" s="400"/>
      <c r="BR203" s="400"/>
      <c r="BS203" s="400"/>
      <c r="BT203" s="400"/>
      <c r="BU203" s="400"/>
    </row>
    <row r="204" spans="1:73" s="401" customFormat="1" ht="52.5" customHeight="1" thickBot="1">
      <c r="A204" s="404" t="s">
        <v>504</v>
      </c>
      <c r="B204" s="681">
        <f>-1600000+1000000+2000000-1000000-400000</f>
        <v>0</v>
      </c>
      <c r="C204" s="403"/>
      <c r="D204" s="650"/>
      <c r="E204" s="650"/>
      <c r="F204" s="699"/>
      <c r="G204" s="400"/>
      <c r="H204" s="400"/>
      <c r="I204" s="400"/>
      <c r="J204" s="400"/>
      <c r="K204" s="400"/>
      <c r="L204" s="400"/>
      <c r="M204" s="400"/>
      <c r="N204" s="400"/>
      <c r="O204" s="400"/>
      <c r="P204" s="400"/>
      <c r="Q204" s="400"/>
      <c r="R204" s="400"/>
      <c r="S204" s="400"/>
      <c r="T204" s="400"/>
      <c r="U204" s="400"/>
      <c r="V204" s="400"/>
      <c r="W204" s="400"/>
      <c r="X204" s="400"/>
      <c r="Y204" s="400"/>
      <c r="Z204" s="400"/>
      <c r="AA204" s="400"/>
      <c r="AB204" s="400"/>
      <c r="AC204" s="400"/>
      <c r="AD204" s="400"/>
      <c r="AE204" s="400"/>
      <c r="AF204" s="400"/>
      <c r="AG204" s="400"/>
      <c r="AH204" s="400"/>
      <c r="AI204" s="400"/>
      <c r="AJ204" s="400"/>
      <c r="AK204" s="400"/>
      <c r="AL204" s="400"/>
      <c r="AM204" s="400"/>
      <c r="AN204" s="400"/>
      <c r="AO204" s="400"/>
      <c r="AP204" s="400"/>
      <c r="AQ204" s="400"/>
      <c r="AR204" s="400"/>
      <c r="AS204" s="400"/>
      <c r="AT204" s="400"/>
      <c r="AU204" s="400"/>
      <c r="AV204" s="400"/>
      <c r="AW204" s="400"/>
      <c r="AX204" s="400"/>
      <c r="AY204" s="400"/>
      <c r="AZ204" s="400"/>
      <c r="BA204" s="400"/>
      <c r="BB204" s="400"/>
      <c r="BC204" s="400"/>
      <c r="BD204" s="400"/>
      <c r="BE204" s="400"/>
      <c r="BF204" s="400"/>
      <c r="BG204" s="400"/>
      <c r="BH204" s="400"/>
      <c r="BI204" s="400"/>
      <c r="BJ204" s="400"/>
      <c r="BK204" s="400"/>
      <c r="BL204" s="400"/>
      <c r="BM204" s="400"/>
      <c r="BN204" s="400"/>
      <c r="BO204" s="400"/>
      <c r="BP204" s="400"/>
      <c r="BQ204" s="400"/>
      <c r="BR204" s="400"/>
      <c r="BS204" s="400"/>
      <c r="BT204" s="400"/>
      <c r="BU204" s="400"/>
    </row>
    <row r="205" spans="1:73" s="541" customFormat="1" ht="44.25" customHeight="1" thickBot="1">
      <c r="A205" s="678" t="s">
        <v>524</v>
      </c>
      <c r="B205" s="679"/>
      <c r="C205" s="680">
        <f>SUM(C155:C196)</f>
        <v>1774724646</v>
      </c>
      <c r="D205" s="680">
        <f>SUM(D155:D204)</f>
        <v>2822031913</v>
      </c>
      <c r="E205" s="680">
        <f>SUM(E155:E204)</f>
        <v>1032152188</v>
      </c>
      <c r="F205" s="706">
        <f>E205/D205</f>
        <v>0.36574787947835657</v>
      </c>
      <c r="G205" s="278"/>
      <c r="H205" s="540"/>
      <c r="I205" s="540"/>
      <c r="J205" s="540"/>
      <c r="K205" s="540"/>
      <c r="L205" s="540"/>
      <c r="M205" s="540"/>
      <c r="N205" s="540"/>
      <c r="O205" s="540"/>
      <c r="P205" s="540"/>
      <c r="Q205" s="540"/>
      <c r="R205" s="540"/>
      <c r="S205" s="540"/>
      <c r="T205" s="540"/>
      <c r="U205" s="540"/>
      <c r="V205" s="540"/>
      <c r="W205" s="540"/>
      <c r="X205" s="540"/>
      <c r="Y205" s="540"/>
      <c r="Z205" s="540"/>
      <c r="AA205" s="540"/>
      <c r="AB205" s="540"/>
      <c r="AC205" s="540"/>
      <c r="AD205" s="540"/>
      <c r="AE205" s="540"/>
      <c r="AF205" s="540"/>
      <c r="AG205" s="540"/>
      <c r="AH205" s="540"/>
      <c r="AI205" s="540"/>
      <c r="AJ205" s="540"/>
      <c r="AK205" s="540"/>
      <c r="AL205" s="540"/>
      <c r="AM205" s="540"/>
      <c r="AN205" s="540"/>
      <c r="AO205" s="540"/>
      <c r="AP205" s="540"/>
      <c r="AQ205" s="540"/>
      <c r="AR205" s="540"/>
      <c r="AS205" s="540"/>
      <c r="AT205" s="540"/>
      <c r="AU205" s="540"/>
      <c r="AV205" s="540"/>
      <c r="AW205" s="540"/>
      <c r="AX205" s="540"/>
      <c r="AY205" s="540"/>
      <c r="AZ205" s="540"/>
      <c r="BA205" s="540"/>
      <c r="BB205" s="540"/>
      <c r="BC205" s="540"/>
      <c r="BD205" s="540"/>
      <c r="BE205" s="540"/>
      <c r="BF205" s="540"/>
      <c r="BG205" s="540"/>
      <c r="BH205" s="540"/>
      <c r="BI205" s="540"/>
      <c r="BJ205" s="540"/>
      <c r="BK205" s="540"/>
      <c r="BL205" s="540"/>
      <c r="BM205" s="540"/>
      <c r="BN205" s="540"/>
      <c r="BO205" s="540"/>
      <c r="BP205" s="540"/>
      <c r="BQ205" s="540"/>
      <c r="BR205" s="540"/>
      <c r="BS205" s="540"/>
      <c r="BT205" s="540"/>
      <c r="BU205" s="540"/>
    </row>
    <row r="206" spans="1:73" s="435" customFormat="1" ht="44.25" customHeight="1" thickBot="1">
      <c r="A206" s="684"/>
      <c r="B206" s="688"/>
      <c r="C206" s="686"/>
      <c r="D206" s="687"/>
      <c r="E206" s="687"/>
      <c r="F206" s="709"/>
      <c r="G206" s="278"/>
      <c r="H206" s="278"/>
      <c r="I206" s="278"/>
      <c r="J206" s="278"/>
      <c r="K206" s="278"/>
      <c r="L206" s="278"/>
      <c r="M206" s="278"/>
      <c r="N206" s="278"/>
      <c r="O206" s="278"/>
      <c r="P206" s="278"/>
      <c r="Q206" s="278"/>
      <c r="R206" s="278"/>
      <c r="S206" s="278"/>
      <c r="T206" s="278"/>
      <c r="U206" s="278"/>
      <c r="V206" s="278"/>
      <c r="W206" s="278"/>
      <c r="X206" s="278"/>
      <c r="Y206" s="278"/>
      <c r="Z206" s="278"/>
      <c r="AA206" s="278"/>
      <c r="AB206" s="278"/>
      <c r="AC206" s="278"/>
      <c r="AD206" s="278"/>
      <c r="AE206" s="278"/>
      <c r="AF206" s="278"/>
      <c r="AG206" s="278"/>
      <c r="AH206" s="278"/>
      <c r="AI206" s="278"/>
      <c r="AJ206" s="278"/>
      <c r="AK206" s="278"/>
      <c r="AL206" s="278"/>
      <c r="AM206" s="278"/>
      <c r="AN206" s="278"/>
      <c r="AO206" s="278"/>
      <c r="AP206" s="278"/>
      <c r="AQ206" s="278"/>
      <c r="AR206" s="278"/>
      <c r="AS206" s="278"/>
      <c r="AT206" s="278"/>
      <c r="AU206" s="278"/>
      <c r="AV206" s="278"/>
      <c r="AW206" s="278"/>
      <c r="AX206" s="278"/>
      <c r="AY206" s="278"/>
      <c r="AZ206" s="278"/>
      <c r="BA206" s="278"/>
      <c r="BB206" s="278"/>
      <c r="BC206" s="278"/>
      <c r="BD206" s="278"/>
      <c r="BE206" s="278"/>
      <c r="BF206" s="278"/>
      <c r="BG206" s="278"/>
      <c r="BH206" s="278"/>
      <c r="BI206" s="278"/>
      <c r="BJ206" s="278"/>
      <c r="BK206" s="278"/>
      <c r="BL206" s="278"/>
      <c r="BM206" s="278"/>
      <c r="BN206" s="278"/>
      <c r="BO206" s="278"/>
      <c r="BP206" s="278"/>
      <c r="BQ206" s="278"/>
      <c r="BR206" s="278"/>
      <c r="BS206" s="278"/>
      <c r="BT206" s="278"/>
      <c r="BU206" s="278"/>
    </row>
    <row r="207" spans="1:73" s="541" customFormat="1" ht="66.75" customHeight="1" thickBot="1">
      <c r="A207" s="537" t="s">
        <v>456</v>
      </c>
      <c r="B207" s="550"/>
      <c r="C207" s="539" t="s">
        <v>343</v>
      </c>
      <c r="D207" s="673" t="s">
        <v>344</v>
      </c>
      <c r="E207" s="673" t="s">
        <v>285</v>
      </c>
      <c r="F207" s="704" t="s">
        <v>286</v>
      </c>
      <c r="G207" s="278"/>
      <c r="H207" s="540"/>
      <c r="I207" s="540"/>
      <c r="J207" s="540"/>
      <c r="K207" s="540"/>
      <c r="L207" s="540"/>
      <c r="M207" s="540"/>
      <c r="N207" s="540"/>
      <c r="O207" s="540"/>
      <c r="P207" s="540"/>
      <c r="Q207" s="540"/>
      <c r="R207" s="540"/>
      <c r="S207" s="540"/>
      <c r="T207" s="540"/>
      <c r="U207" s="540"/>
      <c r="V207" s="540"/>
      <c r="W207" s="540"/>
      <c r="X207" s="540"/>
      <c r="Y207" s="540"/>
      <c r="Z207" s="540"/>
      <c r="AA207" s="540"/>
      <c r="AB207" s="540"/>
      <c r="AC207" s="540"/>
      <c r="AD207" s="540"/>
      <c r="AE207" s="540"/>
      <c r="AF207" s="540"/>
      <c r="AG207" s="540"/>
      <c r="AH207" s="540"/>
      <c r="AI207" s="540"/>
      <c r="AJ207" s="540"/>
      <c r="AK207" s="540"/>
      <c r="AL207" s="540"/>
      <c r="AM207" s="540"/>
      <c r="AN207" s="540"/>
      <c r="AO207" s="540"/>
      <c r="AP207" s="540"/>
      <c r="AQ207" s="540"/>
      <c r="AR207" s="540"/>
      <c r="AS207" s="540"/>
      <c r="AT207" s="540"/>
      <c r="AU207" s="540"/>
      <c r="AV207" s="540"/>
      <c r="AW207" s="540"/>
      <c r="AX207" s="540"/>
      <c r="AY207" s="540"/>
      <c r="AZ207" s="540"/>
      <c r="BA207" s="540"/>
      <c r="BB207" s="540"/>
      <c r="BC207" s="540"/>
      <c r="BD207" s="540"/>
      <c r="BE207" s="540"/>
      <c r="BF207" s="540"/>
      <c r="BG207" s="540"/>
      <c r="BH207" s="540"/>
      <c r="BI207" s="540"/>
      <c r="BJ207" s="540"/>
      <c r="BK207" s="540"/>
      <c r="BL207" s="540"/>
      <c r="BM207" s="540"/>
      <c r="BN207" s="540"/>
      <c r="BO207" s="540"/>
      <c r="BP207" s="540"/>
      <c r="BQ207" s="540"/>
      <c r="BR207" s="540"/>
      <c r="BS207" s="540"/>
      <c r="BT207" s="540"/>
      <c r="BU207" s="540"/>
    </row>
    <row r="208" spans="1:73" s="541" customFormat="1" ht="44.25" customHeight="1" thickBot="1">
      <c r="A208" s="674" t="s">
        <v>525</v>
      </c>
      <c r="B208" s="682"/>
      <c r="C208" s="676"/>
      <c r="D208" s="676"/>
      <c r="E208" s="676"/>
      <c r="F208" s="705"/>
      <c r="G208" s="278"/>
      <c r="H208" s="540"/>
      <c r="I208" s="540"/>
      <c r="J208" s="540"/>
      <c r="K208" s="540"/>
      <c r="L208" s="540"/>
      <c r="M208" s="540"/>
      <c r="N208" s="540"/>
      <c r="O208" s="540"/>
      <c r="P208" s="540"/>
      <c r="Q208" s="540"/>
      <c r="R208" s="540"/>
      <c r="S208" s="540"/>
      <c r="T208" s="540"/>
      <c r="U208" s="540"/>
      <c r="V208" s="540"/>
      <c r="W208" s="540"/>
      <c r="X208" s="540"/>
      <c r="Y208" s="540"/>
      <c r="Z208" s="540"/>
      <c r="AA208" s="540"/>
      <c r="AB208" s="540"/>
      <c r="AC208" s="540"/>
      <c r="AD208" s="540"/>
      <c r="AE208" s="540"/>
      <c r="AF208" s="540"/>
      <c r="AG208" s="540"/>
      <c r="AH208" s="540"/>
      <c r="AI208" s="540"/>
      <c r="AJ208" s="540"/>
      <c r="AK208" s="540"/>
      <c r="AL208" s="540"/>
      <c r="AM208" s="540"/>
      <c r="AN208" s="540"/>
      <c r="AO208" s="540"/>
      <c r="AP208" s="540"/>
      <c r="AQ208" s="540"/>
      <c r="AR208" s="540"/>
      <c r="AS208" s="540"/>
      <c r="AT208" s="540"/>
      <c r="AU208" s="540"/>
      <c r="AV208" s="540"/>
      <c r="AW208" s="540"/>
      <c r="AX208" s="540"/>
      <c r="AY208" s="540"/>
      <c r="AZ208" s="540"/>
      <c r="BA208" s="540"/>
      <c r="BB208" s="540"/>
      <c r="BC208" s="540"/>
      <c r="BD208" s="540"/>
      <c r="BE208" s="540"/>
      <c r="BF208" s="540"/>
      <c r="BG208" s="540"/>
      <c r="BH208" s="540"/>
      <c r="BI208" s="540"/>
      <c r="BJ208" s="540"/>
      <c r="BK208" s="540"/>
      <c r="BL208" s="540"/>
      <c r="BM208" s="540"/>
      <c r="BN208" s="540"/>
      <c r="BO208" s="540"/>
      <c r="BP208" s="540"/>
      <c r="BQ208" s="540"/>
      <c r="BR208" s="540"/>
      <c r="BS208" s="540"/>
      <c r="BT208" s="540"/>
      <c r="BU208" s="540"/>
    </row>
    <row r="209" spans="1:125" s="396" customFormat="1" ht="29.25" customHeight="1" thickBot="1">
      <c r="A209" s="638" t="s">
        <v>458</v>
      </c>
      <c r="B209" s="393"/>
      <c r="C209" s="399">
        <v>6540000</v>
      </c>
      <c r="D209" s="543">
        <f>SUM(B210:B211)</f>
        <v>2540000</v>
      </c>
      <c r="E209" s="543">
        <v>1693791</v>
      </c>
      <c r="F209" s="569">
        <f t="shared" ref="F209" si="25">E209/D209</f>
        <v>0.66684685039370084</v>
      </c>
      <c r="G209" s="395"/>
      <c r="H209" s="395"/>
      <c r="I209" s="395"/>
      <c r="J209" s="395"/>
      <c r="K209" s="395"/>
      <c r="L209" s="395"/>
      <c r="M209" s="395"/>
      <c r="N209" s="395"/>
      <c r="O209" s="395"/>
      <c r="P209" s="395"/>
      <c r="Q209" s="395"/>
      <c r="R209" s="395"/>
      <c r="S209" s="395"/>
      <c r="T209" s="395"/>
      <c r="U209" s="395"/>
      <c r="V209" s="395"/>
      <c r="W209" s="395"/>
      <c r="X209" s="395"/>
      <c r="Y209" s="395"/>
      <c r="Z209" s="395"/>
      <c r="AA209" s="395"/>
      <c r="AB209" s="395"/>
      <c r="AC209" s="395"/>
      <c r="AD209" s="395"/>
      <c r="AE209" s="395"/>
      <c r="AF209" s="395"/>
      <c r="AG209" s="395"/>
      <c r="AH209" s="395"/>
      <c r="AI209" s="395"/>
      <c r="AJ209" s="395"/>
      <c r="AK209" s="395"/>
      <c r="AL209" s="395"/>
      <c r="AM209" s="395"/>
      <c r="AN209" s="395"/>
      <c r="AO209" s="395"/>
      <c r="AP209" s="395"/>
      <c r="AQ209" s="395"/>
      <c r="AR209" s="395"/>
      <c r="AS209" s="395"/>
      <c r="AT209" s="395"/>
      <c r="AU209" s="395"/>
      <c r="AV209" s="395"/>
      <c r="AW209" s="395"/>
      <c r="AX209" s="395"/>
      <c r="AY209" s="395"/>
      <c r="AZ209" s="395"/>
      <c r="BA209" s="395"/>
      <c r="BB209" s="395"/>
      <c r="BC209" s="395"/>
      <c r="BD209" s="395"/>
      <c r="BE209" s="395"/>
      <c r="BF209" s="395"/>
      <c r="BG209" s="395"/>
      <c r="BH209" s="395"/>
      <c r="BI209" s="395"/>
      <c r="BJ209" s="395"/>
      <c r="BK209" s="395"/>
      <c r="BL209" s="395"/>
      <c r="BM209" s="395"/>
      <c r="BN209" s="395"/>
      <c r="BO209" s="395"/>
      <c r="BP209" s="395"/>
      <c r="BQ209" s="395"/>
      <c r="BR209" s="395"/>
      <c r="BS209" s="395"/>
      <c r="BT209" s="395"/>
      <c r="BU209" s="395"/>
    </row>
    <row r="210" spans="1:125" s="396" customFormat="1" ht="27.75" customHeight="1" thickBot="1">
      <c r="A210" s="397" t="s">
        <v>837</v>
      </c>
      <c r="B210" s="425">
        <f>4000000-4000000</f>
        <v>0</v>
      </c>
      <c r="C210" s="399"/>
      <c r="D210" s="543"/>
      <c r="E210" s="543"/>
      <c r="F210" s="569"/>
      <c r="G210" s="395"/>
      <c r="H210" s="395"/>
      <c r="I210" s="395"/>
      <c r="J210" s="395"/>
      <c r="K210" s="395"/>
      <c r="L210" s="395"/>
      <c r="M210" s="395"/>
      <c r="N210" s="395"/>
      <c r="O210" s="395"/>
      <c r="P210" s="395"/>
      <c r="Q210" s="395"/>
      <c r="R210" s="395"/>
      <c r="S210" s="395"/>
      <c r="T210" s="395"/>
      <c r="U210" s="395"/>
      <c r="V210" s="395"/>
      <c r="W210" s="395"/>
      <c r="X210" s="395"/>
      <c r="Y210" s="395"/>
      <c r="Z210" s="395"/>
      <c r="AA210" s="395"/>
      <c r="AB210" s="395"/>
      <c r="AC210" s="395"/>
      <c r="AD210" s="395"/>
      <c r="AE210" s="395"/>
      <c r="AF210" s="395"/>
      <c r="AG210" s="395"/>
      <c r="AH210" s="395"/>
      <c r="AI210" s="395"/>
      <c r="AJ210" s="395"/>
      <c r="AK210" s="395"/>
      <c r="AL210" s="395"/>
      <c r="AM210" s="395"/>
      <c r="AN210" s="395"/>
      <c r="AO210" s="395"/>
      <c r="AP210" s="395"/>
      <c r="AQ210" s="395"/>
      <c r="AR210" s="395"/>
      <c r="AS210" s="395"/>
      <c r="AT210" s="395"/>
      <c r="AU210" s="395"/>
      <c r="AV210" s="395"/>
      <c r="AW210" s="395"/>
      <c r="AX210" s="395"/>
      <c r="AY210" s="395"/>
      <c r="AZ210" s="395"/>
      <c r="BA210" s="395"/>
      <c r="BB210" s="395"/>
      <c r="BC210" s="395"/>
      <c r="BD210" s="395"/>
      <c r="BE210" s="395"/>
      <c r="BF210" s="395"/>
      <c r="BG210" s="395"/>
      <c r="BH210" s="395"/>
      <c r="BI210" s="395"/>
      <c r="BJ210" s="395"/>
      <c r="BK210" s="395"/>
      <c r="BL210" s="395"/>
      <c r="BM210" s="395"/>
      <c r="BN210" s="395"/>
      <c r="BO210" s="395"/>
      <c r="BP210" s="395"/>
      <c r="BQ210" s="395"/>
      <c r="BR210" s="395"/>
      <c r="BS210" s="395"/>
      <c r="BT210" s="395"/>
      <c r="BU210" s="395"/>
    </row>
    <row r="211" spans="1:125" s="435" customFormat="1" ht="21" customHeight="1" thickBot="1">
      <c r="A211" s="397" t="s">
        <v>646</v>
      </c>
      <c r="B211" s="425">
        <v>2540000</v>
      </c>
      <c r="C211" s="543"/>
      <c r="D211" s="543"/>
      <c r="E211" s="543"/>
      <c r="F211" s="569"/>
      <c r="G211" s="278"/>
      <c r="H211" s="278"/>
      <c r="I211" s="278"/>
      <c r="J211" s="278"/>
      <c r="K211" s="278"/>
      <c r="L211" s="278"/>
      <c r="M211" s="278"/>
      <c r="N211" s="278"/>
      <c r="O211" s="278"/>
      <c r="P211" s="278"/>
      <c r="Q211" s="278"/>
      <c r="R211" s="278"/>
      <c r="S211" s="278"/>
      <c r="T211" s="278"/>
      <c r="U211" s="278"/>
      <c r="V211" s="278"/>
      <c r="W211" s="278"/>
      <c r="X211" s="278"/>
      <c r="Y211" s="278"/>
      <c r="Z211" s="278"/>
      <c r="AA211" s="278"/>
      <c r="AB211" s="278"/>
      <c r="AC211" s="278"/>
      <c r="AD211" s="278"/>
      <c r="AE211" s="278"/>
      <c r="AF211" s="278"/>
      <c r="AG211" s="278"/>
      <c r="AH211" s="278"/>
      <c r="AI211" s="278"/>
      <c r="AJ211" s="278"/>
      <c r="AK211" s="278"/>
      <c r="AL211" s="278"/>
      <c r="AM211" s="278"/>
      <c r="AN211" s="278"/>
      <c r="AO211" s="434"/>
      <c r="AP211" s="544"/>
      <c r="AQ211" s="278"/>
      <c r="AR211" s="278"/>
      <c r="AS211" s="278"/>
      <c r="AT211" s="278"/>
      <c r="AU211" s="278"/>
      <c r="AV211" s="278"/>
      <c r="AW211" s="278"/>
      <c r="AX211" s="278"/>
      <c r="AY211" s="278"/>
      <c r="AZ211" s="278"/>
      <c r="BA211" s="278"/>
      <c r="BB211" s="278"/>
      <c r="BC211" s="278"/>
      <c r="BD211" s="278"/>
      <c r="BE211" s="278"/>
      <c r="BF211" s="278"/>
      <c r="BG211" s="278"/>
      <c r="BH211" s="278"/>
      <c r="BI211" s="278"/>
      <c r="BJ211" s="278"/>
      <c r="BK211" s="278"/>
      <c r="BL211" s="278"/>
      <c r="BM211" s="278"/>
      <c r="BN211" s="278"/>
      <c r="BO211" s="278"/>
      <c r="BP211" s="278"/>
      <c r="BQ211" s="278"/>
      <c r="BR211" s="278"/>
      <c r="BS211" s="278"/>
      <c r="BT211" s="278"/>
      <c r="BU211" s="278"/>
      <c r="BV211" s="278"/>
      <c r="BW211" s="278"/>
      <c r="BX211" s="278"/>
      <c r="BY211" s="278"/>
      <c r="BZ211" s="278"/>
      <c r="CA211" s="278"/>
      <c r="CB211" s="278"/>
      <c r="CC211" s="278"/>
      <c r="CD211" s="278"/>
      <c r="CE211" s="278"/>
      <c r="CF211" s="278"/>
      <c r="CG211" s="278"/>
      <c r="CH211" s="278"/>
      <c r="CI211" s="278"/>
      <c r="CJ211" s="278"/>
      <c r="CK211" s="278"/>
      <c r="CL211" s="278"/>
      <c r="CM211" s="278"/>
      <c r="CN211" s="278"/>
      <c r="CO211" s="278"/>
      <c r="CP211" s="278"/>
      <c r="CQ211" s="278"/>
      <c r="CR211" s="278"/>
      <c r="CS211" s="278"/>
      <c r="CT211" s="278"/>
      <c r="CU211" s="278"/>
      <c r="CV211" s="278"/>
      <c r="CW211" s="278"/>
      <c r="CX211" s="278"/>
      <c r="CY211" s="278"/>
      <c r="CZ211" s="278"/>
      <c r="DA211" s="278"/>
      <c r="DB211" s="278"/>
      <c r="DC211" s="278"/>
      <c r="DD211" s="278"/>
      <c r="DE211" s="278"/>
      <c r="DF211" s="278"/>
      <c r="DG211" s="278"/>
      <c r="DH211" s="278"/>
      <c r="DI211" s="278"/>
      <c r="DJ211" s="278"/>
      <c r="DK211" s="278"/>
      <c r="DL211" s="278"/>
      <c r="DM211" s="278"/>
      <c r="DN211" s="278"/>
      <c r="DO211" s="278"/>
      <c r="DP211" s="278"/>
      <c r="DQ211" s="278"/>
      <c r="DR211" s="278"/>
      <c r="DS211" s="278"/>
      <c r="DT211" s="278"/>
      <c r="DU211" s="278"/>
    </row>
    <row r="212" spans="1:125" s="401" customFormat="1" ht="28.5" customHeight="1" thickBot="1">
      <c r="A212" s="715" t="s">
        <v>644</v>
      </c>
      <c r="B212" s="398"/>
      <c r="C212" s="399"/>
      <c r="D212" s="543"/>
      <c r="E212" s="543">
        <v>3308153</v>
      </c>
      <c r="F212" s="569">
        <v>0</v>
      </c>
      <c r="G212" s="400"/>
      <c r="H212" s="400"/>
      <c r="I212" s="400"/>
      <c r="J212" s="400"/>
      <c r="K212" s="400"/>
      <c r="L212" s="400"/>
      <c r="M212" s="400"/>
      <c r="N212" s="400"/>
      <c r="O212" s="400"/>
      <c r="P212" s="400"/>
      <c r="Q212" s="400"/>
      <c r="R212" s="400"/>
      <c r="S212" s="400"/>
      <c r="T212" s="400"/>
      <c r="U212" s="400"/>
      <c r="V212" s="400"/>
      <c r="W212" s="400"/>
      <c r="X212" s="400"/>
      <c r="Y212" s="400"/>
      <c r="Z212" s="400"/>
      <c r="AA212" s="400"/>
      <c r="AB212" s="400"/>
      <c r="AC212" s="400"/>
      <c r="AD212" s="400"/>
      <c r="AE212" s="400"/>
      <c r="AF212" s="400"/>
      <c r="AG212" s="400"/>
      <c r="AH212" s="400"/>
      <c r="AI212" s="400"/>
      <c r="AJ212" s="400"/>
      <c r="AK212" s="400"/>
      <c r="AL212" s="400"/>
      <c r="AM212" s="400"/>
      <c r="AN212" s="400"/>
      <c r="AO212" s="400"/>
      <c r="AP212" s="400"/>
      <c r="AQ212" s="400"/>
      <c r="AR212" s="400"/>
      <c r="AS212" s="400"/>
      <c r="AT212" s="400"/>
      <c r="AU212" s="400"/>
      <c r="AV212" s="400"/>
      <c r="AW212" s="400"/>
      <c r="AX212" s="400"/>
      <c r="AY212" s="400"/>
      <c r="AZ212" s="400"/>
      <c r="BA212" s="400"/>
      <c r="BB212" s="400"/>
      <c r="BC212" s="400"/>
      <c r="BD212" s="400"/>
      <c r="BE212" s="400"/>
      <c r="BF212" s="400"/>
      <c r="BG212" s="400"/>
      <c r="BH212" s="400"/>
      <c r="BI212" s="400"/>
      <c r="BJ212" s="400"/>
      <c r="BK212" s="400"/>
      <c r="BL212" s="400"/>
      <c r="BM212" s="400"/>
      <c r="BN212" s="400"/>
      <c r="BO212" s="400"/>
      <c r="BP212" s="400"/>
      <c r="BQ212" s="400"/>
      <c r="BR212" s="400"/>
      <c r="BS212" s="400"/>
      <c r="BT212" s="400"/>
      <c r="BU212" s="400"/>
    </row>
    <row r="213" spans="1:125" s="396" customFormat="1" ht="22.5" customHeight="1" thickBot="1">
      <c r="A213" s="638" t="s">
        <v>461</v>
      </c>
      <c r="B213" s="393"/>
      <c r="C213" s="399">
        <v>8776228</v>
      </c>
      <c r="D213" s="543">
        <f>SUM(B214)</f>
        <v>2776228</v>
      </c>
      <c r="E213" s="543">
        <v>264000</v>
      </c>
      <c r="F213" s="569">
        <f t="shared" ref="F213" si="26">E213/D213</f>
        <v>9.5093054316864462E-2</v>
      </c>
      <c r="G213" s="395"/>
      <c r="H213" s="395"/>
      <c r="I213" s="395"/>
      <c r="J213" s="395"/>
      <c r="K213" s="395"/>
      <c r="L213" s="395"/>
      <c r="M213" s="395"/>
      <c r="N213" s="395"/>
      <c r="O213" s="395"/>
      <c r="P213" s="395"/>
      <c r="Q213" s="395"/>
      <c r="R213" s="395"/>
      <c r="S213" s="395"/>
      <c r="T213" s="395"/>
      <c r="U213" s="395"/>
      <c r="V213" s="395"/>
      <c r="W213" s="395"/>
      <c r="X213" s="395"/>
      <c r="Y213" s="395"/>
      <c r="Z213" s="395"/>
      <c r="AA213" s="395"/>
      <c r="AB213" s="395"/>
      <c r="AC213" s="395"/>
      <c r="AD213" s="395"/>
      <c r="AE213" s="395"/>
      <c r="AF213" s="395"/>
      <c r="AG213" s="395"/>
      <c r="AH213" s="395"/>
      <c r="AI213" s="395"/>
      <c r="AJ213" s="395"/>
      <c r="AK213" s="395"/>
      <c r="AL213" s="395"/>
      <c r="AM213" s="395"/>
      <c r="AN213" s="395"/>
      <c r="AO213" s="395"/>
      <c r="AP213" s="395"/>
      <c r="AQ213" s="395"/>
      <c r="AR213" s="395"/>
      <c r="AS213" s="395"/>
      <c r="AT213" s="395"/>
      <c r="AU213" s="395"/>
      <c r="AV213" s="395"/>
      <c r="AW213" s="395"/>
      <c r="AX213" s="395"/>
      <c r="AY213" s="395"/>
      <c r="AZ213" s="395"/>
      <c r="BA213" s="395"/>
      <c r="BB213" s="395"/>
      <c r="BC213" s="395"/>
      <c r="BD213" s="395"/>
      <c r="BE213" s="395"/>
      <c r="BF213" s="395"/>
      <c r="BG213" s="395"/>
      <c r="BH213" s="395"/>
      <c r="BI213" s="395"/>
      <c r="BJ213" s="395"/>
      <c r="BK213" s="395"/>
      <c r="BL213" s="395"/>
      <c r="BM213" s="395"/>
      <c r="BN213" s="395"/>
      <c r="BO213" s="395"/>
      <c r="BP213" s="395"/>
      <c r="BQ213" s="395"/>
      <c r="BR213" s="395"/>
      <c r="BS213" s="395"/>
      <c r="BT213" s="395"/>
      <c r="BU213" s="395"/>
    </row>
    <row r="214" spans="1:125" s="396" customFormat="1" ht="30.75" customHeight="1" thickBot="1">
      <c r="A214" s="397" t="s">
        <v>840</v>
      </c>
      <c r="B214" s="393">
        <v>2776228</v>
      </c>
      <c r="C214" s="394"/>
      <c r="D214" s="425"/>
      <c r="E214" s="425"/>
      <c r="F214" s="707"/>
      <c r="G214" s="395"/>
      <c r="H214" s="395"/>
      <c r="I214" s="395"/>
      <c r="J214" s="395"/>
      <c r="K214" s="395"/>
      <c r="L214" s="395"/>
      <c r="M214" s="395"/>
      <c r="N214" s="395"/>
      <c r="O214" s="395"/>
      <c r="P214" s="395"/>
      <c r="Q214" s="395"/>
      <c r="R214" s="395"/>
      <c r="S214" s="395"/>
      <c r="T214" s="395"/>
      <c r="U214" s="395"/>
      <c r="V214" s="395"/>
      <c r="W214" s="395"/>
      <c r="X214" s="395"/>
      <c r="Y214" s="395"/>
      <c r="Z214" s="395"/>
      <c r="AA214" s="395"/>
      <c r="AB214" s="395"/>
      <c r="AC214" s="395"/>
      <c r="AD214" s="395"/>
      <c r="AE214" s="395"/>
      <c r="AF214" s="395"/>
      <c r="AG214" s="395"/>
      <c r="AH214" s="395"/>
      <c r="AI214" s="395"/>
      <c r="AJ214" s="395"/>
      <c r="AK214" s="395"/>
      <c r="AL214" s="395"/>
      <c r="AM214" s="395"/>
      <c r="AN214" s="395"/>
      <c r="AO214" s="395"/>
      <c r="AP214" s="395"/>
      <c r="AQ214" s="395"/>
      <c r="AR214" s="395"/>
      <c r="AS214" s="395"/>
      <c r="AT214" s="395"/>
      <c r="AU214" s="395"/>
      <c r="AV214" s="395"/>
      <c r="AW214" s="395"/>
      <c r="AX214" s="395"/>
      <c r="AY214" s="395"/>
      <c r="AZ214" s="395"/>
      <c r="BA214" s="395"/>
      <c r="BB214" s="395"/>
      <c r="BC214" s="395"/>
      <c r="BD214" s="395"/>
      <c r="BE214" s="395"/>
      <c r="BF214" s="395"/>
      <c r="BG214" s="395"/>
      <c r="BH214" s="395"/>
      <c r="BI214" s="395"/>
      <c r="BJ214" s="395"/>
      <c r="BK214" s="395"/>
      <c r="BL214" s="395"/>
      <c r="BM214" s="395"/>
      <c r="BN214" s="395"/>
      <c r="BO214" s="395"/>
      <c r="BP214" s="395"/>
      <c r="BQ214" s="395"/>
      <c r="BR214" s="395"/>
      <c r="BS214" s="395"/>
      <c r="BT214" s="395"/>
      <c r="BU214" s="395"/>
    </row>
    <row r="215" spans="1:125" s="401" customFormat="1" ht="30" customHeight="1" thickBot="1">
      <c r="A215" s="638" t="s">
        <v>648</v>
      </c>
      <c r="B215" s="398"/>
      <c r="C215" s="399">
        <v>3000000</v>
      </c>
      <c r="D215" s="543">
        <f>SUM(C215)-3000000</f>
        <v>0</v>
      </c>
      <c r="E215" s="543"/>
      <c r="F215" s="569">
        <v>0</v>
      </c>
      <c r="G215" s="400"/>
      <c r="H215" s="400"/>
      <c r="I215" s="400"/>
      <c r="J215" s="400"/>
      <c r="K215" s="400"/>
      <c r="L215" s="400"/>
      <c r="M215" s="400"/>
      <c r="N215" s="400"/>
      <c r="O215" s="400"/>
      <c r="P215" s="400"/>
      <c r="Q215" s="400"/>
      <c r="R215" s="400"/>
      <c r="S215" s="400"/>
      <c r="T215" s="400"/>
      <c r="U215" s="400"/>
      <c r="V215" s="400"/>
      <c r="W215" s="400"/>
      <c r="X215" s="400"/>
      <c r="Y215" s="400"/>
      <c r="Z215" s="400"/>
      <c r="AA215" s="400"/>
      <c r="AB215" s="400"/>
      <c r="AC215" s="400"/>
      <c r="AD215" s="400"/>
      <c r="AE215" s="400"/>
      <c r="AF215" s="400"/>
      <c r="AG215" s="400"/>
      <c r="AH215" s="400"/>
      <c r="AI215" s="400"/>
      <c r="AJ215" s="400"/>
      <c r="AK215" s="400"/>
      <c r="AL215" s="400"/>
      <c r="AM215" s="400"/>
      <c r="AN215" s="400"/>
      <c r="AO215" s="400"/>
      <c r="AP215" s="400"/>
      <c r="AQ215" s="400"/>
      <c r="AR215" s="400"/>
      <c r="AS215" s="400"/>
      <c r="AT215" s="400"/>
      <c r="AU215" s="400"/>
      <c r="AV215" s="400"/>
      <c r="AW215" s="400"/>
      <c r="AX215" s="400"/>
      <c r="AY215" s="400"/>
      <c r="AZ215" s="400"/>
      <c r="BA215" s="400"/>
      <c r="BB215" s="400"/>
      <c r="BC215" s="400"/>
      <c r="BD215" s="400"/>
      <c r="BE215" s="400"/>
      <c r="BF215" s="400"/>
      <c r="BG215" s="400"/>
      <c r="BH215" s="400"/>
      <c r="BI215" s="400"/>
      <c r="BJ215" s="400"/>
      <c r="BK215" s="400"/>
      <c r="BL215" s="400"/>
      <c r="BM215" s="400"/>
      <c r="BN215" s="400"/>
      <c r="BO215" s="400"/>
      <c r="BP215" s="400"/>
      <c r="BQ215" s="400"/>
      <c r="BR215" s="400"/>
      <c r="BS215" s="400"/>
      <c r="BT215" s="400"/>
      <c r="BU215" s="400"/>
    </row>
    <row r="216" spans="1:125" s="401" customFormat="1" ht="56.25" customHeight="1" thickBot="1">
      <c r="A216" s="420" t="s">
        <v>649</v>
      </c>
      <c r="B216" s="689"/>
      <c r="C216" s="399">
        <v>6840001</v>
      </c>
      <c r="D216" s="543">
        <f t="shared" ref="D216:D218" si="27">SUM(C216)</f>
        <v>6840001</v>
      </c>
      <c r="E216" s="543">
        <v>317183</v>
      </c>
      <c r="F216" s="569">
        <f t="shared" ref="F216:F228" si="28">E216/D216</f>
        <v>4.6371776846231456E-2</v>
      </c>
      <c r="G216" s="400"/>
      <c r="H216" s="400"/>
      <c r="I216" s="400"/>
      <c r="J216" s="400"/>
      <c r="K216" s="400"/>
      <c r="L216" s="400"/>
      <c r="M216" s="400"/>
      <c r="N216" s="400"/>
      <c r="O216" s="400"/>
      <c r="P216" s="400"/>
      <c r="Q216" s="400"/>
      <c r="R216" s="400"/>
      <c r="S216" s="400"/>
      <c r="T216" s="400"/>
      <c r="U216" s="400"/>
      <c r="V216" s="400"/>
      <c r="W216" s="400"/>
      <c r="X216" s="400"/>
      <c r="Y216" s="400"/>
      <c r="Z216" s="400"/>
      <c r="AA216" s="400"/>
      <c r="AB216" s="400"/>
      <c r="AC216" s="400"/>
      <c r="AD216" s="400"/>
      <c r="AE216" s="400"/>
      <c r="AF216" s="400"/>
      <c r="AG216" s="400"/>
      <c r="AH216" s="400"/>
      <c r="AI216" s="400"/>
      <c r="AJ216" s="400"/>
      <c r="AK216" s="400"/>
      <c r="AL216" s="400"/>
      <c r="AM216" s="400"/>
      <c r="AN216" s="400"/>
      <c r="AO216" s="400"/>
      <c r="AP216" s="400"/>
      <c r="AQ216" s="400"/>
      <c r="AR216" s="400"/>
      <c r="AS216" s="400"/>
      <c r="AT216" s="400"/>
      <c r="AU216" s="400"/>
      <c r="AV216" s="400"/>
      <c r="AW216" s="400"/>
      <c r="AX216" s="400"/>
      <c r="AY216" s="400"/>
      <c r="AZ216" s="400"/>
      <c r="BA216" s="400"/>
      <c r="BB216" s="400"/>
      <c r="BC216" s="400"/>
      <c r="BD216" s="400"/>
      <c r="BE216" s="400"/>
      <c r="BF216" s="400"/>
      <c r="BG216" s="400"/>
      <c r="BH216" s="400"/>
      <c r="BI216" s="400"/>
      <c r="BJ216" s="400"/>
      <c r="BK216" s="400"/>
      <c r="BL216" s="400"/>
      <c r="BM216" s="400"/>
      <c r="BN216" s="400"/>
      <c r="BO216" s="400"/>
      <c r="BP216" s="400"/>
      <c r="BQ216" s="400"/>
      <c r="BR216" s="400"/>
      <c r="BS216" s="400"/>
      <c r="BT216" s="400"/>
      <c r="BU216" s="400"/>
    </row>
    <row r="217" spans="1:125" s="401" customFormat="1" ht="69.75" customHeight="1" thickBot="1">
      <c r="A217" s="911" t="s">
        <v>911</v>
      </c>
      <c r="B217" s="912"/>
      <c r="C217" s="399">
        <f>28258770+11277600</f>
        <v>39536370</v>
      </c>
      <c r="D217" s="543">
        <f>SUM(C217)+20754000</f>
        <v>60290370</v>
      </c>
      <c r="E217" s="543">
        <v>20743205</v>
      </c>
      <c r="F217" s="569">
        <f t="shared" si="28"/>
        <v>0.34405502902038915</v>
      </c>
      <c r="G217" s="400"/>
      <c r="H217" s="400"/>
      <c r="I217" s="400"/>
      <c r="J217" s="400"/>
      <c r="K217" s="400"/>
      <c r="L217" s="400"/>
      <c r="M217" s="400"/>
      <c r="N217" s="400"/>
      <c r="O217" s="400"/>
      <c r="P217" s="400"/>
      <c r="Q217" s="400"/>
      <c r="R217" s="400"/>
      <c r="S217" s="400"/>
      <c r="T217" s="400"/>
      <c r="U217" s="400"/>
      <c r="V217" s="400"/>
      <c r="W217" s="400"/>
      <c r="X217" s="400"/>
      <c r="Y217" s="400"/>
      <c r="Z217" s="400"/>
      <c r="AA217" s="400"/>
      <c r="AB217" s="400"/>
      <c r="AC217" s="400"/>
      <c r="AD217" s="400"/>
      <c r="AE217" s="400"/>
      <c r="AF217" s="400"/>
      <c r="AG217" s="400"/>
      <c r="AH217" s="400"/>
      <c r="AI217" s="400"/>
      <c r="AJ217" s="400"/>
      <c r="AK217" s="400"/>
      <c r="AL217" s="400"/>
      <c r="AM217" s="400"/>
      <c r="AN217" s="400"/>
      <c r="AO217" s="400"/>
      <c r="AP217" s="400"/>
      <c r="AQ217" s="400"/>
      <c r="AR217" s="400"/>
      <c r="AS217" s="400"/>
      <c r="AT217" s="400"/>
      <c r="AU217" s="400"/>
      <c r="AV217" s="400"/>
      <c r="AW217" s="400"/>
      <c r="AX217" s="400"/>
      <c r="AY217" s="400"/>
      <c r="AZ217" s="400"/>
      <c r="BA217" s="400"/>
      <c r="BB217" s="400"/>
      <c r="BC217" s="400"/>
      <c r="BD217" s="400"/>
      <c r="BE217" s="400"/>
      <c r="BF217" s="400"/>
      <c r="BG217" s="400"/>
      <c r="BH217" s="400"/>
      <c r="BI217" s="400"/>
      <c r="BJ217" s="400"/>
      <c r="BK217" s="400"/>
      <c r="BL217" s="400"/>
      <c r="BM217" s="400"/>
      <c r="BN217" s="400"/>
      <c r="BO217" s="400"/>
      <c r="BP217" s="400"/>
      <c r="BQ217" s="400"/>
      <c r="BR217" s="400"/>
      <c r="BS217" s="400"/>
      <c r="BT217" s="400"/>
      <c r="BU217" s="400"/>
    </row>
    <row r="218" spans="1:125" s="401" customFormat="1" ht="69.75" customHeight="1" thickBot="1">
      <c r="A218" s="911" t="s">
        <v>863</v>
      </c>
      <c r="B218" s="912"/>
      <c r="C218" s="399">
        <v>838906063</v>
      </c>
      <c r="D218" s="543">
        <f t="shared" si="27"/>
        <v>838906063</v>
      </c>
      <c r="E218" s="543">
        <v>11000000</v>
      </c>
      <c r="F218" s="569">
        <f t="shared" si="28"/>
        <v>1.3112314340252897E-2</v>
      </c>
      <c r="G218" s="400"/>
      <c r="H218" s="400"/>
      <c r="I218" s="400"/>
      <c r="J218" s="400"/>
      <c r="K218" s="400"/>
      <c r="L218" s="400"/>
      <c r="M218" s="400"/>
      <c r="N218" s="400"/>
      <c r="O218" s="400"/>
      <c r="P218" s="400"/>
      <c r="Q218" s="400"/>
      <c r="R218" s="400"/>
      <c r="S218" s="400"/>
      <c r="T218" s="400"/>
      <c r="U218" s="400"/>
      <c r="V218" s="400"/>
      <c r="W218" s="400"/>
      <c r="X218" s="400"/>
      <c r="Y218" s="400"/>
      <c r="Z218" s="400"/>
      <c r="AA218" s="400"/>
      <c r="AB218" s="400"/>
      <c r="AC218" s="400"/>
      <c r="AD218" s="400"/>
      <c r="AE218" s="400"/>
      <c r="AF218" s="400"/>
      <c r="AG218" s="400"/>
      <c r="AH218" s="400"/>
      <c r="AI218" s="400"/>
      <c r="AJ218" s="400"/>
      <c r="AK218" s="400"/>
      <c r="AL218" s="400"/>
      <c r="AM218" s="400"/>
      <c r="AN218" s="400"/>
      <c r="AO218" s="400"/>
      <c r="AP218" s="400"/>
      <c r="AQ218" s="400"/>
      <c r="AR218" s="400"/>
      <c r="AS218" s="400"/>
      <c r="AT218" s="400"/>
      <c r="AU218" s="400"/>
      <c r="AV218" s="400"/>
      <c r="AW218" s="400"/>
      <c r="AX218" s="400"/>
      <c r="AY218" s="400"/>
      <c r="AZ218" s="400"/>
      <c r="BA218" s="400"/>
      <c r="BB218" s="400"/>
      <c r="BC218" s="400"/>
      <c r="BD218" s="400"/>
      <c r="BE218" s="400"/>
      <c r="BF218" s="400"/>
      <c r="BG218" s="400"/>
      <c r="BH218" s="400"/>
      <c r="BI218" s="400"/>
      <c r="BJ218" s="400"/>
      <c r="BK218" s="400"/>
      <c r="BL218" s="400"/>
      <c r="BM218" s="400"/>
      <c r="BN218" s="400"/>
      <c r="BO218" s="400"/>
      <c r="BP218" s="400"/>
      <c r="BQ218" s="400"/>
      <c r="BR218" s="400"/>
      <c r="BS218" s="400"/>
      <c r="BT218" s="400"/>
      <c r="BU218" s="400"/>
    </row>
    <row r="219" spans="1:125" s="652" customFormat="1" ht="38.25" customHeight="1" thickBot="1">
      <c r="A219" s="911" t="s">
        <v>864</v>
      </c>
      <c r="B219" s="912"/>
      <c r="C219" s="399">
        <f>393952979-24782235</f>
        <v>369170744</v>
      </c>
      <c r="D219" s="543">
        <f>SUM(C219)+3500000</f>
        <v>372670744</v>
      </c>
      <c r="E219" s="543">
        <v>22873000</v>
      </c>
      <c r="F219" s="569">
        <f t="shared" si="28"/>
        <v>6.1375893783602184E-2</v>
      </c>
      <c r="G219" s="400"/>
      <c r="H219" s="651"/>
      <c r="I219" s="651"/>
      <c r="J219" s="651"/>
      <c r="K219" s="651"/>
      <c r="L219" s="651"/>
      <c r="M219" s="651"/>
      <c r="N219" s="651"/>
      <c r="O219" s="651"/>
      <c r="P219" s="651"/>
      <c r="Q219" s="651"/>
      <c r="R219" s="651"/>
      <c r="S219" s="651"/>
      <c r="T219" s="651"/>
      <c r="U219" s="651"/>
      <c r="V219" s="651"/>
      <c r="W219" s="651"/>
      <c r="X219" s="651"/>
      <c r="Y219" s="651"/>
      <c r="Z219" s="651"/>
      <c r="AA219" s="651"/>
      <c r="AB219" s="651"/>
      <c r="AC219" s="651"/>
      <c r="AD219" s="651"/>
      <c r="AE219" s="651"/>
      <c r="AF219" s="651"/>
      <c r="AG219" s="651"/>
      <c r="AH219" s="651"/>
      <c r="AI219" s="651"/>
      <c r="AJ219" s="651"/>
      <c r="AK219" s="651"/>
      <c r="AL219" s="651"/>
      <c r="AM219" s="651"/>
      <c r="AN219" s="651"/>
      <c r="AO219" s="651"/>
      <c r="AP219" s="651"/>
      <c r="AQ219" s="651"/>
      <c r="AR219" s="651"/>
      <c r="AS219" s="651"/>
      <c r="AT219" s="651"/>
      <c r="AU219" s="651"/>
      <c r="AV219" s="651"/>
      <c r="AW219" s="651"/>
      <c r="AX219" s="651"/>
      <c r="AY219" s="651"/>
      <c r="AZ219" s="651"/>
      <c r="BA219" s="651"/>
      <c r="BB219" s="651"/>
      <c r="BC219" s="651"/>
      <c r="BD219" s="651"/>
      <c r="BE219" s="651"/>
      <c r="BF219" s="651"/>
      <c r="BG219" s="651"/>
      <c r="BH219" s="651"/>
      <c r="BI219" s="651"/>
      <c r="BJ219" s="651"/>
      <c r="BK219" s="651"/>
      <c r="BL219" s="651"/>
      <c r="BM219" s="651"/>
      <c r="BN219" s="651"/>
      <c r="BO219" s="651"/>
      <c r="BP219" s="651"/>
      <c r="BQ219" s="651"/>
      <c r="BR219" s="651"/>
      <c r="BS219" s="651"/>
      <c r="BT219" s="651"/>
      <c r="BU219" s="651"/>
    </row>
    <row r="220" spans="1:125" s="658" customFormat="1" ht="38.25" customHeight="1" thickBot="1">
      <c r="A220" s="655" t="s">
        <v>808</v>
      </c>
      <c r="B220" s="656"/>
      <c r="C220" s="399"/>
      <c r="D220" s="399">
        <f>4820000</f>
        <v>4820000</v>
      </c>
      <c r="E220" s="399">
        <v>4820000</v>
      </c>
      <c r="F220" s="569">
        <f t="shared" si="28"/>
        <v>1</v>
      </c>
      <c r="G220" s="408"/>
      <c r="H220" s="657"/>
      <c r="I220" s="657"/>
      <c r="J220" s="657"/>
      <c r="K220" s="657"/>
      <c r="L220" s="657"/>
      <c r="M220" s="657"/>
      <c r="N220" s="657"/>
      <c r="O220" s="657"/>
      <c r="P220" s="657"/>
      <c r="Q220" s="657"/>
      <c r="R220" s="657"/>
      <c r="S220" s="657"/>
      <c r="T220" s="657"/>
      <c r="U220" s="657"/>
      <c r="V220" s="657"/>
      <c r="W220" s="657"/>
      <c r="X220" s="657"/>
      <c r="Y220" s="657"/>
      <c r="Z220" s="657"/>
      <c r="AA220" s="657"/>
      <c r="AB220" s="657"/>
      <c r="AC220" s="657"/>
      <c r="AD220" s="657"/>
      <c r="AE220" s="657"/>
      <c r="AF220" s="657"/>
      <c r="AG220" s="657"/>
      <c r="AH220" s="657"/>
      <c r="AI220" s="657"/>
      <c r="AJ220" s="657"/>
      <c r="AK220" s="657"/>
      <c r="AL220" s="657"/>
      <c r="AM220" s="657"/>
      <c r="AN220" s="657"/>
      <c r="AO220" s="657"/>
      <c r="AP220" s="657"/>
      <c r="AQ220" s="657"/>
      <c r="AR220" s="657"/>
      <c r="AS220" s="657"/>
      <c r="AT220" s="657"/>
      <c r="AU220" s="657"/>
      <c r="AV220" s="657"/>
      <c r="AW220" s="657"/>
      <c r="AX220" s="657"/>
      <c r="AY220" s="657"/>
      <c r="AZ220" s="657"/>
      <c r="BA220" s="657"/>
      <c r="BB220" s="657"/>
      <c r="BC220" s="657"/>
      <c r="BD220" s="657"/>
      <c r="BE220" s="657"/>
      <c r="BF220" s="657"/>
      <c r="BG220" s="657"/>
      <c r="BH220" s="657"/>
      <c r="BI220" s="657"/>
      <c r="BJ220" s="657"/>
      <c r="BK220" s="657"/>
      <c r="BL220" s="657"/>
      <c r="BM220" s="657"/>
      <c r="BN220" s="657"/>
      <c r="BO220" s="657"/>
      <c r="BP220" s="657"/>
      <c r="BQ220" s="657"/>
      <c r="BR220" s="657"/>
      <c r="BS220" s="657"/>
      <c r="BT220" s="657"/>
      <c r="BU220" s="657"/>
    </row>
    <row r="221" spans="1:125" s="658" customFormat="1" ht="38.25" customHeight="1" thickBot="1">
      <c r="A221" s="655" t="s">
        <v>876</v>
      </c>
      <c r="B221" s="656"/>
      <c r="C221" s="399"/>
      <c r="D221" s="543">
        <f>7181000</f>
        <v>7181000</v>
      </c>
      <c r="E221" s="543">
        <v>0</v>
      </c>
      <c r="F221" s="569">
        <f t="shared" si="28"/>
        <v>0</v>
      </c>
      <c r="G221" s="408"/>
      <c r="H221" s="657"/>
      <c r="I221" s="657"/>
      <c r="J221" s="657"/>
      <c r="K221" s="657"/>
      <c r="L221" s="657"/>
      <c r="M221" s="657"/>
      <c r="N221" s="657"/>
      <c r="O221" s="657"/>
      <c r="P221" s="657"/>
      <c r="Q221" s="657"/>
      <c r="R221" s="657"/>
      <c r="S221" s="657"/>
      <c r="T221" s="657"/>
      <c r="U221" s="657"/>
      <c r="V221" s="657"/>
      <c r="W221" s="657"/>
      <c r="X221" s="657"/>
      <c r="Y221" s="657"/>
      <c r="Z221" s="657"/>
      <c r="AA221" s="657"/>
      <c r="AB221" s="657"/>
      <c r="AC221" s="657"/>
      <c r="AD221" s="657"/>
      <c r="AE221" s="657"/>
      <c r="AF221" s="657"/>
      <c r="AG221" s="657"/>
      <c r="AH221" s="657"/>
      <c r="AI221" s="657"/>
      <c r="AJ221" s="657"/>
      <c r="AK221" s="657"/>
      <c r="AL221" s="657"/>
      <c r="AM221" s="657"/>
      <c r="AN221" s="657"/>
      <c r="AO221" s="657"/>
      <c r="AP221" s="657"/>
      <c r="AQ221" s="657"/>
      <c r="AR221" s="657"/>
      <c r="AS221" s="657"/>
      <c r="AT221" s="657"/>
      <c r="AU221" s="657"/>
      <c r="AV221" s="657"/>
      <c r="AW221" s="657"/>
      <c r="AX221" s="657"/>
      <c r="AY221" s="657"/>
      <c r="AZ221" s="657"/>
      <c r="BA221" s="657"/>
      <c r="BB221" s="657"/>
      <c r="BC221" s="657"/>
      <c r="BD221" s="657"/>
      <c r="BE221" s="657"/>
      <c r="BF221" s="657"/>
      <c r="BG221" s="657"/>
      <c r="BH221" s="657"/>
      <c r="BI221" s="657"/>
      <c r="BJ221" s="657"/>
      <c r="BK221" s="657"/>
      <c r="BL221" s="657"/>
      <c r="BM221" s="657"/>
      <c r="BN221" s="657"/>
      <c r="BO221" s="657"/>
      <c r="BP221" s="657"/>
      <c r="BQ221" s="657"/>
      <c r="BR221" s="657"/>
      <c r="BS221" s="657"/>
      <c r="BT221" s="657"/>
      <c r="BU221" s="657"/>
    </row>
    <row r="222" spans="1:125" s="401" customFormat="1" ht="52.5" customHeight="1" thickBot="1">
      <c r="A222" s="316" t="s">
        <v>868</v>
      </c>
      <c r="B222" s="551"/>
      <c r="C222" s="399"/>
      <c r="D222" s="543"/>
      <c r="E222" s="543">
        <v>1808000</v>
      </c>
      <c r="F222" s="569">
        <v>0</v>
      </c>
      <c r="G222" s="400"/>
      <c r="H222" s="400"/>
      <c r="I222" s="400"/>
      <c r="J222" s="400"/>
      <c r="K222" s="400"/>
      <c r="L222" s="400"/>
      <c r="M222" s="400"/>
      <c r="N222" s="400"/>
      <c r="O222" s="400"/>
      <c r="P222" s="400"/>
      <c r="Q222" s="400"/>
      <c r="R222" s="400"/>
      <c r="S222" s="400"/>
      <c r="T222" s="400"/>
      <c r="U222" s="400"/>
      <c r="V222" s="400"/>
      <c r="W222" s="400"/>
      <c r="X222" s="400"/>
      <c r="Y222" s="400"/>
      <c r="Z222" s="400"/>
      <c r="AA222" s="400"/>
      <c r="AB222" s="400"/>
      <c r="AC222" s="400"/>
      <c r="AD222" s="400"/>
      <c r="AE222" s="400"/>
      <c r="AF222" s="400"/>
      <c r="AG222" s="400"/>
      <c r="AH222" s="400"/>
      <c r="AI222" s="400"/>
      <c r="AJ222" s="400"/>
      <c r="AK222" s="400"/>
      <c r="AL222" s="400"/>
      <c r="AM222" s="400"/>
      <c r="AN222" s="400"/>
      <c r="AO222" s="400"/>
      <c r="AP222" s="400"/>
      <c r="AQ222" s="400"/>
      <c r="AR222" s="400"/>
      <c r="AS222" s="400"/>
      <c r="AT222" s="400"/>
      <c r="AU222" s="400"/>
      <c r="AV222" s="400"/>
      <c r="AW222" s="400"/>
      <c r="AX222" s="400"/>
      <c r="AY222" s="400"/>
      <c r="AZ222" s="400"/>
      <c r="BA222" s="400"/>
      <c r="BB222" s="400"/>
      <c r="BC222" s="400"/>
      <c r="BD222" s="400"/>
      <c r="BE222" s="400"/>
      <c r="BF222" s="400"/>
      <c r="BG222" s="400"/>
      <c r="BH222" s="400"/>
      <c r="BI222" s="400"/>
      <c r="BJ222" s="400"/>
      <c r="BK222" s="400"/>
      <c r="BL222" s="400"/>
      <c r="BM222" s="400"/>
      <c r="BN222" s="400"/>
      <c r="BO222" s="400"/>
      <c r="BP222" s="400"/>
      <c r="BQ222" s="400"/>
      <c r="BR222" s="400"/>
      <c r="BS222" s="400"/>
      <c r="BT222" s="400"/>
      <c r="BU222" s="400"/>
    </row>
    <row r="223" spans="1:125" s="401" customFormat="1" ht="52.5" customHeight="1" thickBot="1">
      <c r="A223" s="316" t="s">
        <v>867</v>
      </c>
      <c r="B223" s="551"/>
      <c r="C223" s="399"/>
      <c r="D223" s="543"/>
      <c r="E223" s="543">
        <v>2000000</v>
      </c>
      <c r="F223" s="569">
        <v>0</v>
      </c>
      <c r="G223" s="400"/>
      <c r="H223" s="400"/>
      <c r="I223" s="400"/>
      <c r="J223" s="400"/>
      <c r="K223" s="400"/>
      <c r="L223" s="400"/>
      <c r="M223" s="400"/>
      <c r="N223" s="400"/>
      <c r="O223" s="400"/>
      <c r="P223" s="400"/>
      <c r="Q223" s="400"/>
      <c r="R223" s="400"/>
      <c r="S223" s="400"/>
      <c r="T223" s="400"/>
      <c r="U223" s="400"/>
      <c r="V223" s="400"/>
      <c r="W223" s="400"/>
      <c r="X223" s="400"/>
      <c r="Y223" s="400"/>
      <c r="Z223" s="400"/>
      <c r="AA223" s="400"/>
      <c r="AB223" s="400"/>
      <c r="AC223" s="400"/>
      <c r="AD223" s="400"/>
      <c r="AE223" s="400"/>
      <c r="AF223" s="400"/>
      <c r="AG223" s="400"/>
      <c r="AH223" s="400"/>
      <c r="AI223" s="400"/>
      <c r="AJ223" s="400"/>
      <c r="AK223" s="400"/>
      <c r="AL223" s="400"/>
      <c r="AM223" s="400"/>
      <c r="AN223" s="400"/>
      <c r="AO223" s="400"/>
      <c r="AP223" s="400"/>
      <c r="AQ223" s="400"/>
      <c r="AR223" s="400"/>
      <c r="AS223" s="400"/>
      <c r="AT223" s="400"/>
      <c r="AU223" s="400"/>
      <c r="AV223" s="400"/>
      <c r="AW223" s="400"/>
      <c r="AX223" s="400"/>
      <c r="AY223" s="400"/>
      <c r="AZ223" s="400"/>
      <c r="BA223" s="400"/>
      <c r="BB223" s="400"/>
      <c r="BC223" s="400"/>
      <c r="BD223" s="400"/>
      <c r="BE223" s="400"/>
      <c r="BF223" s="400"/>
      <c r="BG223" s="400"/>
      <c r="BH223" s="400"/>
      <c r="BI223" s="400"/>
      <c r="BJ223" s="400"/>
      <c r="BK223" s="400"/>
      <c r="BL223" s="400"/>
      <c r="BM223" s="400"/>
      <c r="BN223" s="400"/>
      <c r="BO223" s="400"/>
      <c r="BP223" s="400"/>
      <c r="BQ223" s="400"/>
      <c r="BR223" s="400"/>
      <c r="BS223" s="400"/>
      <c r="BT223" s="400"/>
      <c r="BU223" s="400"/>
    </row>
    <row r="224" spans="1:125" s="652" customFormat="1" ht="38.25" customHeight="1" thickBot="1">
      <c r="A224" s="638" t="s">
        <v>877</v>
      </c>
      <c r="B224" s="639"/>
      <c r="C224" s="399"/>
      <c r="D224" s="543">
        <v>40000</v>
      </c>
      <c r="E224" s="543">
        <v>40000</v>
      </c>
      <c r="F224" s="569">
        <f t="shared" si="28"/>
        <v>1</v>
      </c>
      <c r="G224" s="400"/>
      <c r="H224" s="651"/>
      <c r="I224" s="651"/>
      <c r="J224" s="651"/>
      <c r="K224" s="651"/>
      <c r="L224" s="651"/>
      <c r="M224" s="651"/>
      <c r="N224" s="651"/>
      <c r="O224" s="651"/>
      <c r="P224" s="651"/>
      <c r="Q224" s="651"/>
      <c r="R224" s="651"/>
      <c r="S224" s="651"/>
      <c r="T224" s="651"/>
      <c r="U224" s="651"/>
      <c r="V224" s="651"/>
      <c r="W224" s="651"/>
      <c r="X224" s="651"/>
      <c r="Y224" s="651"/>
      <c r="Z224" s="651"/>
      <c r="AA224" s="651"/>
      <c r="AB224" s="651"/>
      <c r="AC224" s="651"/>
      <c r="AD224" s="651"/>
      <c r="AE224" s="651"/>
      <c r="AF224" s="651"/>
      <c r="AG224" s="651"/>
      <c r="AH224" s="651"/>
      <c r="AI224" s="651"/>
      <c r="AJ224" s="651"/>
      <c r="AK224" s="651"/>
      <c r="AL224" s="651"/>
      <c r="AM224" s="651"/>
      <c r="AN224" s="651"/>
      <c r="AO224" s="651"/>
      <c r="AP224" s="651"/>
      <c r="AQ224" s="651"/>
      <c r="AR224" s="651"/>
      <c r="AS224" s="651"/>
      <c r="AT224" s="651"/>
      <c r="AU224" s="651"/>
      <c r="AV224" s="651"/>
      <c r="AW224" s="651"/>
      <c r="AX224" s="651"/>
      <c r="AY224" s="651"/>
      <c r="AZ224" s="651"/>
      <c r="BA224" s="651"/>
      <c r="BB224" s="651"/>
      <c r="BC224" s="651"/>
      <c r="BD224" s="651"/>
      <c r="BE224" s="651"/>
      <c r="BF224" s="651"/>
      <c r="BG224" s="651"/>
      <c r="BH224" s="651"/>
      <c r="BI224" s="651"/>
      <c r="BJ224" s="651"/>
      <c r="BK224" s="651"/>
      <c r="BL224" s="651"/>
      <c r="BM224" s="651"/>
      <c r="BN224" s="651"/>
      <c r="BO224" s="651"/>
      <c r="BP224" s="651"/>
      <c r="BQ224" s="651"/>
      <c r="BR224" s="651"/>
      <c r="BS224" s="651"/>
      <c r="BT224" s="651"/>
      <c r="BU224" s="651"/>
    </row>
    <row r="225" spans="1:73" s="652" customFormat="1" ht="38.25" customHeight="1" thickBot="1">
      <c r="A225" s="638" t="s">
        <v>875</v>
      </c>
      <c r="B225" s="639"/>
      <c r="C225" s="399"/>
      <c r="D225" s="543">
        <f>278000</f>
        <v>278000</v>
      </c>
      <c r="E225" s="543">
        <v>0</v>
      </c>
      <c r="F225" s="569">
        <f t="shared" si="28"/>
        <v>0</v>
      </c>
      <c r="G225" s="400"/>
      <c r="H225" s="651"/>
      <c r="I225" s="651"/>
      <c r="J225" s="651"/>
      <c r="K225" s="651"/>
      <c r="L225" s="651"/>
      <c r="M225" s="651"/>
      <c r="N225" s="651"/>
      <c r="O225" s="651"/>
      <c r="P225" s="651"/>
      <c r="Q225" s="651"/>
      <c r="R225" s="651"/>
      <c r="S225" s="651"/>
      <c r="T225" s="651"/>
      <c r="U225" s="651"/>
      <c r="V225" s="651"/>
      <c r="W225" s="651"/>
      <c r="X225" s="651"/>
      <c r="Y225" s="651"/>
      <c r="Z225" s="651"/>
      <c r="AA225" s="651"/>
      <c r="AB225" s="651"/>
      <c r="AC225" s="651"/>
      <c r="AD225" s="651"/>
      <c r="AE225" s="651"/>
      <c r="AF225" s="651"/>
      <c r="AG225" s="651"/>
      <c r="AH225" s="651"/>
      <c r="AI225" s="651"/>
      <c r="AJ225" s="651"/>
      <c r="AK225" s="651"/>
      <c r="AL225" s="651"/>
      <c r="AM225" s="651"/>
      <c r="AN225" s="651"/>
      <c r="AO225" s="651"/>
      <c r="AP225" s="651"/>
      <c r="AQ225" s="651"/>
      <c r="AR225" s="651"/>
      <c r="AS225" s="651"/>
      <c r="AT225" s="651"/>
      <c r="AU225" s="651"/>
      <c r="AV225" s="651"/>
      <c r="AW225" s="651"/>
      <c r="AX225" s="651"/>
      <c r="AY225" s="651"/>
      <c r="AZ225" s="651"/>
      <c r="BA225" s="651"/>
      <c r="BB225" s="651"/>
      <c r="BC225" s="651"/>
      <c r="BD225" s="651"/>
      <c r="BE225" s="651"/>
      <c r="BF225" s="651"/>
      <c r="BG225" s="651"/>
      <c r="BH225" s="651"/>
      <c r="BI225" s="651"/>
      <c r="BJ225" s="651"/>
      <c r="BK225" s="651"/>
      <c r="BL225" s="651"/>
      <c r="BM225" s="651"/>
      <c r="BN225" s="651"/>
      <c r="BO225" s="651"/>
      <c r="BP225" s="651"/>
      <c r="BQ225" s="651"/>
      <c r="BR225" s="651"/>
      <c r="BS225" s="651"/>
      <c r="BT225" s="651"/>
      <c r="BU225" s="651"/>
    </row>
    <row r="226" spans="1:73" s="401" customFormat="1" ht="38.25" customHeight="1" thickBot="1">
      <c r="A226" s="316" t="s">
        <v>802</v>
      </c>
      <c r="B226" s="551"/>
      <c r="C226" s="399">
        <v>0</v>
      </c>
      <c r="D226" s="543">
        <v>3850000</v>
      </c>
      <c r="E226" s="543">
        <v>3850000</v>
      </c>
      <c r="F226" s="569">
        <f t="shared" si="28"/>
        <v>1</v>
      </c>
      <c r="G226" s="400"/>
      <c r="H226" s="400"/>
      <c r="I226" s="400"/>
      <c r="J226" s="400"/>
      <c r="K226" s="400"/>
      <c r="L226" s="400"/>
      <c r="M226" s="400"/>
      <c r="N226" s="400"/>
      <c r="O226" s="400"/>
      <c r="P226" s="400"/>
      <c r="Q226" s="400"/>
      <c r="R226" s="400"/>
      <c r="S226" s="400"/>
      <c r="T226" s="400"/>
      <c r="U226" s="400"/>
      <c r="V226" s="400"/>
      <c r="W226" s="400"/>
      <c r="X226" s="400"/>
      <c r="Y226" s="400"/>
      <c r="Z226" s="400"/>
      <c r="AA226" s="400"/>
      <c r="AB226" s="400"/>
      <c r="AC226" s="400"/>
      <c r="AD226" s="400"/>
      <c r="AE226" s="400"/>
      <c r="AF226" s="400"/>
      <c r="AG226" s="400"/>
      <c r="AH226" s="400"/>
      <c r="AI226" s="400"/>
      <c r="AJ226" s="400"/>
      <c r="AK226" s="400"/>
      <c r="AL226" s="400"/>
      <c r="AM226" s="400"/>
      <c r="AN226" s="400"/>
      <c r="AO226" s="400"/>
      <c r="AP226" s="400"/>
      <c r="AQ226" s="400"/>
      <c r="AR226" s="400"/>
      <c r="AS226" s="400"/>
      <c r="AT226" s="400"/>
      <c r="AU226" s="400"/>
      <c r="AV226" s="400"/>
      <c r="AW226" s="400"/>
      <c r="AX226" s="400"/>
      <c r="AY226" s="400"/>
      <c r="AZ226" s="400"/>
      <c r="BA226" s="400"/>
      <c r="BB226" s="400"/>
      <c r="BC226" s="400"/>
      <c r="BD226" s="400"/>
      <c r="BE226" s="400"/>
      <c r="BF226" s="400"/>
      <c r="BG226" s="400"/>
      <c r="BH226" s="400"/>
      <c r="BI226" s="400"/>
      <c r="BJ226" s="400"/>
      <c r="BK226" s="400"/>
      <c r="BL226" s="400"/>
      <c r="BM226" s="400"/>
      <c r="BN226" s="400"/>
      <c r="BO226" s="400"/>
      <c r="BP226" s="400"/>
      <c r="BQ226" s="400"/>
      <c r="BR226" s="400"/>
      <c r="BS226" s="400"/>
      <c r="BT226" s="400"/>
      <c r="BU226" s="400"/>
    </row>
    <row r="227" spans="1:73" s="401" customFormat="1" ht="39.75" customHeight="1" thickBot="1">
      <c r="A227" s="640" t="s">
        <v>880</v>
      </c>
      <c r="B227" s="398"/>
      <c r="C227" s="399"/>
      <c r="D227" s="399"/>
      <c r="E227" s="399">
        <v>444500</v>
      </c>
      <c r="F227" s="569">
        <v>0</v>
      </c>
      <c r="G227" s="400"/>
      <c r="H227" s="400"/>
      <c r="I227" s="400"/>
      <c r="J227" s="400"/>
      <c r="K227" s="400"/>
      <c r="L227" s="400"/>
      <c r="M227" s="400"/>
      <c r="N227" s="400"/>
      <c r="O227" s="400"/>
      <c r="P227" s="400"/>
      <c r="Q227" s="400"/>
      <c r="R227" s="400"/>
      <c r="S227" s="400"/>
      <c r="T227" s="400"/>
      <c r="U227" s="400"/>
      <c r="V227" s="400"/>
      <c r="W227" s="400"/>
      <c r="X227" s="400"/>
      <c r="Y227" s="400"/>
      <c r="Z227" s="400"/>
      <c r="AA227" s="400"/>
      <c r="AB227" s="400"/>
      <c r="AC227" s="400"/>
      <c r="AD227" s="400"/>
      <c r="AE227" s="400"/>
      <c r="AF227" s="400"/>
      <c r="AG227" s="400"/>
      <c r="AH227" s="400"/>
      <c r="AI227" s="400"/>
      <c r="AJ227" s="400"/>
      <c r="AK227" s="400"/>
      <c r="AL227" s="400"/>
      <c r="AM227" s="400"/>
      <c r="AN227" s="400"/>
      <c r="AO227" s="400"/>
      <c r="AP227" s="400"/>
      <c r="AQ227" s="400"/>
      <c r="AR227" s="400"/>
      <c r="AS227" s="400"/>
      <c r="AT227" s="400"/>
      <c r="AU227" s="400"/>
      <c r="AV227" s="400"/>
      <c r="AW227" s="400"/>
      <c r="AX227" s="400"/>
      <c r="AY227" s="400"/>
      <c r="AZ227" s="400"/>
      <c r="BA227" s="400"/>
      <c r="BB227" s="400"/>
      <c r="BC227" s="400"/>
      <c r="BD227" s="400"/>
      <c r="BE227" s="400"/>
      <c r="BF227" s="400"/>
      <c r="BG227" s="400"/>
      <c r="BH227" s="400"/>
      <c r="BI227" s="400"/>
      <c r="BJ227" s="400"/>
      <c r="BK227" s="400"/>
      <c r="BL227" s="400"/>
      <c r="BM227" s="400"/>
      <c r="BN227" s="400"/>
      <c r="BO227" s="400"/>
      <c r="BP227" s="400"/>
      <c r="BQ227" s="400"/>
      <c r="BR227" s="400"/>
      <c r="BS227" s="400"/>
      <c r="BT227" s="400"/>
      <c r="BU227" s="400"/>
    </row>
    <row r="228" spans="1:73" s="396" customFormat="1" ht="42.75" customHeight="1" thickBot="1">
      <c r="A228" s="911" t="s">
        <v>475</v>
      </c>
      <c r="B228" s="912"/>
      <c r="C228" s="399"/>
      <c r="D228" s="543">
        <f>SUM(B229:B231)</f>
        <v>4121037</v>
      </c>
      <c r="E228" s="543">
        <f>1749997+100870+99129+1130421+616204</f>
        <v>3696621</v>
      </c>
      <c r="F228" s="569">
        <f t="shared" si="28"/>
        <v>0.89701232966362587</v>
      </c>
      <c r="G228" s="395"/>
      <c r="H228" s="395"/>
      <c r="I228" s="395"/>
      <c r="J228" s="395"/>
      <c r="K228" s="395"/>
      <c r="L228" s="395"/>
      <c r="M228" s="395"/>
      <c r="N228" s="395"/>
      <c r="O228" s="395"/>
      <c r="P228" s="395"/>
      <c r="Q228" s="395"/>
      <c r="R228" s="395"/>
      <c r="S228" s="395"/>
      <c r="T228" s="395"/>
      <c r="U228" s="395"/>
      <c r="V228" s="395"/>
      <c r="W228" s="395"/>
      <c r="X228" s="395"/>
      <c r="Y228" s="395"/>
      <c r="Z228" s="395"/>
      <c r="AA228" s="395"/>
      <c r="AB228" s="395"/>
      <c r="AC228" s="395"/>
      <c r="AD228" s="395"/>
      <c r="AE228" s="395"/>
      <c r="AF228" s="395"/>
      <c r="AG228" s="395"/>
      <c r="AH228" s="395"/>
      <c r="AI228" s="395"/>
      <c r="AJ228" s="395"/>
      <c r="AK228" s="395"/>
      <c r="AL228" s="395"/>
      <c r="AM228" s="395"/>
      <c r="AN228" s="395"/>
      <c r="AO228" s="395"/>
      <c r="AP228" s="395"/>
      <c r="AQ228" s="395"/>
      <c r="AR228" s="395"/>
      <c r="AS228" s="395"/>
      <c r="AT228" s="395"/>
      <c r="AU228" s="395"/>
      <c r="AV228" s="395"/>
      <c r="AW228" s="395"/>
      <c r="AX228" s="395"/>
      <c r="AY228" s="395"/>
      <c r="AZ228" s="395"/>
      <c r="BA228" s="395"/>
      <c r="BB228" s="395"/>
      <c r="BC228" s="395"/>
      <c r="BD228" s="395"/>
      <c r="BE228" s="395"/>
      <c r="BF228" s="395"/>
      <c r="BG228" s="395"/>
      <c r="BH228" s="395"/>
      <c r="BI228" s="395"/>
      <c r="BJ228" s="395"/>
      <c r="BK228" s="395"/>
      <c r="BL228" s="395"/>
      <c r="BM228" s="395"/>
      <c r="BN228" s="395"/>
      <c r="BO228" s="395"/>
      <c r="BP228" s="395"/>
      <c r="BQ228" s="395"/>
      <c r="BR228" s="395"/>
      <c r="BS228" s="395"/>
      <c r="BT228" s="395"/>
      <c r="BU228" s="395"/>
    </row>
    <row r="229" spans="1:73" s="396" customFormat="1" ht="22.5" customHeight="1" thickBot="1">
      <c r="A229" s="545" t="s">
        <v>893</v>
      </c>
      <c r="B229" s="421">
        <v>2273542</v>
      </c>
      <c r="C229" s="422"/>
      <c r="D229" s="422"/>
      <c r="E229" s="422"/>
      <c r="F229" s="424"/>
      <c r="G229" s="395"/>
      <c r="H229" s="395"/>
      <c r="I229" s="395"/>
      <c r="J229" s="395"/>
      <c r="K229" s="395"/>
      <c r="L229" s="395"/>
      <c r="M229" s="395"/>
      <c r="N229" s="395"/>
      <c r="O229" s="395"/>
      <c r="P229" s="395"/>
      <c r="Q229" s="395"/>
      <c r="R229" s="395"/>
      <c r="S229" s="395"/>
      <c r="T229" s="395"/>
      <c r="U229" s="395"/>
      <c r="V229" s="395"/>
      <c r="W229" s="395"/>
      <c r="X229" s="395"/>
      <c r="Y229" s="395"/>
      <c r="Z229" s="395"/>
      <c r="AA229" s="395"/>
      <c r="AB229" s="395"/>
      <c r="AC229" s="395"/>
      <c r="AD229" s="395"/>
      <c r="AE229" s="395"/>
      <c r="AF229" s="395"/>
      <c r="AG229" s="395"/>
      <c r="AH229" s="395"/>
      <c r="AI229" s="395"/>
      <c r="AJ229" s="395"/>
      <c r="AK229" s="395"/>
      <c r="AL229" s="395"/>
      <c r="AM229" s="395"/>
      <c r="AN229" s="395"/>
      <c r="AO229" s="395"/>
      <c r="AP229" s="395"/>
      <c r="AQ229" s="395"/>
      <c r="AR229" s="395"/>
      <c r="AS229" s="395"/>
      <c r="AT229" s="395"/>
      <c r="AU229" s="395"/>
      <c r="AV229" s="395"/>
      <c r="AW229" s="395"/>
      <c r="AX229" s="395"/>
      <c r="AY229" s="395"/>
      <c r="AZ229" s="395"/>
      <c r="BA229" s="395"/>
      <c r="BB229" s="395"/>
      <c r="BC229" s="395"/>
      <c r="BD229" s="395"/>
      <c r="BE229" s="395"/>
      <c r="BF229" s="395"/>
      <c r="BG229" s="395"/>
      <c r="BH229" s="395"/>
      <c r="BI229" s="395"/>
      <c r="BJ229" s="395"/>
      <c r="BK229" s="395"/>
      <c r="BL229" s="395"/>
      <c r="BM229" s="395"/>
      <c r="BN229" s="395"/>
      <c r="BO229" s="395"/>
      <c r="BP229" s="395"/>
      <c r="BQ229" s="395"/>
      <c r="BR229" s="395"/>
      <c r="BS229" s="395"/>
      <c r="BT229" s="395"/>
      <c r="BU229" s="395"/>
    </row>
    <row r="230" spans="1:73" s="396" customFormat="1" ht="21.75" customHeight="1" thickBot="1">
      <c r="A230" s="397" t="s">
        <v>912</v>
      </c>
      <c r="B230" s="393">
        <v>1746625</v>
      </c>
      <c r="C230" s="422"/>
      <c r="D230" s="668"/>
      <c r="E230" s="668"/>
      <c r="F230" s="701"/>
      <c r="G230" s="395"/>
      <c r="H230" s="395"/>
      <c r="I230" s="395"/>
      <c r="J230" s="395"/>
      <c r="K230" s="395"/>
      <c r="L230" s="395"/>
      <c r="M230" s="395"/>
      <c r="N230" s="395"/>
      <c r="O230" s="395"/>
      <c r="P230" s="395"/>
      <c r="Q230" s="395"/>
      <c r="R230" s="395"/>
      <c r="S230" s="395"/>
      <c r="T230" s="395"/>
      <c r="U230" s="395"/>
      <c r="V230" s="395"/>
      <c r="W230" s="395"/>
      <c r="X230" s="395"/>
      <c r="Y230" s="395"/>
      <c r="Z230" s="395"/>
      <c r="AA230" s="395"/>
      <c r="AB230" s="395"/>
      <c r="AC230" s="395"/>
      <c r="AD230" s="395"/>
      <c r="AE230" s="395"/>
      <c r="AF230" s="395"/>
      <c r="AG230" s="395"/>
      <c r="AH230" s="395"/>
      <c r="AI230" s="395"/>
      <c r="AJ230" s="395"/>
      <c r="AK230" s="395"/>
      <c r="AL230" s="395"/>
      <c r="AM230" s="395"/>
      <c r="AN230" s="395"/>
      <c r="AO230" s="395"/>
      <c r="AP230" s="395"/>
      <c r="AQ230" s="395"/>
      <c r="AR230" s="395"/>
      <c r="AS230" s="395"/>
      <c r="AT230" s="395"/>
      <c r="AU230" s="395"/>
      <c r="AV230" s="395"/>
      <c r="AW230" s="395"/>
      <c r="AX230" s="395"/>
      <c r="AY230" s="395"/>
      <c r="AZ230" s="395"/>
      <c r="BA230" s="395"/>
      <c r="BB230" s="395"/>
      <c r="BC230" s="395"/>
      <c r="BD230" s="395"/>
      <c r="BE230" s="395"/>
      <c r="BF230" s="395"/>
      <c r="BG230" s="395"/>
      <c r="BH230" s="395"/>
      <c r="BI230" s="395"/>
      <c r="BJ230" s="395"/>
      <c r="BK230" s="395"/>
      <c r="BL230" s="395"/>
      <c r="BM230" s="395"/>
      <c r="BN230" s="395"/>
      <c r="BO230" s="395"/>
      <c r="BP230" s="395"/>
      <c r="BQ230" s="395"/>
      <c r="BR230" s="395"/>
      <c r="BS230" s="395"/>
      <c r="BT230" s="395"/>
      <c r="BU230" s="395"/>
    </row>
    <row r="231" spans="1:73" s="396" customFormat="1" ht="21.75" customHeight="1" thickBot="1">
      <c r="A231" s="397" t="s">
        <v>480</v>
      </c>
      <c r="B231" s="393">
        <v>100870</v>
      </c>
      <c r="C231" s="422"/>
      <c r="D231" s="668"/>
      <c r="E231" s="668"/>
      <c r="F231" s="701"/>
      <c r="G231" s="395"/>
      <c r="H231" s="395"/>
      <c r="I231" s="395"/>
      <c r="J231" s="395"/>
      <c r="K231" s="395"/>
      <c r="L231" s="395"/>
      <c r="M231" s="395"/>
      <c r="N231" s="395"/>
      <c r="O231" s="395"/>
      <c r="P231" s="395"/>
      <c r="Q231" s="395"/>
      <c r="R231" s="395"/>
      <c r="S231" s="395"/>
      <c r="T231" s="395"/>
      <c r="U231" s="395"/>
      <c r="V231" s="395"/>
      <c r="W231" s="395"/>
      <c r="X231" s="395"/>
      <c r="Y231" s="395"/>
      <c r="Z231" s="395"/>
      <c r="AA231" s="395"/>
      <c r="AB231" s="395"/>
      <c r="AC231" s="395"/>
      <c r="AD231" s="395"/>
      <c r="AE231" s="395"/>
      <c r="AF231" s="395"/>
      <c r="AG231" s="395"/>
      <c r="AH231" s="395"/>
      <c r="AI231" s="395"/>
      <c r="AJ231" s="395"/>
      <c r="AK231" s="395"/>
      <c r="AL231" s="395"/>
      <c r="AM231" s="395"/>
      <c r="AN231" s="395"/>
      <c r="AO231" s="395"/>
      <c r="AP231" s="395"/>
      <c r="AQ231" s="395"/>
      <c r="AR231" s="395"/>
      <c r="AS231" s="395"/>
      <c r="AT231" s="395"/>
      <c r="AU231" s="395"/>
      <c r="AV231" s="395"/>
      <c r="AW231" s="395"/>
      <c r="AX231" s="395"/>
      <c r="AY231" s="395"/>
      <c r="AZ231" s="395"/>
      <c r="BA231" s="395"/>
      <c r="BB231" s="395"/>
      <c r="BC231" s="395"/>
      <c r="BD231" s="395"/>
      <c r="BE231" s="395"/>
      <c r="BF231" s="395"/>
      <c r="BG231" s="395"/>
      <c r="BH231" s="395"/>
      <c r="BI231" s="395"/>
      <c r="BJ231" s="395"/>
      <c r="BK231" s="395"/>
      <c r="BL231" s="395"/>
      <c r="BM231" s="395"/>
      <c r="BN231" s="395"/>
      <c r="BO231" s="395"/>
      <c r="BP231" s="395"/>
      <c r="BQ231" s="395"/>
      <c r="BR231" s="395"/>
      <c r="BS231" s="395"/>
      <c r="BT231" s="395"/>
      <c r="BU231" s="395"/>
    </row>
    <row r="232" spans="1:73" s="401" customFormat="1" ht="21.75" customHeight="1" thickBot="1">
      <c r="A232" s="638" t="s">
        <v>913</v>
      </c>
      <c r="B232" s="398"/>
      <c r="C232" s="422"/>
      <c r="D232" s="668">
        <v>371600</v>
      </c>
      <c r="E232" s="668">
        <v>2735331</v>
      </c>
      <c r="F232" s="569">
        <f t="shared" ref="F232" si="29">E232/D232</f>
        <v>7.3609553283100109</v>
      </c>
      <c r="G232" s="400"/>
      <c r="H232" s="400"/>
      <c r="I232" s="400"/>
      <c r="J232" s="400"/>
      <c r="K232" s="400"/>
      <c r="L232" s="400"/>
      <c r="M232" s="400"/>
      <c r="N232" s="400"/>
      <c r="O232" s="400"/>
      <c r="P232" s="400"/>
      <c r="Q232" s="400"/>
      <c r="R232" s="400"/>
      <c r="S232" s="400"/>
      <c r="T232" s="400"/>
      <c r="U232" s="400"/>
      <c r="V232" s="400"/>
      <c r="W232" s="400"/>
      <c r="X232" s="400"/>
      <c r="Y232" s="400"/>
      <c r="Z232" s="400"/>
      <c r="AA232" s="400"/>
      <c r="AB232" s="400"/>
      <c r="AC232" s="400"/>
      <c r="AD232" s="400"/>
      <c r="AE232" s="400"/>
      <c r="AF232" s="400"/>
      <c r="AG232" s="400"/>
      <c r="AH232" s="400"/>
      <c r="AI232" s="400"/>
      <c r="AJ232" s="400"/>
      <c r="AK232" s="400"/>
      <c r="AL232" s="400"/>
      <c r="AM232" s="400"/>
      <c r="AN232" s="400"/>
      <c r="AO232" s="400"/>
      <c r="AP232" s="400"/>
      <c r="AQ232" s="400"/>
      <c r="AR232" s="400"/>
      <c r="AS232" s="400"/>
      <c r="AT232" s="400"/>
      <c r="AU232" s="400"/>
      <c r="AV232" s="400"/>
      <c r="AW232" s="400"/>
      <c r="AX232" s="400"/>
      <c r="AY232" s="400"/>
      <c r="AZ232" s="400"/>
      <c r="BA232" s="400"/>
      <c r="BB232" s="400"/>
      <c r="BC232" s="400"/>
      <c r="BD232" s="400"/>
      <c r="BE232" s="400"/>
      <c r="BF232" s="400"/>
      <c r="BG232" s="400"/>
      <c r="BH232" s="400"/>
      <c r="BI232" s="400"/>
      <c r="BJ232" s="400"/>
      <c r="BK232" s="400"/>
      <c r="BL232" s="400"/>
      <c r="BM232" s="400"/>
      <c r="BN232" s="400"/>
      <c r="BO232" s="400"/>
      <c r="BP232" s="400"/>
      <c r="BQ232" s="400"/>
      <c r="BR232" s="400"/>
      <c r="BS232" s="400"/>
      <c r="BT232" s="400"/>
      <c r="BU232" s="400"/>
    </row>
    <row r="233" spans="1:73" s="396" customFormat="1" ht="38.25" customHeight="1" thickBot="1">
      <c r="A233" s="638" t="s">
        <v>918</v>
      </c>
      <c r="B233" s="393"/>
      <c r="C233" s="399">
        <f>SUM(B235:B236)</f>
        <v>0</v>
      </c>
      <c r="D233" s="543">
        <f t="shared" ref="D233" si="30">SUM(C233)</f>
        <v>0</v>
      </c>
      <c r="E233" s="543">
        <v>4772000</v>
      </c>
      <c r="F233" s="569">
        <v>0</v>
      </c>
      <c r="G233" s="395"/>
      <c r="H233" s="395"/>
      <c r="I233" s="395"/>
      <c r="J233" s="395"/>
      <c r="K233" s="395"/>
      <c r="L233" s="395"/>
      <c r="M233" s="395"/>
      <c r="N233" s="395"/>
      <c r="O233" s="395"/>
      <c r="P233" s="395"/>
      <c r="Q233" s="395"/>
      <c r="R233" s="395"/>
      <c r="S233" s="395"/>
      <c r="T233" s="395"/>
      <c r="U233" s="395"/>
      <c r="V233" s="395"/>
      <c r="W233" s="395"/>
      <c r="X233" s="395"/>
      <c r="Y233" s="395"/>
      <c r="Z233" s="395"/>
      <c r="AA233" s="395"/>
      <c r="AB233" s="395"/>
      <c r="AC233" s="395"/>
      <c r="AD233" s="395"/>
      <c r="AE233" s="395"/>
      <c r="AF233" s="395"/>
      <c r="AG233" s="395"/>
      <c r="AH233" s="395"/>
      <c r="AI233" s="395"/>
      <c r="AJ233" s="395"/>
      <c r="AK233" s="395"/>
      <c r="AL233" s="395"/>
      <c r="AM233" s="395"/>
      <c r="AN233" s="395"/>
      <c r="AO233" s="395"/>
      <c r="AP233" s="395"/>
      <c r="AQ233" s="395"/>
      <c r="AR233" s="395"/>
      <c r="AS233" s="395"/>
      <c r="AT233" s="395"/>
      <c r="AU233" s="395"/>
      <c r="AV233" s="395"/>
      <c r="AW233" s="395"/>
      <c r="AX233" s="395"/>
      <c r="AY233" s="395"/>
      <c r="AZ233" s="395"/>
      <c r="BA233" s="395"/>
      <c r="BB233" s="395"/>
      <c r="BC233" s="395"/>
      <c r="BD233" s="395"/>
      <c r="BE233" s="395"/>
      <c r="BF233" s="395"/>
      <c r="BG233" s="395"/>
      <c r="BH233" s="395"/>
      <c r="BI233" s="395"/>
      <c r="BJ233" s="395"/>
      <c r="BK233" s="395"/>
      <c r="BL233" s="395"/>
      <c r="BM233" s="395"/>
      <c r="BN233" s="395"/>
      <c r="BO233" s="395"/>
      <c r="BP233" s="395"/>
      <c r="BQ233" s="395"/>
      <c r="BR233" s="395"/>
      <c r="BS233" s="395"/>
      <c r="BT233" s="395"/>
      <c r="BU233" s="395"/>
    </row>
    <row r="234" spans="1:73" s="401" customFormat="1" ht="39.75" customHeight="1" thickBot="1">
      <c r="A234" s="638" t="s">
        <v>881</v>
      </c>
      <c r="B234" s="398"/>
      <c r="C234" s="399">
        <v>10000000</v>
      </c>
      <c r="D234" s="543">
        <f>SUM(C234)-10000000</f>
        <v>0</v>
      </c>
      <c r="E234" s="543">
        <v>0</v>
      </c>
      <c r="F234" s="569">
        <v>0</v>
      </c>
      <c r="G234" s="400"/>
      <c r="H234" s="400"/>
      <c r="I234" s="400"/>
      <c r="J234" s="400"/>
      <c r="K234" s="400"/>
      <c r="L234" s="400"/>
      <c r="M234" s="400"/>
      <c r="N234" s="400"/>
      <c r="O234" s="400"/>
      <c r="P234" s="400"/>
      <c r="Q234" s="400"/>
      <c r="R234" s="400"/>
      <c r="S234" s="400"/>
      <c r="T234" s="400"/>
      <c r="U234" s="400"/>
      <c r="V234" s="400"/>
      <c r="W234" s="400"/>
      <c r="X234" s="400"/>
      <c r="Y234" s="400"/>
      <c r="Z234" s="400"/>
      <c r="AA234" s="400"/>
      <c r="AB234" s="400"/>
      <c r="AC234" s="400"/>
      <c r="AD234" s="400"/>
      <c r="AE234" s="400"/>
      <c r="AF234" s="400"/>
      <c r="AG234" s="400"/>
      <c r="AH234" s="400"/>
      <c r="AI234" s="400"/>
      <c r="AJ234" s="400"/>
      <c r="AK234" s="400"/>
      <c r="AL234" s="400"/>
      <c r="AM234" s="400"/>
      <c r="AN234" s="400"/>
      <c r="AO234" s="400"/>
      <c r="AP234" s="400"/>
      <c r="AQ234" s="400"/>
      <c r="AR234" s="400"/>
      <c r="AS234" s="400"/>
      <c r="AT234" s="400"/>
      <c r="AU234" s="400"/>
      <c r="AV234" s="400"/>
      <c r="AW234" s="400"/>
      <c r="AX234" s="400"/>
      <c r="AY234" s="400"/>
      <c r="AZ234" s="400"/>
      <c r="BA234" s="400"/>
      <c r="BB234" s="400"/>
      <c r="BC234" s="400"/>
      <c r="BD234" s="400"/>
      <c r="BE234" s="400"/>
      <c r="BF234" s="400"/>
      <c r="BG234" s="400"/>
      <c r="BH234" s="400"/>
      <c r="BI234" s="400"/>
      <c r="BJ234" s="400"/>
      <c r="BK234" s="400"/>
      <c r="BL234" s="400"/>
      <c r="BM234" s="400"/>
      <c r="BN234" s="400"/>
      <c r="BO234" s="400"/>
      <c r="BP234" s="400"/>
      <c r="BQ234" s="400"/>
      <c r="BR234" s="400"/>
      <c r="BS234" s="400"/>
      <c r="BT234" s="400"/>
      <c r="BU234" s="400"/>
    </row>
    <row r="235" spans="1:73" s="541" customFormat="1" ht="44.25" customHeight="1" thickBot="1">
      <c r="A235" s="678" t="s">
        <v>526</v>
      </c>
      <c r="B235" s="679"/>
      <c r="C235" s="680">
        <f>SUM(C209:C234)</f>
        <v>1282769406</v>
      </c>
      <c r="D235" s="680">
        <f>SUM(D209:D234)</f>
        <v>1304685043</v>
      </c>
      <c r="E235" s="680">
        <f>SUM(E209:E234)</f>
        <v>84365784</v>
      </c>
      <c r="F235" s="706">
        <f>SUM(E235/D235)</f>
        <v>6.4663716697486509E-2</v>
      </c>
      <c r="G235" s="278"/>
      <c r="H235" s="540"/>
      <c r="I235" s="540"/>
      <c r="J235" s="540"/>
      <c r="K235" s="540"/>
      <c r="L235" s="540"/>
      <c r="M235" s="540"/>
      <c r="N235" s="540"/>
      <c r="O235" s="540"/>
      <c r="P235" s="540"/>
      <c r="Q235" s="540"/>
      <c r="R235" s="540"/>
      <c r="S235" s="540"/>
      <c r="T235" s="540"/>
      <c r="U235" s="540"/>
      <c r="V235" s="540"/>
      <c r="W235" s="540"/>
      <c r="X235" s="540"/>
      <c r="Y235" s="540"/>
      <c r="Z235" s="540"/>
      <c r="AA235" s="540"/>
      <c r="AB235" s="540"/>
      <c r="AC235" s="540"/>
      <c r="AD235" s="540"/>
      <c r="AE235" s="540"/>
      <c r="AF235" s="540"/>
      <c r="AG235" s="540"/>
      <c r="AH235" s="540"/>
      <c r="AI235" s="540"/>
      <c r="AJ235" s="540"/>
      <c r="AK235" s="540"/>
      <c r="AL235" s="540"/>
      <c r="AM235" s="540"/>
      <c r="AN235" s="540"/>
      <c r="AO235" s="540"/>
      <c r="AP235" s="540"/>
      <c r="AQ235" s="540"/>
      <c r="AR235" s="540"/>
      <c r="AS235" s="540"/>
      <c r="AT235" s="540"/>
      <c r="AU235" s="540"/>
      <c r="AV235" s="540"/>
      <c r="AW235" s="540"/>
      <c r="AX235" s="540"/>
      <c r="AY235" s="540"/>
      <c r="AZ235" s="540"/>
      <c r="BA235" s="540"/>
      <c r="BB235" s="540"/>
      <c r="BC235" s="540"/>
      <c r="BD235" s="540"/>
      <c r="BE235" s="540"/>
      <c r="BF235" s="540"/>
      <c r="BG235" s="540"/>
      <c r="BH235" s="540"/>
      <c r="BI235" s="540"/>
      <c r="BJ235" s="540"/>
      <c r="BK235" s="540"/>
      <c r="BL235" s="540"/>
      <c r="BM235" s="540"/>
      <c r="BN235" s="540"/>
      <c r="BO235" s="540"/>
      <c r="BP235" s="540"/>
      <c r="BQ235" s="540"/>
      <c r="BR235" s="540"/>
      <c r="BS235" s="540"/>
      <c r="BT235" s="540"/>
      <c r="BU235" s="540"/>
    </row>
    <row r="236" spans="1:73" s="652" customFormat="1" ht="38.25" customHeight="1" thickBot="1">
      <c r="A236" s="404"/>
      <c r="B236" s="690"/>
      <c r="C236" s="650"/>
      <c r="D236" s="650"/>
      <c r="E236" s="650"/>
      <c r="F236" s="699"/>
      <c r="G236" s="400"/>
      <c r="H236" s="651"/>
      <c r="I236" s="651"/>
      <c r="J236" s="651"/>
      <c r="K236" s="651"/>
      <c r="L236" s="651"/>
      <c r="M236" s="651"/>
      <c r="N236" s="651"/>
      <c r="O236" s="651"/>
      <c r="P236" s="651"/>
      <c r="Q236" s="651"/>
      <c r="R236" s="651"/>
      <c r="S236" s="651"/>
      <c r="T236" s="651"/>
      <c r="U236" s="651"/>
      <c r="V236" s="651"/>
      <c r="W236" s="651"/>
      <c r="X236" s="651"/>
      <c r="Y236" s="651"/>
      <c r="Z236" s="651"/>
      <c r="AA236" s="651"/>
      <c r="AB236" s="651"/>
      <c r="AC236" s="651"/>
      <c r="AD236" s="651"/>
      <c r="AE236" s="651"/>
      <c r="AF236" s="651"/>
      <c r="AG236" s="651"/>
      <c r="AH236" s="651"/>
      <c r="AI236" s="651"/>
      <c r="AJ236" s="651"/>
      <c r="AK236" s="651"/>
      <c r="AL236" s="651"/>
      <c r="AM236" s="651"/>
      <c r="AN236" s="651"/>
      <c r="AO236" s="651"/>
      <c r="AP236" s="651"/>
      <c r="AQ236" s="651"/>
      <c r="AR236" s="651"/>
      <c r="AS236" s="651"/>
      <c r="AT236" s="651"/>
      <c r="AU236" s="651"/>
      <c r="AV236" s="651"/>
      <c r="AW236" s="651"/>
      <c r="AX236" s="651"/>
      <c r="AY236" s="651"/>
      <c r="AZ236" s="651"/>
      <c r="BA236" s="651"/>
      <c r="BB236" s="651"/>
      <c r="BC236" s="651"/>
      <c r="BD236" s="651"/>
      <c r="BE236" s="651"/>
      <c r="BF236" s="651"/>
      <c r="BG236" s="651"/>
      <c r="BH236" s="651"/>
      <c r="BI236" s="651"/>
      <c r="BJ236" s="651"/>
      <c r="BK236" s="651"/>
      <c r="BL236" s="651"/>
      <c r="BM236" s="651"/>
      <c r="BN236" s="651"/>
      <c r="BO236" s="651"/>
      <c r="BP236" s="651"/>
      <c r="BQ236" s="651"/>
      <c r="BR236" s="651"/>
      <c r="BS236" s="651"/>
      <c r="BT236" s="651"/>
      <c r="BU236" s="651"/>
    </row>
    <row r="237" spans="1:73" s="541" customFormat="1" ht="44.25" customHeight="1" thickBot="1">
      <c r="A237" s="691" t="s">
        <v>527</v>
      </c>
      <c r="B237" s="679"/>
      <c r="C237" s="673"/>
      <c r="D237" s="676"/>
      <c r="E237" s="676"/>
      <c r="F237" s="705"/>
      <c r="G237" s="278"/>
      <c r="H237" s="540"/>
      <c r="I237" s="540"/>
      <c r="J237" s="540"/>
      <c r="K237" s="540"/>
      <c r="L237" s="540"/>
      <c r="M237" s="540"/>
      <c r="N237" s="540"/>
      <c r="O237" s="540"/>
      <c r="P237" s="540"/>
      <c r="Q237" s="540"/>
      <c r="R237" s="540"/>
      <c r="S237" s="540"/>
      <c r="T237" s="540"/>
      <c r="U237" s="540"/>
      <c r="V237" s="540"/>
      <c r="W237" s="540"/>
      <c r="X237" s="540"/>
      <c r="Y237" s="540"/>
      <c r="Z237" s="540"/>
      <c r="AA237" s="540"/>
      <c r="AB237" s="540"/>
      <c r="AC237" s="540"/>
      <c r="AD237" s="540"/>
      <c r="AE237" s="540"/>
      <c r="AF237" s="540"/>
      <c r="AG237" s="540"/>
      <c r="AH237" s="540"/>
      <c r="AI237" s="540"/>
      <c r="AJ237" s="540"/>
      <c r="AK237" s="540"/>
      <c r="AL237" s="540"/>
      <c r="AM237" s="540"/>
      <c r="AN237" s="540"/>
      <c r="AO237" s="540"/>
      <c r="AP237" s="540"/>
      <c r="AQ237" s="540"/>
      <c r="AR237" s="540"/>
      <c r="AS237" s="540"/>
      <c r="AT237" s="540"/>
      <c r="AU237" s="540"/>
      <c r="AV237" s="540"/>
      <c r="AW237" s="540"/>
      <c r="AX237" s="540"/>
      <c r="AY237" s="540"/>
      <c r="AZ237" s="540"/>
      <c r="BA237" s="540"/>
      <c r="BB237" s="540"/>
      <c r="BC237" s="540"/>
      <c r="BD237" s="540"/>
      <c r="BE237" s="540"/>
      <c r="BF237" s="540"/>
      <c r="BG237" s="540"/>
      <c r="BH237" s="540"/>
      <c r="BI237" s="540"/>
      <c r="BJ237" s="540"/>
      <c r="BK237" s="540"/>
      <c r="BL237" s="540"/>
      <c r="BM237" s="540"/>
      <c r="BN237" s="540"/>
      <c r="BO237" s="540"/>
      <c r="BP237" s="540"/>
      <c r="BQ237" s="540"/>
      <c r="BR237" s="540"/>
      <c r="BS237" s="540"/>
      <c r="BT237" s="540"/>
      <c r="BU237" s="540"/>
    </row>
    <row r="238" spans="1:73" s="401" customFormat="1" ht="52.5" customHeight="1" thickBot="1">
      <c r="A238" s="316" t="s">
        <v>866</v>
      </c>
      <c r="B238" s="551"/>
      <c r="C238" s="318">
        <f>208891270-9978697</f>
        <v>198912573</v>
      </c>
      <c r="D238" s="543">
        <f t="shared" ref="D238:D239" si="31">SUM(C238)</f>
        <v>198912573</v>
      </c>
      <c r="E238" s="543">
        <v>166339915</v>
      </c>
      <c r="F238" s="569">
        <f t="shared" ref="F238:F240" si="32">E238/D238</f>
        <v>0.83624635934903924</v>
      </c>
      <c r="G238" s="400"/>
      <c r="H238" s="400"/>
      <c r="I238" s="400"/>
      <c r="J238" s="400"/>
      <c r="K238" s="400"/>
      <c r="L238" s="400"/>
      <c r="M238" s="400"/>
      <c r="N238" s="400"/>
      <c r="O238" s="400"/>
      <c r="P238" s="400"/>
      <c r="Q238" s="400"/>
      <c r="R238" s="400"/>
      <c r="S238" s="400"/>
      <c r="T238" s="400"/>
      <c r="U238" s="400"/>
      <c r="V238" s="400"/>
      <c r="W238" s="400"/>
      <c r="X238" s="400"/>
      <c r="Y238" s="400"/>
      <c r="Z238" s="400"/>
      <c r="AA238" s="400"/>
      <c r="AB238" s="400"/>
      <c r="AC238" s="400"/>
      <c r="AD238" s="400"/>
      <c r="AE238" s="400"/>
      <c r="AF238" s="400"/>
      <c r="AG238" s="400"/>
      <c r="AH238" s="400"/>
      <c r="AI238" s="400"/>
      <c r="AJ238" s="400"/>
      <c r="AK238" s="400"/>
      <c r="AL238" s="400"/>
      <c r="AM238" s="400"/>
      <c r="AN238" s="400"/>
      <c r="AO238" s="400"/>
      <c r="AP238" s="400"/>
      <c r="AQ238" s="400"/>
      <c r="AR238" s="400"/>
      <c r="AS238" s="400"/>
      <c r="AT238" s="400"/>
      <c r="AU238" s="400"/>
      <c r="AV238" s="400"/>
      <c r="AW238" s="400"/>
      <c r="AX238" s="400"/>
      <c r="AY238" s="400"/>
      <c r="AZ238" s="400"/>
      <c r="BA238" s="400"/>
      <c r="BB238" s="400"/>
      <c r="BC238" s="400"/>
      <c r="BD238" s="400"/>
      <c r="BE238" s="400"/>
      <c r="BF238" s="400"/>
      <c r="BG238" s="400"/>
      <c r="BH238" s="400"/>
      <c r="BI238" s="400"/>
      <c r="BJ238" s="400"/>
      <c r="BK238" s="400"/>
      <c r="BL238" s="400"/>
      <c r="BM238" s="400"/>
      <c r="BN238" s="400"/>
      <c r="BO238" s="400"/>
      <c r="BP238" s="400"/>
      <c r="BQ238" s="400"/>
      <c r="BR238" s="400"/>
      <c r="BS238" s="400"/>
      <c r="BT238" s="400"/>
      <c r="BU238" s="400"/>
    </row>
    <row r="239" spans="1:73" s="401" customFormat="1" ht="52.5" customHeight="1" thickBot="1">
      <c r="A239" s="316" t="s">
        <v>867</v>
      </c>
      <c r="B239" s="551"/>
      <c r="C239" s="399">
        <f>90353295-6294847</f>
        <v>84058448</v>
      </c>
      <c r="D239" s="543">
        <f t="shared" si="31"/>
        <v>84058448</v>
      </c>
      <c r="E239" s="543">
        <v>0</v>
      </c>
      <c r="F239" s="569">
        <f t="shared" si="32"/>
        <v>0</v>
      </c>
      <c r="G239" s="400"/>
      <c r="H239" s="400"/>
      <c r="I239" s="400"/>
      <c r="J239" s="400"/>
      <c r="K239" s="400"/>
      <c r="L239" s="400"/>
      <c r="M239" s="400"/>
      <c r="N239" s="400"/>
      <c r="O239" s="400"/>
      <c r="P239" s="400"/>
      <c r="Q239" s="400"/>
      <c r="R239" s="400"/>
      <c r="S239" s="400"/>
      <c r="T239" s="400"/>
      <c r="U239" s="400"/>
      <c r="V239" s="400"/>
      <c r="W239" s="400"/>
      <c r="X239" s="400"/>
      <c r="Y239" s="400"/>
      <c r="Z239" s="400"/>
      <c r="AA239" s="400"/>
      <c r="AB239" s="400"/>
      <c r="AC239" s="400"/>
      <c r="AD239" s="400"/>
      <c r="AE239" s="400"/>
      <c r="AF239" s="400"/>
      <c r="AG239" s="400"/>
      <c r="AH239" s="400"/>
      <c r="AI239" s="400"/>
      <c r="AJ239" s="400"/>
      <c r="AK239" s="400"/>
      <c r="AL239" s="400"/>
      <c r="AM239" s="400"/>
      <c r="AN239" s="400"/>
      <c r="AO239" s="400"/>
      <c r="AP239" s="400"/>
      <c r="AQ239" s="400"/>
      <c r="AR239" s="400"/>
      <c r="AS239" s="400"/>
      <c r="AT239" s="400"/>
      <c r="AU239" s="400"/>
      <c r="AV239" s="400"/>
      <c r="AW239" s="400"/>
      <c r="AX239" s="400"/>
      <c r="AY239" s="400"/>
      <c r="AZ239" s="400"/>
      <c r="BA239" s="400"/>
      <c r="BB239" s="400"/>
      <c r="BC239" s="400"/>
      <c r="BD239" s="400"/>
      <c r="BE239" s="400"/>
      <c r="BF239" s="400"/>
      <c r="BG239" s="400"/>
      <c r="BH239" s="400"/>
      <c r="BI239" s="400"/>
      <c r="BJ239" s="400"/>
      <c r="BK239" s="400"/>
      <c r="BL239" s="400"/>
      <c r="BM239" s="400"/>
      <c r="BN239" s="400"/>
      <c r="BO239" s="400"/>
      <c r="BP239" s="400"/>
      <c r="BQ239" s="400"/>
      <c r="BR239" s="400"/>
      <c r="BS239" s="400"/>
      <c r="BT239" s="400"/>
      <c r="BU239" s="400"/>
    </row>
    <row r="240" spans="1:73" s="401" customFormat="1" ht="52.5" customHeight="1" thickBot="1">
      <c r="A240" s="316" t="s">
        <v>868</v>
      </c>
      <c r="B240" s="551"/>
      <c r="C240" s="399">
        <f>120147577-7212950</f>
        <v>112934627</v>
      </c>
      <c r="D240" s="543">
        <f>SUM(B241:B242)</f>
        <v>113550627</v>
      </c>
      <c r="E240" s="543">
        <v>88701213</v>
      </c>
      <c r="F240" s="569">
        <f t="shared" si="32"/>
        <v>0.78116004590621946</v>
      </c>
      <c r="G240" s="400"/>
      <c r="H240" s="400"/>
      <c r="I240" s="400"/>
      <c r="J240" s="400"/>
      <c r="K240" s="400"/>
      <c r="L240" s="400"/>
      <c r="M240" s="400"/>
      <c r="N240" s="400"/>
      <c r="O240" s="400"/>
      <c r="P240" s="400"/>
      <c r="Q240" s="400"/>
      <c r="R240" s="400"/>
      <c r="S240" s="400"/>
      <c r="T240" s="400"/>
      <c r="U240" s="400"/>
      <c r="V240" s="400"/>
      <c r="W240" s="400"/>
      <c r="X240" s="400"/>
      <c r="Y240" s="400"/>
      <c r="Z240" s="400"/>
      <c r="AA240" s="400"/>
      <c r="AB240" s="400"/>
      <c r="AC240" s="400"/>
      <c r="AD240" s="400"/>
      <c r="AE240" s="400"/>
      <c r="AF240" s="400"/>
      <c r="AG240" s="400"/>
      <c r="AH240" s="400"/>
      <c r="AI240" s="400"/>
      <c r="AJ240" s="400"/>
      <c r="AK240" s="400"/>
      <c r="AL240" s="400"/>
      <c r="AM240" s="400"/>
      <c r="AN240" s="400"/>
      <c r="AO240" s="400"/>
      <c r="AP240" s="400"/>
      <c r="AQ240" s="400"/>
      <c r="AR240" s="400"/>
      <c r="AS240" s="400"/>
      <c r="AT240" s="400"/>
      <c r="AU240" s="400"/>
      <c r="AV240" s="400"/>
      <c r="AW240" s="400"/>
      <c r="AX240" s="400"/>
      <c r="AY240" s="400"/>
      <c r="AZ240" s="400"/>
      <c r="BA240" s="400"/>
      <c r="BB240" s="400"/>
      <c r="BC240" s="400"/>
      <c r="BD240" s="400"/>
      <c r="BE240" s="400"/>
      <c r="BF240" s="400"/>
      <c r="BG240" s="400"/>
      <c r="BH240" s="400"/>
      <c r="BI240" s="400"/>
      <c r="BJ240" s="400"/>
      <c r="BK240" s="400"/>
      <c r="BL240" s="400"/>
      <c r="BM240" s="400"/>
      <c r="BN240" s="400"/>
      <c r="BO240" s="400"/>
      <c r="BP240" s="400"/>
      <c r="BQ240" s="400"/>
      <c r="BR240" s="400"/>
      <c r="BS240" s="400"/>
      <c r="BT240" s="400"/>
      <c r="BU240" s="400"/>
    </row>
    <row r="241" spans="1:73" s="435" customFormat="1" ht="30" customHeight="1" thickBot="1">
      <c r="A241" s="653" t="s">
        <v>483</v>
      </c>
      <c r="B241" s="402">
        <v>112934627</v>
      </c>
      <c r="C241" s="394"/>
      <c r="D241" s="394"/>
      <c r="E241" s="394"/>
      <c r="F241" s="321"/>
      <c r="G241" s="278"/>
      <c r="H241" s="278"/>
      <c r="I241" s="278"/>
      <c r="J241" s="278"/>
      <c r="K241" s="278"/>
      <c r="L241" s="278"/>
      <c r="M241" s="278"/>
      <c r="N241" s="278"/>
      <c r="O241" s="278"/>
      <c r="P241" s="278"/>
      <c r="Q241" s="278"/>
      <c r="R241" s="278"/>
      <c r="S241" s="278"/>
      <c r="T241" s="278"/>
      <c r="U241" s="278"/>
      <c r="V241" s="278"/>
      <c r="W241" s="278"/>
      <c r="X241" s="278"/>
      <c r="Y241" s="278"/>
      <c r="Z241" s="278"/>
      <c r="AA241" s="278"/>
      <c r="AB241" s="278"/>
      <c r="AC241" s="278"/>
      <c r="AD241" s="278"/>
      <c r="AE241" s="278"/>
      <c r="AF241" s="278"/>
      <c r="AG241" s="278"/>
      <c r="AH241" s="278"/>
      <c r="AI241" s="278"/>
      <c r="AJ241" s="278"/>
      <c r="AK241" s="278"/>
      <c r="AL241" s="278"/>
      <c r="AM241" s="278"/>
      <c r="AN241" s="278"/>
      <c r="AO241" s="278"/>
      <c r="AP241" s="278"/>
      <c r="AQ241" s="278"/>
      <c r="AR241" s="278"/>
      <c r="AS241" s="278"/>
      <c r="AT241" s="278"/>
      <c r="AU241" s="278"/>
      <c r="AV241" s="278"/>
      <c r="AW241" s="278"/>
      <c r="AX241" s="278"/>
      <c r="AY241" s="278"/>
      <c r="AZ241" s="278"/>
      <c r="BA241" s="278"/>
      <c r="BB241" s="278"/>
      <c r="BC241" s="278"/>
      <c r="BD241" s="278"/>
      <c r="BE241" s="278"/>
      <c r="BF241" s="278"/>
      <c r="BG241" s="278"/>
      <c r="BH241" s="278"/>
      <c r="BI241" s="278"/>
      <c r="BJ241" s="278"/>
      <c r="BK241" s="278"/>
      <c r="BL241" s="278"/>
      <c r="BM241" s="278"/>
      <c r="BN241" s="278"/>
      <c r="BO241" s="278"/>
      <c r="BP241" s="278"/>
      <c r="BQ241" s="278"/>
      <c r="BR241" s="278"/>
      <c r="BS241" s="278"/>
      <c r="BT241" s="278"/>
      <c r="BU241" s="278"/>
    </row>
    <row r="242" spans="1:73" s="435" customFormat="1" ht="30" customHeight="1" thickBot="1">
      <c r="A242" s="654" t="s">
        <v>869</v>
      </c>
      <c r="B242" s="402">
        <v>616000</v>
      </c>
      <c r="C242" s="394"/>
      <c r="D242" s="394"/>
      <c r="E242" s="394"/>
      <c r="F242" s="321"/>
      <c r="G242" s="278"/>
      <c r="H242" s="278"/>
      <c r="I242" s="278"/>
      <c r="J242" s="278"/>
      <c r="K242" s="278"/>
      <c r="L242" s="278"/>
      <c r="M242" s="278"/>
      <c r="N242" s="278"/>
      <c r="O242" s="278"/>
      <c r="P242" s="278"/>
      <c r="Q242" s="278"/>
      <c r="R242" s="278"/>
      <c r="S242" s="278"/>
      <c r="T242" s="278"/>
      <c r="U242" s="278"/>
      <c r="V242" s="278"/>
      <c r="W242" s="278"/>
      <c r="X242" s="278"/>
      <c r="Y242" s="278"/>
      <c r="Z242" s="278"/>
      <c r="AA242" s="278"/>
      <c r="AB242" s="278"/>
      <c r="AC242" s="278"/>
      <c r="AD242" s="278"/>
      <c r="AE242" s="278"/>
      <c r="AF242" s="278"/>
      <c r="AG242" s="278"/>
      <c r="AH242" s="278"/>
      <c r="AI242" s="278"/>
      <c r="AJ242" s="278"/>
      <c r="AK242" s="278"/>
      <c r="AL242" s="278"/>
      <c r="AM242" s="278"/>
      <c r="AN242" s="278"/>
      <c r="AO242" s="278"/>
      <c r="AP242" s="278"/>
      <c r="AQ242" s="278"/>
      <c r="AR242" s="278"/>
      <c r="AS242" s="278"/>
      <c r="AT242" s="278"/>
      <c r="AU242" s="278"/>
      <c r="AV242" s="278"/>
      <c r="AW242" s="278"/>
      <c r="AX242" s="278"/>
      <c r="AY242" s="278"/>
      <c r="AZ242" s="278"/>
      <c r="BA242" s="278"/>
      <c r="BB242" s="278"/>
      <c r="BC242" s="278"/>
      <c r="BD242" s="278"/>
      <c r="BE242" s="278"/>
      <c r="BF242" s="278"/>
      <c r="BG242" s="278"/>
      <c r="BH242" s="278"/>
      <c r="BI242" s="278"/>
      <c r="BJ242" s="278"/>
      <c r="BK242" s="278"/>
      <c r="BL242" s="278"/>
      <c r="BM242" s="278"/>
      <c r="BN242" s="278"/>
      <c r="BO242" s="278"/>
      <c r="BP242" s="278"/>
      <c r="BQ242" s="278"/>
      <c r="BR242" s="278"/>
      <c r="BS242" s="278"/>
      <c r="BT242" s="278"/>
      <c r="BU242" s="278"/>
    </row>
    <row r="243" spans="1:73" s="401" customFormat="1" ht="52.5" customHeight="1" thickBot="1">
      <c r="A243" s="316" t="s">
        <v>870</v>
      </c>
      <c r="B243" s="551"/>
      <c r="C243" s="399">
        <f>191471499-3651499</f>
        <v>187820000</v>
      </c>
      <c r="D243" s="543">
        <f t="shared" ref="D243:D244" si="33">SUM(C243)</f>
        <v>187820000</v>
      </c>
      <c r="E243" s="543">
        <v>90987642</v>
      </c>
      <c r="F243" s="569">
        <f t="shared" ref="F243:F253" si="34">E243/D243</f>
        <v>0.48444064529869024</v>
      </c>
      <c r="G243" s="400"/>
      <c r="H243" s="400"/>
      <c r="I243" s="400"/>
      <c r="J243" s="400"/>
      <c r="K243" s="400"/>
      <c r="L243" s="400"/>
      <c r="M243" s="400"/>
      <c r="N243" s="400"/>
      <c r="O243" s="400"/>
      <c r="P243" s="400"/>
      <c r="Q243" s="400"/>
      <c r="R243" s="400"/>
      <c r="S243" s="400"/>
      <c r="T243" s="400"/>
      <c r="U243" s="400"/>
      <c r="V243" s="400"/>
      <c r="W243" s="400"/>
      <c r="X243" s="400"/>
      <c r="Y243" s="400"/>
      <c r="Z243" s="400"/>
      <c r="AA243" s="400"/>
      <c r="AB243" s="400"/>
      <c r="AC243" s="400"/>
      <c r="AD243" s="400"/>
      <c r="AE243" s="400"/>
      <c r="AF243" s="400"/>
      <c r="AG243" s="400"/>
      <c r="AH243" s="400"/>
      <c r="AI243" s="400"/>
      <c r="AJ243" s="400"/>
      <c r="AK243" s="400"/>
      <c r="AL243" s="400"/>
      <c r="AM243" s="400"/>
      <c r="AN243" s="400"/>
      <c r="AO243" s="400"/>
      <c r="AP243" s="400"/>
      <c r="AQ243" s="400"/>
      <c r="AR243" s="400"/>
      <c r="AS243" s="400"/>
      <c r="AT243" s="400"/>
      <c r="AU243" s="400"/>
      <c r="AV243" s="400"/>
      <c r="AW243" s="400"/>
      <c r="AX243" s="400"/>
      <c r="AY243" s="400"/>
      <c r="AZ243" s="400"/>
      <c r="BA243" s="400"/>
      <c r="BB243" s="400"/>
      <c r="BC243" s="400"/>
      <c r="BD243" s="400"/>
      <c r="BE243" s="400"/>
      <c r="BF243" s="400"/>
      <c r="BG243" s="400"/>
      <c r="BH243" s="400"/>
      <c r="BI243" s="400"/>
      <c r="BJ243" s="400"/>
      <c r="BK243" s="400"/>
      <c r="BL243" s="400"/>
      <c r="BM243" s="400"/>
      <c r="BN243" s="400"/>
      <c r="BO243" s="400"/>
      <c r="BP243" s="400"/>
      <c r="BQ243" s="400"/>
      <c r="BR243" s="400"/>
      <c r="BS243" s="400"/>
      <c r="BT243" s="400"/>
      <c r="BU243" s="400"/>
    </row>
    <row r="244" spans="1:73" s="401" customFormat="1" ht="38.25" customHeight="1" thickBot="1">
      <c r="A244" s="316" t="s">
        <v>802</v>
      </c>
      <c r="B244" s="551"/>
      <c r="C244" s="399">
        <f>103850000-3850000</f>
        <v>100000000</v>
      </c>
      <c r="D244" s="543">
        <f t="shared" si="33"/>
        <v>100000000</v>
      </c>
      <c r="E244" s="543">
        <v>0</v>
      </c>
      <c r="F244" s="569">
        <f t="shared" si="34"/>
        <v>0</v>
      </c>
      <c r="G244" s="400"/>
      <c r="H244" s="400"/>
      <c r="I244" s="400"/>
      <c r="J244" s="400"/>
      <c r="K244" s="400"/>
      <c r="L244" s="400"/>
      <c r="M244" s="400"/>
      <c r="N244" s="400"/>
      <c r="O244" s="400"/>
      <c r="P244" s="400"/>
      <c r="Q244" s="400"/>
      <c r="R244" s="400"/>
      <c r="S244" s="400"/>
      <c r="T244" s="400"/>
      <c r="U244" s="400"/>
      <c r="V244" s="400"/>
      <c r="W244" s="400"/>
      <c r="X244" s="400"/>
      <c r="Y244" s="400"/>
      <c r="Z244" s="400"/>
      <c r="AA244" s="400"/>
      <c r="AB244" s="400"/>
      <c r="AC244" s="400"/>
      <c r="AD244" s="400"/>
      <c r="AE244" s="400"/>
      <c r="AF244" s="400"/>
      <c r="AG244" s="400"/>
      <c r="AH244" s="400"/>
      <c r="AI244" s="400"/>
      <c r="AJ244" s="400"/>
      <c r="AK244" s="400"/>
      <c r="AL244" s="400"/>
      <c r="AM244" s="400"/>
      <c r="AN244" s="400"/>
      <c r="AO244" s="400"/>
      <c r="AP244" s="400"/>
      <c r="AQ244" s="400"/>
      <c r="AR244" s="400"/>
      <c r="AS244" s="400"/>
      <c r="AT244" s="400"/>
      <c r="AU244" s="400"/>
      <c r="AV244" s="400"/>
      <c r="AW244" s="400"/>
      <c r="AX244" s="400"/>
      <c r="AY244" s="400"/>
      <c r="AZ244" s="400"/>
      <c r="BA244" s="400"/>
      <c r="BB244" s="400"/>
      <c r="BC244" s="400"/>
      <c r="BD244" s="400"/>
      <c r="BE244" s="400"/>
      <c r="BF244" s="400"/>
      <c r="BG244" s="400"/>
      <c r="BH244" s="400"/>
      <c r="BI244" s="400"/>
      <c r="BJ244" s="400"/>
      <c r="BK244" s="400"/>
      <c r="BL244" s="400"/>
      <c r="BM244" s="400"/>
      <c r="BN244" s="400"/>
      <c r="BO244" s="400"/>
      <c r="BP244" s="400"/>
      <c r="BQ244" s="400"/>
      <c r="BR244" s="400"/>
      <c r="BS244" s="400"/>
      <c r="BT244" s="400"/>
      <c r="BU244" s="400"/>
    </row>
    <row r="245" spans="1:73" s="288" customFormat="1" ht="57" thickBot="1">
      <c r="A245" s="659" t="s">
        <v>809</v>
      </c>
      <c r="B245" s="660"/>
      <c r="C245" s="399"/>
      <c r="D245" s="399">
        <f>11000000-255000</f>
        <v>10745000</v>
      </c>
      <c r="E245" s="399">
        <v>9791303</v>
      </c>
      <c r="F245" s="569">
        <f t="shared" si="34"/>
        <v>0.91124271754304331</v>
      </c>
      <c r="G245" s="408"/>
      <c r="H245" s="408"/>
      <c r="I245" s="408"/>
      <c r="J245" s="408"/>
      <c r="K245" s="408"/>
      <c r="L245" s="408"/>
      <c r="M245" s="408"/>
      <c r="N245" s="408"/>
      <c r="O245" s="408"/>
      <c r="P245" s="408"/>
      <c r="Q245" s="408"/>
      <c r="R245" s="408"/>
      <c r="S245" s="408"/>
      <c r="T245" s="408"/>
      <c r="U245" s="408"/>
      <c r="V245" s="408"/>
      <c r="W245" s="408"/>
      <c r="X245" s="408"/>
      <c r="Y245" s="408"/>
      <c r="Z245" s="408"/>
      <c r="AA245" s="408"/>
      <c r="AB245" s="408"/>
      <c r="AC245" s="408"/>
      <c r="AD245" s="408"/>
      <c r="AE245" s="408"/>
      <c r="AF245" s="408"/>
      <c r="AG245" s="408"/>
      <c r="AH245" s="408"/>
      <c r="AI245" s="408"/>
      <c r="AJ245" s="408"/>
      <c r="AK245" s="408"/>
      <c r="AL245" s="408"/>
      <c r="AM245" s="408"/>
      <c r="AN245" s="408"/>
      <c r="AO245" s="408"/>
      <c r="AP245" s="408"/>
      <c r="AQ245" s="408"/>
      <c r="AR245" s="408"/>
      <c r="AS245" s="408"/>
      <c r="AT245" s="408"/>
      <c r="AU245" s="408"/>
      <c r="AV245" s="408"/>
      <c r="AW245" s="408"/>
      <c r="AX245" s="408"/>
      <c r="AY245" s="408"/>
      <c r="AZ245" s="408"/>
      <c r="BA245" s="408"/>
      <c r="BB245" s="408"/>
      <c r="BC245" s="408"/>
      <c r="BD245" s="408"/>
      <c r="BE245" s="408"/>
      <c r="BF245" s="408"/>
      <c r="BG245" s="408"/>
      <c r="BH245" s="408"/>
      <c r="BI245" s="408"/>
      <c r="BJ245" s="408"/>
      <c r="BK245" s="408"/>
      <c r="BL245" s="408"/>
      <c r="BM245" s="408"/>
      <c r="BN245" s="408"/>
      <c r="BO245" s="408"/>
      <c r="BP245" s="408"/>
      <c r="BQ245" s="408"/>
      <c r="BR245" s="408"/>
      <c r="BS245" s="408"/>
      <c r="BT245" s="408"/>
      <c r="BU245" s="408"/>
    </row>
    <row r="246" spans="1:73" s="288" customFormat="1" ht="74.25" customHeight="1" thickBot="1">
      <c r="A246" s="659" t="s">
        <v>810</v>
      </c>
      <c r="B246" s="660"/>
      <c r="C246" s="399"/>
      <c r="D246" s="399">
        <v>26666667</v>
      </c>
      <c r="E246" s="399">
        <v>0</v>
      </c>
      <c r="F246" s="569">
        <f t="shared" si="34"/>
        <v>0</v>
      </c>
      <c r="G246" s="408"/>
      <c r="H246" s="408"/>
      <c r="I246" s="408"/>
      <c r="J246" s="408"/>
      <c r="K246" s="408"/>
      <c r="L246" s="408"/>
      <c r="M246" s="408"/>
      <c r="N246" s="408"/>
      <c r="O246" s="408"/>
      <c r="P246" s="408"/>
      <c r="Q246" s="408"/>
      <c r="R246" s="408"/>
      <c r="S246" s="408"/>
      <c r="T246" s="408"/>
      <c r="U246" s="408"/>
      <c r="V246" s="408"/>
      <c r="W246" s="408"/>
      <c r="X246" s="408"/>
      <c r="Y246" s="408"/>
      <c r="Z246" s="408"/>
      <c r="AA246" s="408"/>
      <c r="AB246" s="408"/>
      <c r="AC246" s="408"/>
      <c r="AD246" s="408"/>
      <c r="AE246" s="408"/>
      <c r="AF246" s="408"/>
      <c r="AG246" s="408"/>
      <c r="AH246" s="408"/>
      <c r="AI246" s="408"/>
      <c r="AJ246" s="408"/>
      <c r="AK246" s="408"/>
      <c r="AL246" s="408"/>
      <c r="AM246" s="408"/>
      <c r="AN246" s="408"/>
      <c r="AO246" s="408"/>
      <c r="AP246" s="408"/>
      <c r="AQ246" s="408"/>
      <c r="AR246" s="408"/>
      <c r="AS246" s="408"/>
      <c r="AT246" s="408"/>
      <c r="AU246" s="408"/>
      <c r="AV246" s="408"/>
      <c r="AW246" s="408"/>
      <c r="AX246" s="408"/>
      <c r="AY246" s="408"/>
      <c r="AZ246" s="408"/>
      <c r="BA246" s="408"/>
      <c r="BB246" s="408"/>
      <c r="BC246" s="408"/>
      <c r="BD246" s="408"/>
      <c r="BE246" s="408"/>
      <c r="BF246" s="408"/>
      <c r="BG246" s="408"/>
      <c r="BH246" s="408"/>
      <c r="BI246" s="408"/>
      <c r="BJ246" s="408"/>
      <c r="BK246" s="408"/>
      <c r="BL246" s="408"/>
      <c r="BM246" s="408"/>
      <c r="BN246" s="408"/>
      <c r="BO246" s="408"/>
      <c r="BP246" s="408"/>
      <c r="BQ246" s="408"/>
      <c r="BR246" s="408"/>
      <c r="BS246" s="408"/>
      <c r="BT246" s="408"/>
      <c r="BU246" s="408"/>
    </row>
    <row r="247" spans="1:73" s="288" customFormat="1" ht="78" customHeight="1" thickBot="1">
      <c r="A247" s="659" t="s">
        <v>811</v>
      </c>
      <c r="B247" s="660"/>
      <c r="C247" s="399"/>
      <c r="D247" s="399">
        <v>233020000</v>
      </c>
      <c r="E247" s="399">
        <v>9652000</v>
      </c>
      <c r="F247" s="569">
        <f t="shared" si="34"/>
        <v>4.1421337224272596E-2</v>
      </c>
      <c r="G247" s="408"/>
      <c r="H247" s="408"/>
      <c r="I247" s="408"/>
      <c r="J247" s="408"/>
      <c r="K247" s="408"/>
      <c r="L247" s="408"/>
      <c r="M247" s="408"/>
      <c r="N247" s="408"/>
      <c r="O247" s="408"/>
      <c r="P247" s="408"/>
      <c r="Q247" s="408"/>
      <c r="R247" s="408"/>
      <c r="S247" s="408"/>
      <c r="T247" s="408"/>
      <c r="U247" s="408"/>
      <c r="V247" s="408"/>
      <c r="W247" s="408"/>
      <c r="X247" s="408"/>
      <c r="Y247" s="408"/>
      <c r="Z247" s="408"/>
      <c r="AA247" s="408"/>
      <c r="AB247" s="408"/>
      <c r="AC247" s="408"/>
      <c r="AD247" s="408"/>
      <c r="AE247" s="408"/>
      <c r="AF247" s="408"/>
      <c r="AG247" s="408"/>
      <c r="AH247" s="408"/>
      <c r="AI247" s="408"/>
      <c r="AJ247" s="408"/>
      <c r="AK247" s="408"/>
      <c r="AL247" s="408"/>
      <c r="AM247" s="408"/>
      <c r="AN247" s="408"/>
      <c r="AO247" s="408"/>
      <c r="AP247" s="408"/>
      <c r="AQ247" s="408"/>
      <c r="AR247" s="408"/>
      <c r="AS247" s="408"/>
      <c r="AT247" s="408"/>
      <c r="AU247" s="408"/>
      <c r="AV247" s="408"/>
      <c r="AW247" s="408"/>
      <c r="AX247" s="408"/>
      <c r="AY247" s="408"/>
      <c r="AZ247" s="408"/>
      <c r="BA247" s="408"/>
      <c r="BB247" s="408"/>
      <c r="BC247" s="408"/>
      <c r="BD247" s="408"/>
      <c r="BE247" s="408"/>
      <c r="BF247" s="408"/>
      <c r="BG247" s="408"/>
      <c r="BH247" s="408"/>
      <c r="BI247" s="408"/>
      <c r="BJ247" s="408"/>
      <c r="BK247" s="408"/>
      <c r="BL247" s="408"/>
      <c r="BM247" s="408"/>
      <c r="BN247" s="408"/>
      <c r="BO247" s="408"/>
      <c r="BP247" s="408"/>
      <c r="BQ247" s="408"/>
      <c r="BR247" s="408"/>
      <c r="BS247" s="408"/>
      <c r="BT247" s="408"/>
      <c r="BU247" s="408"/>
    </row>
    <row r="248" spans="1:73" s="288" customFormat="1" ht="33.75" customHeight="1" thickBot="1">
      <c r="A248" s="661" t="s">
        <v>919</v>
      </c>
      <c r="B248" s="662"/>
      <c r="C248" s="399"/>
      <c r="D248" s="399"/>
      <c r="E248" s="399">
        <f>1778000+317500</f>
        <v>2095500</v>
      </c>
      <c r="F248" s="569">
        <v>0</v>
      </c>
      <c r="G248" s="408"/>
      <c r="H248" s="408"/>
      <c r="I248" s="408"/>
      <c r="J248" s="408"/>
      <c r="K248" s="408"/>
      <c r="L248" s="408"/>
      <c r="M248" s="408"/>
      <c r="N248" s="408"/>
      <c r="O248" s="408"/>
      <c r="P248" s="408"/>
      <c r="Q248" s="408"/>
      <c r="R248" s="408"/>
      <c r="S248" s="408"/>
      <c r="T248" s="408"/>
      <c r="U248" s="408"/>
      <c r="V248" s="408"/>
      <c r="W248" s="408"/>
      <c r="X248" s="408"/>
      <c r="Y248" s="408"/>
      <c r="Z248" s="408"/>
      <c r="AA248" s="408"/>
      <c r="AB248" s="408"/>
      <c r="AC248" s="408"/>
      <c r="AD248" s="408"/>
      <c r="AE248" s="408"/>
      <c r="AF248" s="408"/>
      <c r="AG248" s="408"/>
      <c r="AH248" s="408"/>
      <c r="AI248" s="408"/>
      <c r="AJ248" s="408"/>
      <c r="AK248" s="408"/>
      <c r="AL248" s="408"/>
      <c r="AM248" s="408"/>
      <c r="AN248" s="408"/>
      <c r="AO248" s="408"/>
      <c r="AP248" s="408"/>
      <c r="AQ248" s="408"/>
      <c r="AR248" s="408"/>
      <c r="AS248" s="408"/>
      <c r="AT248" s="408"/>
      <c r="AU248" s="408"/>
      <c r="AV248" s="408"/>
      <c r="AW248" s="408"/>
      <c r="AX248" s="408"/>
      <c r="AY248" s="408"/>
      <c r="AZ248" s="408"/>
      <c r="BA248" s="408"/>
      <c r="BB248" s="408"/>
      <c r="BC248" s="408"/>
      <c r="BD248" s="408"/>
      <c r="BE248" s="408"/>
      <c r="BF248" s="408"/>
      <c r="BG248" s="408"/>
      <c r="BH248" s="408"/>
      <c r="BI248" s="408"/>
      <c r="BJ248" s="408"/>
      <c r="BK248" s="408"/>
      <c r="BL248" s="408"/>
      <c r="BM248" s="408"/>
      <c r="BN248" s="408"/>
      <c r="BO248" s="408"/>
      <c r="BP248" s="408"/>
      <c r="BQ248" s="408"/>
      <c r="BR248" s="408"/>
      <c r="BS248" s="408"/>
      <c r="BT248" s="408"/>
      <c r="BU248" s="408"/>
    </row>
    <row r="249" spans="1:73" s="288" customFormat="1" ht="33.75" customHeight="1" thickBot="1">
      <c r="A249" s="661" t="s">
        <v>920</v>
      </c>
      <c r="B249" s="662"/>
      <c r="C249" s="399"/>
      <c r="D249" s="399"/>
      <c r="E249" s="399">
        <v>2540000</v>
      </c>
      <c r="F249" s="569">
        <v>0</v>
      </c>
      <c r="G249" s="408"/>
      <c r="H249" s="408"/>
      <c r="I249" s="408"/>
      <c r="J249" s="408"/>
      <c r="K249" s="408"/>
      <c r="L249" s="408"/>
      <c r="M249" s="408"/>
      <c r="N249" s="408"/>
      <c r="O249" s="408"/>
      <c r="P249" s="408"/>
      <c r="Q249" s="408"/>
      <c r="R249" s="408"/>
      <c r="S249" s="408"/>
      <c r="T249" s="408"/>
      <c r="U249" s="408"/>
      <c r="V249" s="408"/>
      <c r="W249" s="408"/>
      <c r="X249" s="408"/>
      <c r="Y249" s="408"/>
      <c r="Z249" s="408"/>
      <c r="AA249" s="408"/>
      <c r="AB249" s="408"/>
      <c r="AC249" s="408"/>
      <c r="AD249" s="408"/>
      <c r="AE249" s="408"/>
      <c r="AF249" s="408"/>
      <c r="AG249" s="408"/>
      <c r="AH249" s="408"/>
      <c r="AI249" s="408"/>
      <c r="AJ249" s="408"/>
      <c r="AK249" s="408"/>
      <c r="AL249" s="408"/>
      <c r="AM249" s="408"/>
      <c r="AN249" s="408"/>
      <c r="AO249" s="408"/>
      <c r="AP249" s="408"/>
      <c r="AQ249" s="408"/>
      <c r="AR249" s="408"/>
      <c r="AS249" s="408"/>
      <c r="AT249" s="408"/>
      <c r="AU249" s="408"/>
      <c r="AV249" s="408"/>
      <c r="AW249" s="408"/>
      <c r="AX249" s="408"/>
      <c r="AY249" s="408"/>
      <c r="AZ249" s="408"/>
      <c r="BA249" s="408"/>
      <c r="BB249" s="408"/>
      <c r="BC249" s="408"/>
      <c r="BD249" s="408"/>
      <c r="BE249" s="408"/>
      <c r="BF249" s="408"/>
      <c r="BG249" s="408"/>
      <c r="BH249" s="408"/>
      <c r="BI249" s="408"/>
      <c r="BJ249" s="408"/>
      <c r="BK249" s="408"/>
      <c r="BL249" s="408"/>
      <c r="BM249" s="408"/>
      <c r="BN249" s="408"/>
      <c r="BO249" s="408"/>
      <c r="BP249" s="408"/>
      <c r="BQ249" s="408"/>
      <c r="BR249" s="408"/>
      <c r="BS249" s="408"/>
      <c r="BT249" s="408"/>
      <c r="BU249" s="408"/>
    </row>
    <row r="250" spans="1:73" s="288" customFormat="1" ht="52.5" customHeight="1" thickBot="1">
      <c r="A250" s="661" t="s">
        <v>812</v>
      </c>
      <c r="B250" s="662"/>
      <c r="C250" s="399"/>
      <c r="D250" s="399">
        <v>10000000</v>
      </c>
      <c r="E250" s="399">
        <v>0</v>
      </c>
      <c r="F250" s="569">
        <f t="shared" si="34"/>
        <v>0</v>
      </c>
      <c r="G250" s="408"/>
      <c r="H250" s="408"/>
      <c r="I250" s="408"/>
      <c r="J250" s="408"/>
      <c r="K250" s="408"/>
      <c r="L250" s="408"/>
      <c r="M250" s="408"/>
      <c r="N250" s="408"/>
      <c r="O250" s="408"/>
      <c r="P250" s="408"/>
      <c r="Q250" s="408"/>
      <c r="R250" s="408"/>
      <c r="S250" s="408"/>
      <c r="T250" s="408"/>
      <c r="U250" s="408"/>
      <c r="V250" s="408"/>
      <c r="W250" s="408"/>
      <c r="X250" s="408"/>
      <c r="Y250" s="408"/>
      <c r="Z250" s="408"/>
      <c r="AA250" s="408"/>
      <c r="AB250" s="408"/>
      <c r="AC250" s="408"/>
      <c r="AD250" s="408"/>
      <c r="AE250" s="408"/>
      <c r="AF250" s="408"/>
      <c r="AG250" s="408"/>
      <c r="AH250" s="408"/>
      <c r="AI250" s="408"/>
      <c r="AJ250" s="408"/>
      <c r="AK250" s="408"/>
      <c r="AL250" s="408"/>
      <c r="AM250" s="408"/>
      <c r="AN250" s="408"/>
      <c r="AO250" s="408"/>
      <c r="AP250" s="408"/>
      <c r="AQ250" s="408"/>
      <c r="AR250" s="408"/>
      <c r="AS250" s="408"/>
      <c r="AT250" s="408"/>
      <c r="AU250" s="408"/>
      <c r="AV250" s="408"/>
      <c r="AW250" s="408"/>
      <c r="AX250" s="408"/>
      <c r="AY250" s="408"/>
      <c r="AZ250" s="408"/>
      <c r="BA250" s="408"/>
      <c r="BB250" s="408"/>
      <c r="BC250" s="408"/>
      <c r="BD250" s="408"/>
      <c r="BE250" s="408"/>
      <c r="BF250" s="408"/>
      <c r="BG250" s="408"/>
      <c r="BH250" s="408"/>
      <c r="BI250" s="408"/>
      <c r="BJ250" s="408"/>
      <c r="BK250" s="408"/>
      <c r="BL250" s="408"/>
      <c r="BM250" s="408"/>
      <c r="BN250" s="408"/>
      <c r="BO250" s="408"/>
      <c r="BP250" s="408"/>
      <c r="BQ250" s="408"/>
      <c r="BR250" s="408"/>
      <c r="BS250" s="408"/>
      <c r="BT250" s="408"/>
      <c r="BU250" s="408"/>
    </row>
    <row r="251" spans="1:73" s="288" customFormat="1" ht="52.5" customHeight="1" thickBot="1">
      <c r="A251" s="659" t="s">
        <v>813</v>
      </c>
      <c r="B251" s="660"/>
      <c r="C251" s="399"/>
      <c r="D251" s="399">
        <v>4400000</v>
      </c>
      <c r="E251" s="399">
        <v>4400000</v>
      </c>
      <c r="F251" s="569">
        <f t="shared" si="34"/>
        <v>1</v>
      </c>
      <c r="G251" s="408"/>
      <c r="H251" s="408"/>
      <c r="I251" s="408"/>
      <c r="J251" s="408"/>
      <c r="K251" s="408"/>
      <c r="L251" s="408"/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  <c r="AA251" s="408"/>
      <c r="AB251" s="408"/>
      <c r="AC251" s="408"/>
      <c r="AD251" s="408"/>
      <c r="AE251" s="408"/>
      <c r="AF251" s="408"/>
      <c r="AG251" s="408"/>
      <c r="AH251" s="408"/>
      <c r="AI251" s="408"/>
      <c r="AJ251" s="408"/>
      <c r="AK251" s="408"/>
      <c r="AL251" s="408"/>
      <c r="AM251" s="408"/>
      <c r="AN251" s="408"/>
      <c r="AO251" s="408"/>
      <c r="AP251" s="408"/>
      <c r="AQ251" s="408"/>
      <c r="AR251" s="408"/>
      <c r="AS251" s="408"/>
      <c r="AT251" s="408"/>
      <c r="AU251" s="408"/>
      <c r="AV251" s="408"/>
      <c r="AW251" s="408"/>
      <c r="AX251" s="408"/>
      <c r="AY251" s="408"/>
      <c r="AZ251" s="408"/>
      <c r="BA251" s="408"/>
      <c r="BB251" s="408"/>
      <c r="BC251" s="408"/>
      <c r="BD251" s="408"/>
      <c r="BE251" s="408"/>
      <c r="BF251" s="408"/>
      <c r="BG251" s="408"/>
      <c r="BH251" s="408"/>
      <c r="BI251" s="408"/>
      <c r="BJ251" s="408"/>
      <c r="BK251" s="408"/>
      <c r="BL251" s="408"/>
      <c r="BM251" s="408"/>
      <c r="BN251" s="408"/>
      <c r="BO251" s="408"/>
      <c r="BP251" s="408"/>
      <c r="BQ251" s="408"/>
      <c r="BR251" s="408"/>
      <c r="BS251" s="408"/>
      <c r="BT251" s="408"/>
      <c r="BU251" s="408"/>
    </row>
    <row r="252" spans="1:73" s="541" customFormat="1" ht="66.75" customHeight="1" thickBot="1">
      <c r="A252" s="537" t="s">
        <v>456</v>
      </c>
      <c r="B252" s="550"/>
      <c r="C252" s="539" t="s">
        <v>343</v>
      </c>
      <c r="D252" s="673" t="s">
        <v>344</v>
      </c>
      <c r="E252" s="673" t="s">
        <v>285</v>
      </c>
      <c r="F252" s="704" t="s">
        <v>286</v>
      </c>
      <c r="G252" s="278"/>
      <c r="H252" s="540"/>
      <c r="I252" s="540"/>
      <c r="J252" s="540"/>
      <c r="K252" s="540"/>
      <c r="L252" s="540"/>
      <c r="M252" s="540"/>
      <c r="N252" s="540"/>
      <c r="O252" s="540"/>
      <c r="P252" s="540"/>
      <c r="Q252" s="540"/>
      <c r="R252" s="540"/>
      <c r="S252" s="540"/>
      <c r="T252" s="540"/>
      <c r="U252" s="540"/>
      <c r="V252" s="540"/>
      <c r="W252" s="540"/>
      <c r="X252" s="540"/>
      <c r="Y252" s="540"/>
      <c r="Z252" s="540"/>
      <c r="AA252" s="540"/>
      <c r="AB252" s="540"/>
      <c r="AC252" s="540"/>
      <c r="AD252" s="540"/>
      <c r="AE252" s="540"/>
      <c r="AF252" s="540"/>
      <c r="AG252" s="540"/>
      <c r="AH252" s="540"/>
      <c r="AI252" s="540"/>
      <c r="AJ252" s="540"/>
      <c r="AK252" s="540"/>
      <c r="AL252" s="540"/>
      <c r="AM252" s="540"/>
      <c r="AN252" s="540"/>
      <c r="AO252" s="540"/>
      <c r="AP252" s="540"/>
      <c r="AQ252" s="540"/>
      <c r="AR252" s="540"/>
      <c r="AS252" s="540"/>
      <c r="AT252" s="540"/>
      <c r="AU252" s="540"/>
      <c r="AV252" s="540"/>
      <c r="AW252" s="540"/>
      <c r="AX252" s="540"/>
      <c r="AY252" s="540"/>
      <c r="AZ252" s="540"/>
      <c r="BA252" s="540"/>
      <c r="BB252" s="540"/>
      <c r="BC252" s="540"/>
      <c r="BD252" s="540"/>
      <c r="BE252" s="540"/>
      <c r="BF252" s="540"/>
      <c r="BG252" s="540"/>
      <c r="BH252" s="540"/>
      <c r="BI252" s="540"/>
      <c r="BJ252" s="540"/>
      <c r="BK252" s="540"/>
      <c r="BL252" s="540"/>
      <c r="BM252" s="540"/>
      <c r="BN252" s="540"/>
      <c r="BO252" s="540"/>
      <c r="BP252" s="540"/>
      <c r="BQ252" s="540"/>
      <c r="BR252" s="540"/>
      <c r="BS252" s="540"/>
      <c r="BT252" s="540"/>
      <c r="BU252" s="540"/>
    </row>
    <row r="253" spans="1:73" s="288" customFormat="1" ht="52.5" customHeight="1" thickBot="1">
      <c r="A253" s="661" t="s">
        <v>871</v>
      </c>
      <c r="B253" s="660"/>
      <c r="C253" s="399"/>
      <c r="D253" s="399">
        <f>SUM(B254:B255)</f>
        <v>39999539</v>
      </c>
      <c r="E253" s="399">
        <v>0</v>
      </c>
      <c r="F253" s="569">
        <f t="shared" si="34"/>
        <v>0</v>
      </c>
      <c r="G253" s="408"/>
      <c r="H253" s="408"/>
      <c r="I253" s="408"/>
      <c r="J253" s="408"/>
      <c r="K253" s="408"/>
      <c r="L253" s="408"/>
      <c r="M253" s="408"/>
      <c r="N253" s="408"/>
      <c r="O253" s="408"/>
      <c r="P253" s="408"/>
      <c r="Q253" s="408"/>
      <c r="R253" s="408"/>
      <c r="S253" s="408"/>
      <c r="T253" s="408"/>
      <c r="U253" s="408"/>
      <c r="V253" s="408"/>
      <c r="W253" s="408"/>
      <c r="X253" s="408"/>
      <c r="Y253" s="408"/>
      <c r="Z253" s="408"/>
      <c r="AA253" s="408"/>
      <c r="AB253" s="408"/>
      <c r="AC253" s="408"/>
      <c r="AD253" s="408"/>
      <c r="AE253" s="408"/>
      <c r="AF253" s="408"/>
      <c r="AG253" s="408"/>
      <c r="AH253" s="408"/>
      <c r="AI253" s="408"/>
      <c r="AJ253" s="408"/>
      <c r="AK253" s="408"/>
      <c r="AL253" s="408"/>
      <c r="AM253" s="408"/>
      <c r="AN253" s="408"/>
      <c r="AO253" s="408"/>
      <c r="AP253" s="408"/>
      <c r="AQ253" s="408"/>
      <c r="AR253" s="408"/>
      <c r="AS253" s="408"/>
      <c r="AT253" s="408"/>
      <c r="AU253" s="408"/>
      <c r="AV253" s="408"/>
      <c r="AW253" s="408"/>
      <c r="AX253" s="408"/>
      <c r="AY253" s="408"/>
      <c r="AZ253" s="408"/>
      <c r="BA253" s="408"/>
      <c r="BB253" s="408"/>
      <c r="BC253" s="408"/>
      <c r="BD253" s="408"/>
      <c r="BE253" s="408"/>
      <c r="BF253" s="408"/>
      <c r="BG253" s="408"/>
      <c r="BH253" s="408"/>
      <c r="BI253" s="408"/>
      <c r="BJ253" s="408"/>
      <c r="BK253" s="408"/>
      <c r="BL253" s="408"/>
      <c r="BM253" s="408"/>
      <c r="BN253" s="408"/>
      <c r="BO253" s="408"/>
      <c r="BP253" s="408"/>
      <c r="BQ253" s="408"/>
      <c r="BR253" s="408"/>
      <c r="BS253" s="408"/>
      <c r="BT253" s="408"/>
      <c r="BU253" s="408"/>
    </row>
    <row r="254" spans="1:73" s="435" customFormat="1" ht="30" customHeight="1" thickBot="1">
      <c r="A254" s="653" t="s">
        <v>483</v>
      </c>
      <c r="B254" s="402">
        <v>29999539</v>
      </c>
      <c r="C254" s="394"/>
      <c r="D254" s="394"/>
      <c r="E254" s="394"/>
      <c r="F254" s="321"/>
      <c r="G254" s="278"/>
      <c r="H254" s="278"/>
      <c r="I254" s="278"/>
      <c r="J254" s="278"/>
      <c r="K254" s="278"/>
      <c r="L254" s="278"/>
      <c r="M254" s="278"/>
      <c r="N254" s="278"/>
      <c r="O254" s="278"/>
      <c r="P254" s="278"/>
      <c r="Q254" s="278"/>
      <c r="R254" s="278"/>
      <c r="S254" s="278"/>
      <c r="T254" s="278"/>
      <c r="U254" s="278"/>
      <c r="V254" s="278"/>
      <c r="W254" s="278"/>
      <c r="X254" s="278"/>
      <c r="Y254" s="278"/>
      <c r="Z254" s="278"/>
      <c r="AA254" s="278"/>
      <c r="AB254" s="278"/>
      <c r="AC254" s="278"/>
      <c r="AD254" s="278"/>
      <c r="AE254" s="278"/>
      <c r="AF254" s="278"/>
      <c r="AG254" s="278"/>
      <c r="AH254" s="278"/>
      <c r="AI254" s="278"/>
      <c r="AJ254" s="278"/>
      <c r="AK254" s="278"/>
      <c r="AL254" s="278"/>
      <c r="AM254" s="278"/>
      <c r="AN254" s="278"/>
      <c r="AO254" s="278"/>
      <c r="AP254" s="278"/>
      <c r="AQ254" s="278"/>
      <c r="AR254" s="278"/>
      <c r="AS254" s="278"/>
      <c r="AT254" s="278"/>
      <c r="AU254" s="278"/>
      <c r="AV254" s="278"/>
      <c r="AW254" s="278"/>
      <c r="AX254" s="278"/>
      <c r="AY254" s="278"/>
      <c r="AZ254" s="278"/>
      <c r="BA254" s="278"/>
      <c r="BB254" s="278"/>
      <c r="BC254" s="278"/>
      <c r="BD254" s="278"/>
      <c r="BE254" s="278"/>
      <c r="BF254" s="278"/>
      <c r="BG254" s="278"/>
      <c r="BH254" s="278"/>
      <c r="BI254" s="278"/>
      <c r="BJ254" s="278"/>
      <c r="BK254" s="278"/>
      <c r="BL254" s="278"/>
      <c r="BM254" s="278"/>
      <c r="BN254" s="278"/>
      <c r="BO254" s="278"/>
      <c r="BP254" s="278"/>
      <c r="BQ254" s="278"/>
      <c r="BR254" s="278"/>
      <c r="BS254" s="278"/>
      <c r="BT254" s="278"/>
      <c r="BU254" s="278"/>
    </row>
    <row r="255" spans="1:73" s="435" customFormat="1" ht="30" customHeight="1" thickBot="1">
      <c r="A255" s="653" t="s">
        <v>872</v>
      </c>
      <c r="B255" s="402">
        <v>10000000</v>
      </c>
      <c r="C255" s="394"/>
      <c r="D255" s="394"/>
      <c r="E255" s="394"/>
      <c r="F255" s="321"/>
      <c r="G255" s="278"/>
      <c r="H255" s="278"/>
      <c r="I255" s="278"/>
      <c r="J255" s="278"/>
      <c r="K255" s="278"/>
      <c r="L255" s="278"/>
      <c r="M255" s="278"/>
      <c r="N255" s="278"/>
      <c r="O255" s="278"/>
      <c r="P255" s="278"/>
      <c r="Q255" s="278"/>
      <c r="R255" s="278"/>
      <c r="S255" s="278"/>
      <c r="T255" s="278"/>
      <c r="U255" s="278"/>
      <c r="V255" s="278"/>
      <c r="W255" s="278"/>
      <c r="X255" s="278"/>
      <c r="Y255" s="278"/>
      <c r="Z255" s="278"/>
      <c r="AA255" s="278"/>
      <c r="AB255" s="278"/>
      <c r="AC255" s="278"/>
      <c r="AD255" s="278"/>
      <c r="AE255" s="278"/>
      <c r="AF255" s="278"/>
      <c r="AG255" s="278"/>
      <c r="AH255" s="278"/>
      <c r="AI255" s="278"/>
      <c r="AJ255" s="278"/>
      <c r="AK255" s="278"/>
      <c r="AL255" s="278"/>
      <c r="AM255" s="278"/>
      <c r="AN255" s="278"/>
      <c r="AO255" s="278"/>
      <c r="AP255" s="278"/>
      <c r="AQ255" s="278"/>
      <c r="AR255" s="278"/>
      <c r="AS255" s="278"/>
      <c r="AT255" s="278"/>
      <c r="AU255" s="278"/>
      <c r="AV255" s="278"/>
      <c r="AW255" s="278"/>
      <c r="AX255" s="278"/>
      <c r="AY255" s="278"/>
      <c r="AZ255" s="278"/>
      <c r="BA255" s="278"/>
      <c r="BB255" s="278"/>
      <c r="BC255" s="278"/>
      <c r="BD255" s="278"/>
      <c r="BE255" s="278"/>
      <c r="BF255" s="278"/>
      <c r="BG255" s="278"/>
      <c r="BH255" s="278"/>
      <c r="BI255" s="278"/>
      <c r="BJ255" s="278"/>
      <c r="BK255" s="278"/>
      <c r="BL255" s="278"/>
      <c r="BM255" s="278"/>
      <c r="BN255" s="278"/>
      <c r="BO255" s="278"/>
      <c r="BP255" s="278"/>
      <c r="BQ255" s="278"/>
      <c r="BR255" s="278"/>
      <c r="BS255" s="278"/>
      <c r="BT255" s="278"/>
      <c r="BU255" s="278"/>
    </row>
    <row r="256" spans="1:73" s="288" customFormat="1" ht="52.5" customHeight="1" thickBot="1">
      <c r="A256" s="659" t="s">
        <v>914</v>
      </c>
      <c r="B256" s="663"/>
      <c r="C256" s="399"/>
      <c r="D256" s="543">
        <f>18534579+3001622-3001975</f>
        <v>18534226</v>
      </c>
      <c r="E256" s="543">
        <v>0</v>
      </c>
      <c r="F256" s="569">
        <f t="shared" ref="F256:F257" si="35">E256/D256</f>
        <v>0</v>
      </c>
      <c r="G256" s="408"/>
      <c r="H256" s="408"/>
      <c r="I256" s="408"/>
      <c r="J256" s="408"/>
      <c r="K256" s="408"/>
      <c r="L256" s="408"/>
      <c r="M256" s="408"/>
      <c r="N256" s="408"/>
      <c r="O256" s="408"/>
      <c r="P256" s="408"/>
      <c r="Q256" s="408"/>
      <c r="R256" s="408"/>
      <c r="S256" s="408"/>
      <c r="T256" s="408"/>
      <c r="U256" s="408"/>
      <c r="V256" s="408"/>
      <c r="W256" s="408"/>
      <c r="X256" s="408"/>
      <c r="Y256" s="408"/>
      <c r="Z256" s="408"/>
      <c r="AA256" s="408"/>
      <c r="AB256" s="408"/>
      <c r="AC256" s="408"/>
      <c r="AD256" s="408"/>
      <c r="AE256" s="408"/>
      <c r="AF256" s="408"/>
      <c r="AG256" s="408"/>
      <c r="AH256" s="408"/>
      <c r="AI256" s="408"/>
      <c r="AJ256" s="408"/>
      <c r="AK256" s="408"/>
      <c r="AL256" s="408"/>
      <c r="AM256" s="408"/>
      <c r="AN256" s="408"/>
      <c r="AO256" s="408"/>
      <c r="AP256" s="408"/>
      <c r="AQ256" s="408"/>
      <c r="AR256" s="408"/>
      <c r="AS256" s="408"/>
      <c r="AT256" s="408"/>
      <c r="AU256" s="408"/>
      <c r="AV256" s="408"/>
      <c r="AW256" s="408"/>
      <c r="AX256" s="408"/>
      <c r="AY256" s="408"/>
      <c r="AZ256" s="408"/>
      <c r="BA256" s="408"/>
      <c r="BB256" s="408"/>
      <c r="BC256" s="408"/>
      <c r="BD256" s="408"/>
      <c r="BE256" s="408"/>
      <c r="BF256" s="408"/>
      <c r="BG256" s="408"/>
      <c r="BH256" s="408"/>
      <c r="BI256" s="408"/>
      <c r="BJ256" s="408"/>
      <c r="BK256" s="408"/>
      <c r="BL256" s="408"/>
      <c r="BM256" s="408"/>
      <c r="BN256" s="408"/>
      <c r="BO256" s="408"/>
      <c r="BP256" s="408"/>
      <c r="BQ256" s="408"/>
      <c r="BR256" s="408"/>
      <c r="BS256" s="408"/>
      <c r="BT256" s="408"/>
      <c r="BU256" s="408"/>
    </row>
    <row r="257" spans="1:73" s="401" customFormat="1" ht="38.25" customHeight="1" thickBot="1">
      <c r="A257" s="404" t="s">
        <v>861</v>
      </c>
      <c r="B257" s="649"/>
      <c r="C257" s="403"/>
      <c r="D257" s="650">
        <v>3185809</v>
      </c>
      <c r="E257" s="650">
        <v>3185809</v>
      </c>
      <c r="F257" s="569">
        <f t="shared" si="35"/>
        <v>1</v>
      </c>
      <c r="G257" s="400"/>
      <c r="H257" s="400"/>
      <c r="I257" s="400"/>
      <c r="J257" s="400"/>
      <c r="K257" s="400"/>
      <c r="L257" s="400"/>
      <c r="M257" s="400"/>
      <c r="N257" s="400"/>
      <c r="O257" s="400"/>
      <c r="P257" s="400"/>
      <c r="Q257" s="400"/>
      <c r="R257" s="400"/>
      <c r="S257" s="400"/>
      <c r="T257" s="400"/>
      <c r="U257" s="400"/>
      <c r="V257" s="400"/>
      <c r="W257" s="400"/>
      <c r="X257" s="400"/>
      <c r="Y257" s="400"/>
      <c r="Z257" s="400"/>
      <c r="AA257" s="400"/>
      <c r="AB257" s="400"/>
      <c r="AC257" s="400"/>
      <c r="AD257" s="400"/>
      <c r="AE257" s="400"/>
      <c r="AF257" s="400"/>
      <c r="AG257" s="400"/>
      <c r="AH257" s="400"/>
      <c r="AI257" s="400"/>
      <c r="AJ257" s="400"/>
      <c r="AK257" s="400"/>
      <c r="AL257" s="400"/>
      <c r="AM257" s="400"/>
      <c r="AN257" s="400"/>
      <c r="AO257" s="400"/>
      <c r="AP257" s="400"/>
      <c r="AQ257" s="400"/>
      <c r="AR257" s="400"/>
      <c r="AS257" s="400"/>
      <c r="AT257" s="400"/>
      <c r="AU257" s="400"/>
      <c r="AV257" s="400"/>
      <c r="AW257" s="400"/>
      <c r="AX257" s="400"/>
      <c r="AY257" s="400"/>
      <c r="AZ257" s="400"/>
      <c r="BA257" s="400"/>
      <c r="BB257" s="400"/>
      <c r="BC257" s="400"/>
      <c r="BD257" s="400"/>
      <c r="BE257" s="400"/>
      <c r="BF257" s="400"/>
      <c r="BG257" s="400"/>
      <c r="BH257" s="400"/>
      <c r="BI257" s="400"/>
      <c r="BJ257" s="400"/>
      <c r="BK257" s="400"/>
      <c r="BL257" s="400"/>
      <c r="BM257" s="400"/>
      <c r="BN257" s="400"/>
      <c r="BO257" s="400"/>
      <c r="BP257" s="400"/>
      <c r="BQ257" s="400"/>
      <c r="BR257" s="400"/>
      <c r="BS257" s="400"/>
      <c r="BT257" s="400"/>
      <c r="BU257" s="400"/>
    </row>
    <row r="258" spans="1:73" s="541" customFormat="1" ht="44.25" customHeight="1" thickBot="1">
      <c r="A258" s="678" t="s">
        <v>528</v>
      </c>
      <c r="B258" s="679"/>
      <c r="C258" s="680">
        <f>SUM(C238:C257)</f>
        <v>683725648</v>
      </c>
      <c r="D258" s="680">
        <f>SUM(D238:D257)</f>
        <v>1030892889</v>
      </c>
      <c r="E258" s="680">
        <f t="shared" ref="E258" si="36">SUM(E238:E257)</f>
        <v>377693382</v>
      </c>
      <c r="F258" s="706">
        <f>SUM(E258/D258)</f>
        <v>0.36637499979883942</v>
      </c>
      <c r="G258" s="278"/>
      <c r="H258" s="540"/>
      <c r="I258" s="540"/>
      <c r="J258" s="540"/>
      <c r="K258" s="540"/>
      <c r="L258" s="540"/>
      <c r="M258" s="540"/>
      <c r="N258" s="540"/>
      <c r="O258" s="540"/>
      <c r="P258" s="540"/>
      <c r="Q258" s="540"/>
      <c r="R258" s="540"/>
      <c r="S258" s="540"/>
      <c r="T258" s="540"/>
      <c r="U258" s="540"/>
      <c r="V258" s="540"/>
      <c r="W258" s="540"/>
      <c r="X258" s="540"/>
      <c r="Y258" s="540"/>
      <c r="Z258" s="540"/>
      <c r="AA258" s="540"/>
      <c r="AB258" s="540"/>
      <c r="AC258" s="540"/>
      <c r="AD258" s="540"/>
      <c r="AE258" s="540"/>
      <c r="AF258" s="540"/>
      <c r="AG258" s="540"/>
      <c r="AH258" s="540"/>
      <c r="AI258" s="540"/>
      <c r="AJ258" s="540"/>
      <c r="AK258" s="540"/>
      <c r="AL258" s="540"/>
      <c r="AM258" s="540"/>
      <c r="AN258" s="540"/>
      <c r="AO258" s="540"/>
      <c r="AP258" s="540"/>
      <c r="AQ258" s="540"/>
      <c r="AR258" s="540"/>
      <c r="AS258" s="540"/>
      <c r="AT258" s="540"/>
      <c r="AU258" s="540"/>
      <c r="AV258" s="540"/>
      <c r="AW258" s="540"/>
      <c r="AX258" s="540"/>
      <c r="AY258" s="540"/>
      <c r="AZ258" s="540"/>
      <c r="BA258" s="540"/>
      <c r="BB258" s="540"/>
      <c r="BC258" s="540"/>
      <c r="BD258" s="540"/>
      <c r="BE258" s="540"/>
      <c r="BF258" s="540"/>
      <c r="BG258" s="540"/>
      <c r="BH258" s="540"/>
      <c r="BI258" s="540"/>
      <c r="BJ258" s="540"/>
      <c r="BK258" s="540"/>
      <c r="BL258" s="540"/>
      <c r="BM258" s="540"/>
      <c r="BN258" s="540"/>
      <c r="BO258" s="540"/>
      <c r="BP258" s="540"/>
      <c r="BQ258" s="540"/>
      <c r="BR258" s="540"/>
      <c r="BS258" s="540"/>
      <c r="BT258" s="540"/>
      <c r="BU258" s="540"/>
    </row>
    <row r="259" spans="1:73" s="435" customFormat="1" ht="44.25" customHeight="1" thickBot="1">
      <c r="A259" s="684"/>
      <c r="B259" s="688"/>
      <c r="C259" s="686"/>
      <c r="D259" s="686"/>
      <c r="E259" s="686"/>
      <c r="F259" s="710"/>
      <c r="G259" s="278"/>
      <c r="H259" s="278"/>
      <c r="I259" s="278"/>
      <c r="J259" s="278"/>
      <c r="K259" s="278"/>
      <c r="L259" s="278"/>
      <c r="M259" s="278"/>
      <c r="N259" s="278"/>
      <c r="O259" s="278"/>
      <c r="P259" s="278"/>
      <c r="Q259" s="278"/>
      <c r="R259" s="278"/>
      <c r="S259" s="278"/>
      <c r="T259" s="278"/>
      <c r="U259" s="278"/>
      <c r="V259" s="278"/>
      <c r="W259" s="278"/>
      <c r="X259" s="278"/>
      <c r="Y259" s="278"/>
      <c r="Z259" s="278"/>
      <c r="AA259" s="278"/>
      <c r="AB259" s="278"/>
      <c r="AC259" s="278"/>
      <c r="AD259" s="278"/>
      <c r="AE259" s="278"/>
      <c r="AF259" s="278"/>
      <c r="AG259" s="278"/>
      <c r="AH259" s="278"/>
      <c r="AI259" s="278"/>
      <c r="AJ259" s="278"/>
      <c r="AK259" s="278"/>
      <c r="AL259" s="278"/>
      <c r="AM259" s="278"/>
      <c r="AN259" s="278"/>
      <c r="AO259" s="278"/>
      <c r="AP259" s="278"/>
      <c r="AQ259" s="278"/>
      <c r="AR259" s="278"/>
      <c r="AS259" s="278"/>
      <c r="AT259" s="278"/>
      <c r="AU259" s="278"/>
      <c r="AV259" s="278"/>
      <c r="AW259" s="278"/>
      <c r="AX259" s="278"/>
      <c r="AY259" s="278"/>
      <c r="AZ259" s="278"/>
      <c r="BA259" s="278"/>
      <c r="BB259" s="278"/>
      <c r="BC259" s="278"/>
      <c r="BD259" s="278"/>
      <c r="BE259" s="278"/>
      <c r="BF259" s="278"/>
      <c r="BG259" s="278"/>
      <c r="BH259" s="278"/>
      <c r="BI259" s="278"/>
      <c r="BJ259" s="278"/>
      <c r="BK259" s="278"/>
      <c r="BL259" s="278"/>
      <c r="BM259" s="278"/>
      <c r="BN259" s="278"/>
      <c r="BO259" s="278"/>
      <c r="BP259" s="278"/>
      <c r="BQ259" s="278"/>
      <c r="BR259" s="278"/>
      <c r="BS259" s="278"/>
      <c r="BT259" s="278"/>
      <c r="BU259" s="278"/>
    </row>
    <row r="260" spans="1:73" s="541" customFormat="1" ht="44.25" customHeight="1" thickBot="1">
      <c r="A260" s="691" t="s">
        <v>529</v>
      </c>
      <c r="B260" s="679"/>
      <c r="C260" s="673"/>
      <c r="D260" s="673"/>
      <c r="E260" s="673"/>
      <c r="F260" s="704"/>
      <c r="G260" s="278"/>
      <c r="H260" s="540"/>
      <c r="I260" s="540"/>
      <c r="J260" s="540"/>
      <c r="K260" s="540"/>
      <c r="L260" s="540"/>
      <c r="M260" s="540"/>
      <c r="N260" s="540"/>
      <c r="O260" s="540"/>
      <c r="P260" s="540"/>
      <c r="Q260" s="540"/>
      <c r="R260" s="540"/>
      <c r="S260" s="540"/>
      <c r="T260" s="540"/>
      <c r="U260" s="540"/>
      <c r="V260" s="540"/>
      <c r="W260" s="540"/>
      <c r="X260" s="540"/>
      <c r="Y260" s="540"/>
      <c r="Z260" s="540"/>
      <c r="AA260" s="540"/>
      <c r="AB260" s="540"/>
      <c r="AC260" s="540"/>
      <c r="AD260" s="540"/>
      <c r="AE260" s="540"/>
      <c r="AF260" s="540"/>
      <c r="AG260" s="540"/>
      <c r="AH260" s="540"/>
      <c r="AI260" s="540"/>
      <c r="AJ260" s="540"/>
      <c r="AK260" s="540"/>
      <c r="AL260" s="540"/>
      <c r="AM260" s="540"/>
      <c r="AN260" s="540"/>
      <c r="AO260" s="540"/>
      <c r="AP260" s="540"/>
      <c r="AQ260" s="540"/>
      <c r="AR260" s="540"/>
      <c r="AS260" s="540"/>
      <c r="AT260" s="540"/>
      <c r="AU260" s="540"/>
      <c r="AV260" s="540"/>
      <c r="AW260" s="540"/>
      <c r="AX260" s="540"/>
      <c r="AY260" s="540"/>
      <c r="AZ260" s="540"/>
      <c r="BA260" s="540"/>
      <c r="BB260" s="540"/>
      <c r="BC260" s="540"/>
      <c r="BD260" s="540"/>
      <c r="BE260" s="540"/>
      <c r="BF260" s="540"/>
      <c r="BG260" s="540"/>
      <c r="BH260" s="540"/>
      <c r="BI260" s="540"/>
      <c r="BJ260" s="540"/>
      <c r="BK260" s="540"/>
      <c r="BL260" s="540"/>
      <c r="BM260" s="540"/>
      <c r="BN260" s="540"/>
      <c r="BO260" s="540"/>
      <c r="BP260" s="540"/>
      <c r="BQ260" s="540"/>
      <c r="BR260" s="540"/>
      <c r="BS260" s="540"/>
      <c r="BT260" s="540"/>
      <c r="BU260" s="540"/>
    </row>
    <row r="261" spans="1:73" s="401" customFormat="1" ht="38.25" customHeight="1" thickBot="1">
      <c r="A261" s="638" t="s">
        <v>873</v>
      </c>
      <c r="B261" s="423"/>
      <c r="C261" s="399"/>
      <c r="D261" s="399">
        <f>22356945</f>
        <v>22356945</v>
      </c>
      <c r="E261" s="399">
        <v>22356495</v>
      </c>
      <c r="F261" s="569">
        <f t="shared" ref="F261" si="37">E261/D261</f>
        <v>0.99997987202634353</v>
      </c>
      <c r="G261" s="400"/>
      <c r="H261" s="400"/>
      <c r="I261" s="400"/>
      <c r="J261" s="400"/>
      <c r="K261" s="400"/>
      <c r="L261" s="400"/>
      <c r="M261" s="400"/>
      <c r="N261" s="400"/>
      <c r="O261" s="400"/>
      <c r="P261" s="400"/>
      <c r="Q261" s="400"/>
      <c r="R261" s="400"/>
      <c r="S261" s="400"/>
      <c r="T261" s="400"/>
      <c r="U261" s="400"/>
      <c r="V261" s="400"/>
      <c r="W261" s="400"/>
      <c r="X261" s="400"/>
      <c r="Y261" s="400"/>
      <c r="Z261" s="400"/>
      <c r="AA261" s="400"/>
      <c r="AB261" s="400"/>
      <c r="AC261" s="400"/>
      <c r="AD261" s="400"/>
      <c r="AE261" s="400"/>
      <c r="AF261" s="400"/>
      <c r="AG261" s="400"/>
      <c r="AH261" s="400"/>
      <c r="AI261" s="400"/>
      <c r="AJ261" s="400"/>
      <c r="AK261" s="400"/>
      <c r="AL261" s="400"/>
      <c r="AM261" s="400"/>
      <c r="AN261" s="400"/>
      <c r="AO261" s="400"/>
      <c r="AP261" s="400"/>
      <c r="AQ261" s="400"/>
      <c r="AR261" s="400"/>
      <c r="AS261" s="400"/>
      <c r="AT261" s="400"/>
      <c r="AU261" s="400"/>
      <c r="AV261" s="400"/>
      <c r="AW261" s="400"/>
      <c r="AX261" s="400"/>
      <c r="AY261" s="400"/>
      <c r="AZ261" s="400"/>
      <c r="BA261" s="400"/>
      <c r="BB261" s="400"/>
      <c r="BC261" s="400"/>
      <c r="BD261" s="400"/>
      <c r="BE261" s="400"/>
      <c r="BF261" s="400"/>
      <c r="BG261" s="400"/>
      <c r="BH261" s="400"/>
      <c r="BI261" s="400"/>
      <c r="BJ261" s="400"/>
      <c r="BK261" s="400"/>
      <c r="BL261" s="400"/>
      <c r="BM261" s="400"/>
      <c r="BN261" s="400"/>
      <c r="BO261" s="400"/>
      <c r="BP261" s="400"/>
      <c r="BQ261" s="400"/>
      <c r="BR261" s="400"/>
      <c r="BS261" s="400"/>
      <c r="BT261" s="400"/>
      <c r="BU261" s="400"/>
    </row>
    <row r="262" spans="1:73" s="541" customFormat="1" ht="44.25" customHeight="1" thickBot="1">
      <c r="A262" s="678" t="s">
        <v>530</v>
      </c>
      <c r="B262" s="679"/>
      <c r="C262" s="680">
        <f>SUM(C261)</f>
        <v>0</v>
      </c>
      <c r="D262" s="680">
        <f>SUM(D261)</f>
        <v>22356945</v>
      </c>
      <c r="E262" s="680">
        <f t="shared" ref="E262" si="38">SUM(E261)</f>
        <v>22356495</v>
      </c>
      <c r="F262" s="706">
        <f>SUM(E262/D262)</f>
        <v>0.99997987202634353</v>
      </c>
      <c r="G262" s="278"/>
      <c r="H262" s="540"/>
      <c r="I262" s="540"/>
      <c r="J262" s="540"/>
      <c r="K262" s="540"/>
      <c r="L262" s="540"/>
      <c r="M262" s="540"/>
      <c r="N262" s="540"/>
      <c r="O262" s="540"/>
      <c r="P262" s="540"/>
      <c r="Q262" s="540"/>
      <c r="R262" s="540"/>
      <c r="S262" s="540"/>
      <c r="T262" s="540"/>
      <c r="U262" s="540"/>
      <c r="V262" s="540"/>
      <c r="W262" s="540"/>
      <c r="X262" s="540"/>
      <c r="Y262" s="540"/>
      <c r="Z262" s="540"/>
      <c r="AA262" s="540"/>
      <c r="AB262" s="540"/>
      <c r="AC262" s="540"/>
      <c r="AD262" s="540"/>
      <c r="AE262" s="540"/>
      <c r="AF262" s="540"/>
      <c r="AG262" s="540"/>
      <c r="AH262" s="540"/>
      <c r="AI262" s="540"/>
      <c r="AJ262" s="540"/>
      <c r="AK262" s="540"/>
      <c r="AL262" s="540"/>
      <c r="AM262" s="540"/>
      <c r="AN262" s="540"/>
      <c r="AO262" s="540"/>
      <c r="AP262" s="540"/>
      <c r="AQ262" s="540"/>
      <c r="AR262" s="540"/>
      <c r="AS262" s="540"/>
      <c r="AT262" s="540"/>
      <c r="AU262" s="540"/>
      <c r="AV262" s="540"/>
      <c r="AW262" s="540"/>
      <c r="AX262" s="540"/>
      <c r="AY262" s="540"/>
      <c r="AZ262" s="540"/>
      <c r="BA262" s="540"/>
      <c r="BB262" s="540"/>
      <c r="BC262" s="540"/>
      <c r="BD262" s="540"/>
      <c r="BE262" s="540"/>
      <c r="BF262" s="540"/>
      <c r="BG262" s="540"/>
      <c r="BH262" s="540"/>
      <c r="BI262" s="540"/>
      <c r="BJ262" s="540"/>
      <c r="BK262" s="540"/>
      <c r="BL262" s="540"/>
      <c r="BM262" s="540"/>
      <c r="BN262" s="540"/>
      <c r="BO262" s="540"/>
      <c r="BP262" s="540"/>
      <c r="BQ262" s="540"/>
      <c r="BR262" s="540"/>
      <c r="BS262" s="540"/>
      <c r="BT262" s="540"/>
      <c r="BU262" s="540"/>
    </row>
    <row r="263" spans="1:73" s="396" customFormat="1" ht="38.25" customHeight="1" thickBot="1">
      <c r="A263" s="316"/>
      <c r="B263" s="681"/>
      <c r="C263" s="692"/>
      <c r="D263" s="693"/>
      <c r="E263" s="693"/>
      <c r="F263" s="711"/>
      <c r="G263" s="395"/>
      <c r="H263" s="395"/>
      <c r="I263" s="395"/>
      <c r="J263" s="395"/>
      <c r="K263" s="395"/>
      <c r="L263" s="395"/>
      <c r="M263" s="395"/>
      <c r="N263" s="395"/>
      <c r="O263" s="395"/>
      <c r="P263" s="395"/>
      <c r="Q263" s="395"/>
      <c r="R263" s="395"/>
      <c r="S263" s="395"/>
      <c r="T263" s="395"/>
      <c r="U263" s="395"/>
      <c r="V263" s="395"/>
      <c r="W263" s="395"/>
      <c r="X263" s="395"/>
      <c r="Y263" s="395"/>
      <c r="Z263" s="395"/>
      <c r="AA263" s="395"/>
      <c r="AB263" s="395"/>
      <c r="AC263" s="395"/>
      <c r="AD263" s="395"/>
      <c r="AE263" s="395"/>
      <c r="AF263" s="395"/>
      <c r="AG263" s="395"/>
      <c r="AH263" s="395"/>
      <c r="AI263" s="395"/>
      <c r="AJ263" s="395"/>
      <c r="AK263" s="395"/>
      <c r="AL263" s="395"/>
      <c r="AM263" s="395"/>
      <c r="AN263" s="395"/>
      <c r="AO263" s="395"/>
      <c r="AP263" s="395"/>
      <c r="AQ263" s="395"/>
      <c r="AR263" s="395"/>
      <c r="AS263" s="395"/>
      <c r="AT263" s="395"/>
      <c r="AU263" s="395"/>
      <c r="AV263" s="395"/>
      <c r="AW263" s="395"/>
      <c r="AX263" s="395"/>
      <c r="AY263" s="395"/>
      <c r="AZ263" s="395"/>
      <c r="BA263" s="395"/>
      <c r="BB263" s="395"/>
      <c r="BC263" s="395"/>
      <c r="BD263" s="395"/>
      <c r="BE263" s="395"/>
      <c r="BF263" s="395"/>
      <c r="BG263" s="395"/>
      <c r="BH263" s="395"/>
      <c r="BI263" s="395"/>
      <c r="BJ263" s="395"/>
      <c r="BK263" s="395"/>
      <c r="BL263" s="395"/>
      <c r="BM263" s="395"/>
      <c r="BN263" s="395"/>
      <c r="BO263" s="395"/>
      <c r="BP263" s="395"/>
      <c r="BQ263" s="395"/>
      <c r="BR263" s="395"/>
      <c r="BS263" s="395"/>
      <c r="BT263" s="395"/>
      <c r="BU263" s="395"/>
    </row>
    <row r="264" spans="1:73" s="541" customFormat="1" ht="44.25" customHeight="1" thickBot="1">
      <c r="A264" s="674" t="s">
        <v>531</v>
      </c>
      <c r="B264" s="679"/>
      <c r="C264" s="676"/>
      <c r="D264" s="676"/>
      <c r="E264" s="676"/>
      <c r="F264" s="705"/>
      <c r="G264" s="278"/>
      <c r="H264" s="540"/>
      <c r="I264" s="540"/>
      <c r="J264" s="540"/>
      <c r="K264" s="540"/>
      <c r="L264" s="540"/>
      <c r="M264" s="540"/>
      <c r="N264" s="540"/>
      <c r="O264" s="540"/>
      <c r="P264" s="540"/>
      <c r="Q264" s="540"/>
      <c r="R264" s="540"/>
      <c r="S264" s="540"/>
      <c r="T264" s="540"/>
      <c r="U264" s="540"/>
      <c r="V264" s="540"/>
      <c r="W264" s="540"/>
      <c r="X264" s="540"/>
      <c r="Y264" s="540"/>
      <c r="Z264" s="540"/>
      <c r="AA264" s="540"/>
      <c r="AB264" s="540"/>
      <c r="AC264" s="540"/>
      <c r="AD264" s="540"/>
      <c r="AE264" s="540"/>
      <c r="AF264" s="540"/>
      <c r="AG264" s="540"/>
      <c r="AH264" s="540"/>
      <c r="AI264" s="540"/>
      <c r="AJ264" s="540"/>
      <c r="AK264" s="540"/>
      <c r="AL264" s="540"/>
      <c r="AM264" s="540"/>
      <c r="AN264" s="540"/>
      <c r="AO264" s="540"/>
      <c r="AP264" s="540"/>
      <c r="AQ264" s="540"/>
      <c r="AR264" s="540"/>
      <c r="AS264" s="540"/>
      <c r="AT264" s="540"/>
      <c r="AU264" s="540"/>
      <c r="AV264" s="540"/>
      <c r="AW264" s="540"/>
      <c r="AX264" s="540"/>
      <c r="AY264" s="540"/>
      <c r="AZ264" s="540"/>
      <c r="BA264" s="540"/>
      <c r="BB264" s="540"/>
      <c r="BC264" s="540"/>
      <c r="BD264" s="540"/>
      <c r="BE264" s="540"/>
      <c r="BF264" s="540"/>
      <c r="BG264" s="540"/>
      <c r="BH264" s="540"/>
      <c r="BI264" s="540"/>
      <c r="BJ264" s="540"/>
      <c r="BK264" s="540"/>
      <c r="BL264" s="540"/>
      <c r="BM264" s="540"/>
      <c r="BN264" s="540"/>
      <c r="BO264" s="540"/>
      <c r="BP264" s="540"/>
      <c r="BQ264" s="540"/>
      <c r="BR264" s="540"/>
      <c r="BS264" s="540"/>
      <c r="BT264" s="540"/>
      <c r="BU264" s="540"/>
    </row>
    <row r="265" spans="1:73" s="288" customFormat="1" ht="47.25" customHeight="1" thickBot="1">
      <c r="A265" s="405" t="s">
        <v>507</v>
      </c>
      <c r="B265" s="406"/>
      <c r="C265" s="407">
        <v>1296649872</v>
      </c>
      <c r="D265" s="668">
        <f>SUM(C265)+70455096+20291059-3633448+85000000+18110464-57142378</f>
        <v>1429730665</v>
      </c>
      <c r="E265" s="668">
        <v>1429730665</v>
      </c>
      <c r="F265" s="701">
        <f>E265/D265</f>
        <v>1</v>
      </c>
      <c r="G265" s="408"/>
      <c r="H265" s="408"/>
      <c r="I265" s="408"/>
      <c r="J265" s="408"/>
      <c r="K265" s="408"/>
      <c r="L265" s="408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  <c r="AA265" s="408"/>
      <c r="AB265" s="408"/>
      <c r="AC265" s="408"/>
      <c r="AD265" s="408"/>
      <c r="AE265" s="408"/>
      <c r="AF265" s="408"/>
      <c r="AG265" s="408"/>
      <c r="AH265" s="408"/>
      <c r="AI265" s="408"/>
      <c r="AJ265" s="408"/>
      <c r="AK265" s="408"/>
      <c r="AL265" s="408"/>
      <c r="AM265" s="408"/>
      <c r="AN265" s="408"/>
      <c r="AO265" s="408"/>
      <c r="AP265" s="408"/>
      <c r="AQ265" s="408"/>
      <c r="AR265" s="408"/>
      <c r="AS265" s="408"/>
      <c r="AT265" s="408"/>
      <c r="AU265" s="408"/>
      <c r="AV265" s="408"/>
      <c r="AW265" s="408"/>
      <c r="AX265" s="408"/>
      <c r="AY265" s="408"/>
      <c r="AZ265" s="408"/>
      <c r="BA265" s="408"/>
      <c r="BB265" s="408"/>
      <c r="BC265" s="408"/>
      <c r="BD265" s="408"/>
      <c r="BE265" s="408"/>
      <c r="BF265" s="408"/>
      <c r="BG265" s="408"/>
      <c r="BH265" s="408"/>
      <c r="BI265" s="408"/>
      <c r="BJ265" s="408"/>
      <c r="BK265" s="408"/>
      <c r="BL265" s="408"/>
      <c r="BM265" s="408"/>
      <c r="BN265" s="408"/>
      <c r="BO265" s="408"/>
      <c r="BP265" s="408"/>
      <c r="BQ265" s="408"/>
      <c r="BR265" s="408"/>
      <c r="BS265" s="408"/>
      <c r="BT265" s="408"/>
      <c r="BU265" s="408"/>
    </row>
    <row r="266" spans="1:73" s="409" customFormat="1" ht="38.25" customHeight="1" thickBot="1">
      <c r="A266" s="405" t="s">
        <v>915</v>
      </c>
      <c r="B266" s="412"/>
      <c r="C266" s="407">
        <v>58439181</v>
      </c>
      <c r="D266" s="407">
        <f>SUM(C266)+58439181-58439181</f>
        <v>58439181</v>
      </c>
      <c r="E266" s="407">
        <v>58439181</v>
      </c>
      <c r="F266" s="701">
        <f t="shared" ref="F266:F267" si="39">E266/D266</f>
        <v>1</v>
      </c>
      <c r="G266" s="408"/>
      <c r="H266" s="408"/>
      <c r="I266" s="408"/>
      <c r="J266" s="408"/>
      <c r="K266" s="408"/>
      <c r="L266" s="408"/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  <c r="AA266" s="408"/>
      <c r="AB266" s="408"/>
      <c r="AC266" s="408"/>
      <c r="AD266" s="408"/>
      <c r="AE266" s="408"/>
      <c r="AF266" s="408"/>
      <c r="AG266" s="408"/>
      <c r="AH266" s="408"/>
      <c r="AI266" s="408"/>
      <c r="AJ266" s="408"/>
      <c r="AK266" s="408"/>
      <c r="AL266" s="408"/>
      <c r="AM266" s="408"/>
      <c r="AN266" s="408"/>
      <c r="AO266" s="408"/>
      <c r="AP266" s="408"/>
      <c r="AQ266" s="408"/>
      <c r="AR266" s="408"/>
      <c r="AS266" s="408"/>
      <c r="AT266" s="408"/>
      <c r="AU266" s="408"/>
      <c r="AV266" s="408"/>
      <c r="AW266" s="408"/>
      <c r="AX266" s="408"/>
      <c r="AY266" s="408"/>
      <c r="AZ266" s="408"/>
      <c r="BA266" s="408"/>
      <c r="BB266" s="408"/>
      <c r="BC266" s="408"/>
      <c r="BD266" s="408"/>
      <c r="BE266" s="408"/>
      <c r="BF266" s="408"/>
      <c r="BG266" s="408"/>
      <c r="BH266" s="408"/>
      <c r="BI266" s="408"/>
      <c r="BJ266" s="408"/>
      <c r="BK266" s="408"/>
      <c r="BL266" s="408"/>
      <c r="BM266" s="408"/>
      <c r="BN266" s="408"/>
      <c r="BO266" s="408"/>
      <c r="BP266" s="408"/>
      <c r="BQ266" s="408"/>
      <c r="BR266" s="408"/>
      <c r="BS266" s="408"/>
      <c r="BT266" s="408"/>
      <c r="BU266" s="408"/>
    </row>
    <row r="267" spans="1:73" s="409" customFormat="1" ht="38.25" customHeight="1" thickBot="1">
      <c r="A267" s="405" t="s">
        <v>917</v>
      </c>
      <c r="B267" s="672"/>
      <c r="C267" s="407"/>
      <c r="D267" s="650">
        <f>100000000+58351238</f>
        <v>158351238</v>
      </c>
      <c r="E267" s="650">
        <v>158351238</v>
      </c>
      <c r="F267" s="701">
        <f t="shared" si="39"/>
        <v>1</v>
      </c>
      <c r="G267" s="408"/>
      <c r="H267" s="408"/>
      <c r="I267" s="408"/>
      <c r="J267" s="408"/>
      <c r="K267" s="408"/>
      <c r="L267" s="408"/>
      <c r="M267" s="408"/>
      <c r="N267" s="408"/>
      <c r="O267" s="408"/>
      <c r="P267" s="408"/>
      <c r="Q267" s="408"/>
      <c r="R267" s="408"/>
      <c r="S267" s="408"/>
      <c r="T267" s="408"/>
      <c r="U267" s="408"/>
      <c r="V267" s="408"/>
      <c r="W267" s="408"/>
      <c r="X267" s="408"/>
      <c r="Y267" s="408"/>
      <c r="Z267" s="408"/>
      <c r="AA267" s="408"/>
      <c r="AB267" s="408"/>
      <c r="AC267" s="408"/>
      <c r="AD267" s="408"/>
      <c r="AE267" s="408"/>
      <c r="AF267" s="408"/>
      <c r="AG267" s="408"/>
      <c r="AH267" s="408"/>
      <c r="AI267" s="408"/>
      <c r="AJ267" s="408"/>
      <c r="AK267" s="408"/>
      <c r="AL267" s="408"/>
      <c r="AM267" s="408"/>
      <c r="AN267" s="408"/>
      <c r="AO267" s="408"/>
      <c r="AP267" s="408"/>
      <c r="AQ267" s="408"/>
      <c r="AR267" s="408"/>
      <c r="AS267" s="408"/>
      <c r="AT267" s="408"/>
      <c r="AU267" s="408"/>
      <c r="AV267" s="408"/>
      <c r="AW267" s="408"/>
      <c r="AX267" s="408"/>
      <c r="AY267" s="408"/>
      <c r="AZ267" s="408"/>
      <c r="BA267" s="408"/>
      <c r="BB267" s="408"/>
      <c r="BC267" s="408"/>
      <c r="BD267" s="408"/>
      <c r="BE267" s="408"/>
      <c r="BF267" s="408"/>
      <c r="BG267" s="408"/>
      <c r="BH267" s="408"/>
      <c r="BI267" s="408"/>
      <c r="BJ267" s="408"/>
      <c r="BK267" s="408"/>
      <c r="BL267" s="408"/>
      <c r="BM267" s="408"/>
      <c r="BN267" s="408"/>
      <c r="BO267" s="408"/>
      <c r="BP267" s="408"/>
      <c r="BQ267" s="408"/>
      <c r="BR267" s="408"/>
      <c r="BS267" s="408"/>
      <c r="BT267" s="408"/>
      <c r="BU267" s="408"/>
    </row>
    <row r="268" spans="1:73" s="541" customFormat="1" ht="44.25" customHeight="1" thickBot="1">
      <c r="A268" s="678" t="s">
        <v>532</v>
      </c>
      <c r="B268" s="679"/>
      <c r="C268" s="680">
        <f>SUM(C265:C267)</f>
        <v>1355089053</v>
      </c>
      <c r="D268" s="680">
        <f>SUM(D265:D267)</f>
        <v>1646521084</v>
      </c>
      <c r="E268" s="680">
        <f t="shared" ref="E268" si="40">SUM(E265:E267)</f>
        <v>1646521084</v>
      </c>
      <c r="F268" s="706">
        <f>SUM(E268/D268)</f>
        <v>1</v>
      </c>
      <c r="G268" s="278"/>
      <c r="H268" s="540"/>
      <c r="I268" s="540"/>
      <c r="J268" s="540"/>
      <c r="K268" s="540"/>
      <c r="L268" s="540"/>
      <c r="M268" s="540"/>
      <c r="N268" s="540"/>
      <c r="O268" s="540"/>
      <c r="P268" s="540"/>
      <c r="Q268" s="540"/>
      <c r="R268" s="540"/>
      <c r="S268" s="540"/>
      <c r="T268" s="540"/>
      <c r="U268" s="540"/>
      <c r="V268" s="540"/>
      <c r="W268" s="540"/>
      <c r="X268" s="540"/>
      <c r="Y268" s="540"/>
      <c r="Z268" s="540"/>
      <c r="AA268" s="540"/>
      <c r="AB268" s="540"/>
      <c r="AC268" s="540"/>
      <c r="AD268" s="540"/>
      <c r="AE268" s="540"/>
      <c r="AF268" s="540"/>
      <c r="AG268" s="540"/>
      <c r="AH268" s="540"/>
      <c r="AI268" s="540"/>
      <c r="AJ268" s="540"/>
      <c r="AK268" s="540"/>
      <c r="AL268" s="540"/>
      <c r="AM268" s="540"/>
      <c r="AN268" s="540"/>
      <c r="AO268" s="540"/>
      <c r="AP268" s="540"/>
      <c r="AQ268" s="540"/>
      <c r="AR268" s="540"/>
      <c r="AS268" s="540"/>
      <c r="AT268" s="540"/>
      <c r="AU268" s="540"/>
      <c r="AV268" s="540"/>
      <c r="AW268" s="540"/>
      <c r="AX268" s="540"/>
      <c r="AY268" s="540"/>
      <c r="AZ268" s="540"/>
      <c r="BA268" s="540"/>
      <c r="BB268" s="540"/>
      <c r="BC268" s="540"/>
      <c r="BD268" s="540"/>
      <c r="BE268" s="540"/>
      <c r="BF268" s="540"/>
      <c r="BG268" s="540"/>
      <c r="BH268" s="540"/>
      <c r="BI268" s="540"/>
      <c r="BJ268" s="540"/>
      <c r="BK268" s="540"/>
      <c r="BL268" s="540"/>
      <c r="BM268" s="540"/>
      <c r="BN268" s="540"/>
      <c r="BO268" s="540"/>
      <c r="BP268" s="540"/>
      <c r="BQ268" s="540"/>
      <c r="BR268" s="540"/>
      <c r="BS268" s="540"/>
      <c r="BT268" s="540"/>
      <c r="BU268" s="540"/>
    </row>
    <row r="269" spans="1:73" s="697" customFormat="1" ht="44.25" customHeight="1" thickBot="1">
      <c r="A269" s="694"/>
      <c r="B269" s="695"/>
      <c r="C269" s="696"/>
      <c r="D269" s="687"/>
      <c r="E269" s="687"/>
      <c r="F269" s="709"/>
      <c r="G269" s="278"/>
      <c r="H269" s="278"/>
      <c r="I269" s="278"/>
      <c r="J269" s="278"/>
      <c r="K269" s="278"/>
      <c r="L269" s="278"/>
      <c r="M269" s="278"/>
      <c r="N269" s="278"/>
      <c r="O269" s="278"/>
      <c r="P269" s="278"/>
      <c r="Q269" s="278"/>
      <c r="R269" s="278"/>
      <c r="S269" s="278"/>
      <c r="T269" s="278"/>
      <c r="U269" s="278"/>
      <c r="V269" s="278"/>
      <c r="W269" s="278"/>
      <c r="X269" s="278"/>
      <c r="Y269" s="278"/>
      <c r="Z269" s="278"/>
      <c r="AA269" s="278"/>
      <c r="AB269" s="278"/>
      <c r="AC269" s="278"/>
      <c r="AD269" s="278"/>
      <c r="AE269" s="278"/>
      <c r="AF269" s="278"/>
      <c r="AG269" s="278"/>
      <c r="AH269" s="278"/>
      <c r="AI269" s="278"/>
      <c r="AJ269" s="278"/>
      <c r="AK269" s="278"/>
      <c r="AL269" s="278"/>
      <c r="AM269" s="278"/>
      <c r="AN269" s="278"/>
      <c r="AO269" s="278"/>
      <c r="AP269" s="278"/>
      <c r="AQ269" s="278"/>
      <c r="AR269" s="278"/>
      <c r="AS269" s="278"/>
      <c r="AT269" s="278"/>
      <c r="AU269" s="278"/>
      <c r="AV269" s="278"/>
      <c r="AW269" s="278"/>
      <c r="AX269" s="278"/>
      <c r="AY269" s="278"/>
      <c r="AZ269" s="278"/>
      <c r="BA269" s="278"/>
      <c r="BB269" s="278"/>
      <c r="BC269" s="278"/>
      <c r="BD269" s="278"/>
      <c r="BE269" s="278"/>
      <c r="BF269" s="278"/>
      <c r="BG269" s="278"/>
      <c r="BH269" s="278"/>
      <c r="BI269" s="278"/>
      <c r="BJ269" s="278"/>
      <c r="BK269" s="278"/>
      <c r="BL269" s="278"/>
      <c r="BM269" s="278"/>
      <c r="BN269" s="278"/>
      <c r="BO269" s="278"/>
      <c r="BP269" s="278"/>
      <c r="BQ269" s="278"/>
      <c r="BR269" s="278"/>
      <c r="BS269" s="278"/>
      <c r="BT269" s="278"/>
      <c r="BU269" s="278"/>
    </row>
    <row r="270" spans="1:73" s="291" customFormat="1" ht="33" customHeight="1" thickBot="1">
      <c r="A270" s="555" t="s">
        <v>916</v>
      </c>
      <c r="B270" s="556"/>
      <c r="C270" s="554">
        <f>SUM(C26+C46+C136+C152+C205+C235+C258+C268)</f>
        <v>5532282358</v>
      </c>
      <c r="D270" s="554">
        <f>SUM(D26+D46+D136+D152+D205+D235+D258+D268+D262)</f>
        <v>7392353526</v>
      </c>
      <c r="E270" s="554">
        <f>SUM(E26+E46+E136+E152+E205+E235+E258+E268+E262)</f>
        <v>3553854562</v>
      </c>
      <c r="F270" s="714">
        <f>E270/D270</f>
        <v>0.48074737625853098</v>
      </c>
      <c r="G270" s="408"/>
      <c r="H270" s="289"/>
      <c r="I270" s="289"/>
      <c r="J270" s="289"/>
      <c r="K270" s="289"/>
      <c r="L270" s="289"/>
      <c r="M270" s="289"/>
      <c r="N270" s="289"/>
      <c r="O270" s="289"/>
      <c r="P270" s="289"/>
      <c r="Q270" s="289"/>
      <c r="R270" s="289"/>
      <c r="S270" s="289"/>
      <c r="T270" s="289"/>
      <c r="U270" s="289"/>
      <c r="V270" s="289"/>
      <c r="W270" s="289"/>
      <c r="X270" s="289"/>
      <c r="Y270" s="289"/>
      <c r="Z270" s="289"/>
      <c r="AA270" s="289"/>
      <c r="AB270" s="289"/>
      <c r="AC270" s="289"/>
      <c r="AD270" s="289"/>
      <c r="AE270" s="289"/>
      <c r="AF270" s="289"/>
      <c r="AG270" s="289"/>
      <c r="AH270" s="289"/>
      <c r="AI270" s="289"/>
      <c r="AJ270" s="289"/>
      <c r="AK270" s="289"/>
      <c r="AL270" s="289"/>
      <c r="AM270" s="289"/>
      <c r="AN270" s="289"/>
      <c r="AO270" s="289"/>
      <c r="AP270" s="289"/>
      <c r="AQ270" s="289"/>
      <c r="AR270" s="289"/>
      <c r="AS270" s="289"/>
      <c r="AT270" s="289"/>
      <c r="AU270" s="289"/>
      <c r="AV270" s="289"/>
      <c r="AW270" s="289"/>
      <c r="AX270" s="289"/>
      <c r="AY270" s="289"/>
      <c r="AZ270" s="289"/>
      <c r="BA270" s="289"/>
      <c r="BB270" s="289"/>
      <c r="BC270" s="289"/>
      <c r="BD270" s="289"/>
      <c r="BE270" s="289"/>
      <c r="BF270" s="289"/>
      <c r="BG270" s="289"/>
      <c r="BH270" s="289"/>
      <c r="BI270" s="289"/>
      <c r="BJ270" s="289"/>
      <c r="BK270" s="289"/>
      <c r="BL270" s="289"/>
      <c r="BM270" s="289"/>
      <c r="BN270" s="289"/>
      <c r="BO270" s="289"/>
      <c r="BP270" s="289"/>
      <c r="BQ270" s="289"/>
      <c r="BR270" s="289"/>
      <c r="BS270" s="289"/>
      <c r="BT270" s="289"/>
      <c r="BU270" s="289"/>
    </row>
    <row r="271" spans="1:73" s="395" customFormat="1" ht="93" customHeight="1" thickBot="1">
      <c r="A271" s="411"/>
      <c r="B271" s="411"/>
      <c r="C271" s="292"/>
      <c r="D271" s="292"/>
      <c r="F271" s="563"/>
    </row>
    <row r="272" spans="1:73" s="297" customFormat="1" ht="33" customHeight="1" thickBot="1">
      <c r="A272" s="293"/>
      <c r="B272" s="294"/>
      <c r="C272" s="295"/>
      <c r="D272" s="295"/>
      <c r="E272" s="283"/>
      <c r="F272" s="703"/>
      <c r="G272" s="283"/>
      <c r="H272" s="283"/>
      <c r="I272" s="283"/>
      <c r="J272" s="283"/>
      <c r="K272" s="283"/>
      <c r="L272" s="283"/>
      <c r="M272" s="283"/>
      <c r="N272" s="283"/>
      <c r="O272" s="283"/>
      <c r="P272" s="283"/>
      <c r="Q272" s="283"/>
      <c r="R272" s="283"/>
      <c r="S272" s="283"/>
      <c r="T272" s="283"/>
      <c r="U272" s="283"/>
      <c r="V272" s="283"/>
      <c r="W272" s="283"/>
      <c r="X272" s="283"/>
      <c r="Y272" s="283"/>
      <c r="Z272" s="283"/>
      <c r="AA272" s="283"/>
      <c r="AB272" s="283"/>
      <c r="AC272" s="283"/>
      <c r="AD272" s="283"/>
      <c r="AE272" s="283"/>
      <c r="AF272" s="283"/>
      <c r="AG272" s="283"/>
      <c r="AH272" s="283"/>
      <c r="AI272" s="283"/>
      <c r="AJ272" s="283"/>
      <c r="AK272" s="283"/>
      <c r="AL272" s="283"/>
      <c r="AM272" s="283"/>
      <c r="AN272" s="283"/>
      <c r="AO272" s="283"/>
      <c r="AP272" s="283"/>
      <c r="AQ272" s="283"/>
      <c r="AR272" s="283"/>
      <c r="AS272" s="283"/>
      <c r="AT272" s="283"/>
      <c r="AU272" s="283"/>
      <c r="AV272" s="283"/>
      <c r="AW272" s="283"/>
      <c r="AX272" s="283"/>
      <c r="AY272" s="283"/>
      <c r="AZ272" s="283"/>
      <c r="BA272" s="283"/>
      <c r="BB272" s="283"/>
      <c r="BC272" s="283"/>
      <c r="BD272" s="283"/>
      <c r="BE272" s="283"/>
      <c r="BF272" s="283"/>
      <c r="BG272" s="283"/>
      <c r="BH272" s="283"/>
      <c r="BI272" s="283"/>
      <c r="BJ272" s="283"/>
      <c r="BK272" s="283"/>
      <c r="BL272" s="283"/>
      <c r="BM272" s="283"/>
      <c r="BN272" s="283"/>
      <c r="BO272" s="283"/>
      <c r="BP272" s="283"/>
      <c r="BQ272" s="283"/>
      <c r="BR272" s="283"/>
      <c r="BS272" s="283"/>
      <c r="BT272" s="283"/>
      <c r="BU272" s="283"/>
    </row>
    <row r="273" spans="1:73" s="297" customFormat="1" ht="30.75" customHeight="1" thickBot="1">
      <c r="A273" s="298"/>
      <c r="B273" s="299"/>
      <c r="C273" s="295"/>
      <c r="D273" s="295"/>
      <c r="E273" s="283"/>
      <c r="F273" s="703"/>
      <c r="G273" s="283"/>
      <c r="H273" s="283"/>
      <c r="I273" s="283"/>
      <c r="J273" s="283"/>
      <c r="K273" s="283"/>
      <c r="L273" s="283"/>
      <c r="M273" s="283"/>
      <c r="N273" s="283"/>
      <c r="O273" s="283"/>
      <c r="P273" s="283"/>
      <c r="Q273" s="283"/>
      <c r="R273" s="283"/>
      <c r="S273" s="283"/>
      <c r="T273" s="283"/>
      <c r="U273" s="283"/>
      <c r="V273" s="283"/>
      <c r="W273" s="283"/>
      <c r="X273" s="283"/>
      <c r="Y273" s="283"/>
      <c r="Z273" s="283"/>
      <c r="AA273" s="283"/>
      <c r="AB273" s="283"/>
      <c r="AC273" s="283"/>
      <c r="AD273" s="283"/>
      <c r="AE273" s="283"/>
      <c r="AF273" s="283"/>
      <c r="AG273" s="283"/>
      <c r="AH273" s="283"/>
      <c r="AI273" s="283"/>
      <c r="AJ273" s="283"/>
      <c r="AK273" s="283"/>
      <c r="AL273" s="283"/>
      <c r="AM273" s="283"/>
      <c r="AN273" s="283"/>
      <c r="AO273" s="283"/>
      <c r="AP273" s="283"/>
      <c r="AQ273" s="283"/>
      <c r="AR273" s="283"/>
      <c r="AS273" s="283"/>
      <c r="AT273" s="283"/>
      <c r="AU273" s="283"/>
      <c r="AV273" s="283"/>
      <c r="AW273" s="283"/>
      <c r="AX273" s="283"/>
      <c r="AY273" s="283"/>
      <c r="AZ273" s="283"/>
      <c r="BA273" s="283"/>
      <c r="BB273" s="283"/>
      <c r="BC273" s="283"/>
      <c r="BD273" s="283"/>
      <c r="BE273" s="283"/>
      <c r="BF273" s="283"/>
      <c r="BG273" s="283"/>
      <c r="BH273" s="283"/>
      <c r="BI273" s="283"/>
      <c r="BJ273" s="283"/>
      <c r="BK273" s="283"/>
      <c r="BL273" s="283"/>
      <c r="BM273" s="283"/>
      <c r="BN273" s="283"/>
      <c r="BO273" s="283"/>
      <c r="BP273" s="283"/>
      <c r="BQ273" s="283"/>
      <c r="BR273" s="283"/>
      <c r="BS273" s="283"/>
      <c r="BT273" s="283"/>
      <c r="BU273" s="283"/>
    </row>
    <row r="274" spans="1:73" s="297" customFormat="1" ht="34.5" customHeight="1" thickBot="1">
      <c r="A274" s="293"/>
      <c r="B274" s="300"/>
      <c r="C274" s="301"/>
      <c r="D274" s="301"/>
      <c r="E274" s="283"/>
      <c r="F274" s="703"/>
      <c r="G274" s="283"/>
      <c r="H274" s="283"/>
      <c r="I274" s="283"/>
      <c r="J274" s="283"/>
      <c r="K274" s="283"/>
      <c r="L274" s="283"/>
      <c r="M274" s="283"/>
      <c r="N274" s="283"/>
      <c r="O274" s="283"/>
      <c r="P274" s="283"/>
      <c r="Q274" s="283"/>
      <c r="R274" s="283"/>
      <c r="S274" s="283"/>
      <c r="T274" s="283"/>
      <c r="U274" s="283"/>
      <c r="V274" s="283"/>
      <c r="W274" s="283"/>
      <c r="X274" s="283"/>
      <c r="Y274" s="283"/>
      <c r="Z274" s="283"/>
      <c r="AA274" s="283"/>
      <c r="AB274" s="283"/>
      <c r="AC274" s="283"/>
      <c r="AD274" s="283"/>
      <c r="AE274" s="283"/>
      <c r="AF274" s="283"/>
      <c r="AG274" s="283"/>
      <c r="AH274" s="283"/>
      <c r="AI274" s="283"/>
      <c r="AJ274" s="283"/>
      <c r="AK274" s="283"/>
      <c r="AL274" s="283"/>
      <c r="AM274" s="283"/>
      <c r="AN274" s="283"/>
      <c r="AO274" s="283"/>
      <c r="AP274" s="283"/>
      <c r="AQ274" s="283"/>
      <c r="AR274" s="283"/>
      <c r="AS274" s="283"/>
      <c r="AT274" s="283"/>
      <c r="AU274" s="283"/>
      <c r="AV274" s="283"/>
      <c r="AW274" s="283"/>
      <c r="AX274" s="283"/>
      <c r="AY274" s="283"/>
      <c r="AZ274" s="283"/>
      <c r="BA274" s="283"/>
      <c r="BB274" s="283"/>
      <c r="BC274" s="283"/>
      <c r="BD274" s="283"/>
      <c r="BE274" s="283"/>
      <c r="BF274" s="283"/>
      <c r="BG274" s="283"/>
      <c r="BH274" s="283"/>
      <c r="BI274" s="283"/>
      <c r="BJ274" s="283"/>
      <c r="BK274" s="283"/>
      <c r="BL274" s="283"/>
      <c r="BM274" s="283"/>
      <c r="BN274" s="283"/>
      <c r="BO274" s="283"/>
      <c r="BP274" s="283"/>
      <c r="BQ274" s="283"/>
      <c r="BR274" s="283"/>
      <c r="BS274" s="283"/>
      <c r="BT274" s="283"/>
      <c r="BU274" s="283"/>
    </row>
    <row r="275" spans="1:73" s="297" customFormat="1" ht="15.75" customHeight="1" thickBot="1">
      <c r="A275" s="298"/>
      <c r="B275" s="299"/>
      <c r="C275" s="301"/>
      <c r="D275" s="301"/>
      <c r="E275" s="283"/>
      <c r="F275" s="703"/>
      <c r="G275" s="283"/>
      <c r="H275" s="283"/>
      <c r="I275" s="283"/>
      <c r="J275" s="283"/>
      <c r="K275" s="283"/>
      <c r="L275" s="283"/>
      <c r="M275" s="283"/>
      <c r="N275" s="283"/>
      <c r="O275" s="283"/>
      <c r="P275" s="283"/>
      <c r="Q275" s="283"/>
      <c r="R275" s="283"/>
      <c r="S275" s="283"/>
      <c r="T275" s="283"/>
      <c r="U275" s="283"/>
      <c r="V275" s="283"/>
      <c r="W275" s="283"/>
      <c r="X275" s="283"/>
      <c r="Y275" s="283"/>
      <c r="Z275" s="283"/>
      <c r="AA275" s="283"/>
      <c r="AB275" s="283"/>
      <c r="AC275" s="283"/>
      <c r="AD275" s="283"/>
      <c r="AE275" s="283"/>
      <c r="AF275" s="283"/>
      <c r="AG275" s="283"/>
      <c r="AH275" s="283"/>
      <c r="AI275" s="283"/>
      <c r="AJ275" s="283"/>
      <c r="AK275" s="283"/>
      <c r="AL275" s="283"/>
      <c r="AM275" s="283"/>
      <c r="AN275" s="283"/>
      <c r="AO275" s="283"/>
      <c r="AP275" s="283"/>
      <c r="AQ275" s="283"/>
      <c r="AR275" s="283"/>
      <c r="AS275" s="283"/>
      <c r="AT275" s="283"/>
      <c r="AU275" s="283"/>
      <c r="AV275" s="283"/>
      <c r="AW275" s="283"/>
      <c r="AX275" s="283"/>
      <c r="AY275" s="283"/>
      <c r="AZ275" s="283"/>
      <c r="BA275" s="283"/>
      <c r="BB275" s="283"/>
      <c r="BC275" s="283"/>
      <c r="BD275" s="283"/>
      <c r="BE275" s="283"/>
      <c r="BF275" s="283"/>
      <c r="BG275" s="283"/>
      <c r="BH275" s="283"/>
      <c r="BI275" s="283"/>
      <c r="BJ275" s="283"/>
      <c r="BK275" s="283"/>
      <c r="BL275" s="283"/>
      <c r="BM275" s="283"/>
      <c r="BN275" s="283"/>
      <c r="BO275" s="283"/>
      <c r="BP275" s="283"/>
      <c r="BQ275" s="283"/>
      <c r="BR275" s="283"/>
      <c r="BS275" s="283"/>
      <c r="BT275" s="283"/>
      <c r="BU275" s="283"/>
    </row>
    <row r="276" spans="1:73" s="297" customFormat="1" ht="15.75" customHeight="1" thickBot="1">
      <c r="A276" s="298"/>
      <c r="B276" s="299"/>
      <c r="C276" s="301"/>
      <c r="D276" s="301"/>
      <c r="E276" s="283"/>
      <c r="F276" s="703"/>
      <c r="G276" s="283"/>
      <c r="H276" s="283"/>
      <c r="I276" s="283"/>
      <c r="J276" s="283"/>
      <c r="K276" s="283"/>
      <c r="L276" s="283"/>
      <c r="M276" s="283"/>
      <c r="N276" s="283"/>
      <c r="O276" s="283"/>
      <c r="P276" s="283"/>
      <c r="Q276" s="283"/>
      <c r="R276" s="283"/>
      <c r="S276" s="283"/>
      <c r="T276" s="283"/>
      <c r="U276" s="283"/>
      <c r="V276" s="283"/>
      <c r="W276" s="283"/>
      <c r="X276" s="283"/>
      <c r="Y276" s="283"/>
      <c r="Z276" s="283"/>
      <c r="AA276" s="283"/>
      <c r="AB276" s="283"/>
      <c r="AC276" s="283"/>
      <c r="AD276" s="283"/>
      <c r="AE276" s="283"/>
      <c r="AF276" s="283"/>
      <c r="AG276" s="283"/>
      <c r="AH276" s="283"/>
      <c r="AI276" s="283"/>
      <c r="AJ276" s="283"/>
      <c r="AK276" s="283"/>
      <c r="AL276" s="283"/>
      <c r="AM276" s="283"/>
      <c r="AN276" s="283"/>
      <c r="AO276" s="283"/>
      <c r="AP276" s="283"/>
      <c r="AQ276" s="283"/>
      <c r="AR276" s="283"/>
      <c r="AS276" s="283"/>
      <c r="AT276" s="283"/>
      <c r="AU276" s="283"/>
      <c r="AV276" s="283"/>
      <c r="AW276" s="283"/>
      <c r="AX276" s="283"/>
      <c r="AY276" s="283"/>
      <c r="AZ276" s="283"/>
      <c r="BA276" s="283"/>
      <c r="BB276" s="283"/>
      <c r="BC276" s="283"/>
      <c r="BD276" s="283"/>
      <c r="BE276" s="283"/>
      <c r="BF276" s="283"/>
      <c r="BG276" s="283"/>
      <c r="BH276" s="283"/>
      <c r="BI276" s="283"/>
      <c r="BJ276" s="283"/>
      <c r="BK276" s="283"/>
      <c r="BL276" s="283"/>
      <c r="BM276" s="283"/>
      <c r="BN276" s="283"/>
      <c r="BO276" s="283"/>
      <c r="BP276" s="283"/>
      <c r="BQ276" s="283"/>
      <c r="BR276" s="283"/>
      <c r="BS276" s="283"/>
      <c r="BT276" s="283"/>
      <c r="BU276" s="283"/>
    </row>
    <row r="277" spans="1:73" s="297" customFormat="1" ht="15.75" customHeight="1" thickBot="1">
      <c r="A277" s="298"/>
      <c r="B277" s="299"/>
      <c r="C277" s="301"/>
      <c r="D277" s="301"/>
      <c r="E277" s="283"/>
      <c r="F277" s="703"/>
      <c r="G277" s="283"/>
      <c r="H277" s="283"/>
      <c r="I277" s="283"/>
      <c r="J277" s="283"/>
      <c r="K277" s="283"/>
      <c r="L277" s="283"/>
      <c r="M277" s="283"/>
      <c r="N277" s="283"/>
      <c r="O277" s="283"/>
      <c r="P277" s="283"/>
      <c r="Q277" s="283"/>
      <c r="R277" s="283"/>
      <c r="S277" s="283"/>
      <c r="T277" s="283"/>
      <c r="U277" s="283"/>
      <c r="V277" s="283"/>
      <c r="W277" s="283"/>
      <c r="X277" s="283"/>
      <c r="Y277" s="283"/>
      <c r="Z277" s="283"/>
      <c r="AA277" s="283"/>
      <c r="AB277" s="283"/>
      <c r="AC277" s="283"/>
      <c r="AD277" s="283"/>
      <c r="AE277" s="283"/>
      <c r="AF277" s="283"/>
      <c r="AG277" s="283"/>
      <c r="AH277" s="283"/>
      <c r="AI277" s="283"/>
      <c r="AJ277" s="283"/>
      <c r="AK277" s="283"/>
      <c r="AL277" s="283"/>
      <c r="AM277" s="283"/>
      <c r="AN277" s="283"/>
      <c r="AO277" s="283"/>
      <c r="AP277" s="283"/>
      <c r="AQ277" s="283"/>
      <c r="AR277" s="283"/>
      <c r="AS277" s="283"/>
      <c r="AT277" s="283"/>
      <c r="AU277" s="283"/>
      <c r="AV277" s="283"/>
      <c r="AW277" s="283"/>
      <c r="AX277" s="283"/>
      <c r="AY277" s="283"/>
      <c r="AZ277" s="283"/>
      <c r="BA277" s="283"/>
      <c r="BB277" s="283"/>
      <c r="BC277" s="283"/>
      <c r="BD277" s="283"/>
      <c r="BE277" s="283"/>
      <c r="BF277" s="283"/>
      <c r="BG277" s="283"/>
      <c r="BH277" s="283"/>
      <c r="BI277" s="283"/>
      <c r="BJ277" s="283"/>
      <c r="BK277" s="283"/>
      <c r="BL277" s="283"/>
      <c r="BM277" s="283"/>
      <c r="BN277" s="283"/>
      <c r="BO277" s="283"/>
      <c r="BP277" s="283"/>
      <c r="BQ277" s="283"/>
      <c r="BR277" s="283"/>
      <c r="BS277" s="283"/>
      <c r="BT277" s="283"/>
      <c r="BU277" s="283"/>
    </row>
    <row r="278" spans="1:73" s="297" customFormat="1" ht="15.75" customHeight="1" thickBot="1">
      <c r="A278" s="298"/>
      <c r="B278" s="298"/>
      <c r="C278" s="301"/>
      <c r="D278" s="301"/>
      <c r="E278" s="283"/>
      <c r="F278" s="703"/>
      <c r="G278" s="283"/>
      <c r="H278" s="283"/>
      <c r="I278" s="283"/>
      <c r="J278" s="283"/>
      <c r="K278" s="283"/>
      <c r="L278" s="283"/>
      <c r="M278" s="283"/>
      <c r="N278" s="283"/>
      <c r="O278" s="283"/>
      <c r="P278" s="283"/>
      <c r="Q278" s="283"/>
      <c r="R278" s="283"/>
      <c r="S278" s="283"/>
      <c r="T278" s="283"/>
      <c r="U278" s="283"/>
      <c r="V278" s="283"/>
      <c r="W278" s="283"/>
      <c r="X278" s="283"/>
      <c r="Y278" s="283"/>
      <c r="Z278" s="283"/>
      <c r="AA278" s="283"/>
      <c r="AB278" s="283"/>
      <c r="AC278" s="283"/>
      <c r="AD278" s="283"/>
      <c r="AE278" s="283"/>
      <c r="AF278" s="283"/>
      <c r="AG278" s="283"/>
      <c r="AH278" s="283"/>
      <c r="AI278" s="283"/>
      <c r="AJ278" s="283"/>
      <c r="AK278" s="283"/>
      <c r="AL278" s="283"/>
      <c r="AM278" s="283"/>
      <c r="AN278" s="283"/>
      <c r="AO278" s="283"/>
      <c r="AP278" s="283"/>
      <c r="AQ278" s="283"/>
      <c r="AR278" s="283"/>
      <c r="AS278" s="283"/>
      <c r="AT278" s="283"/>
      <c r="AU278" s="283"/>
      <c r="AV278" s="283"/>
      <c r="AW278" s="283"/>
      <c r="AX278" s="283"/>
      <c r="AY278" s="283"/>
      <c r="AZ278" s="283"/>
      <c r="BA278" s="283"/>
      <c r="BB278" s="283"/>
      <c r="BC278" s="283"/>
      <c r="BD278" s="283"/>
      <c r="BE278" s="283"/>
      <c r="BF278" s="283"/>
      <c r="BG278" s="283"/>
      <c r="BH278" s="283"/>
      <c r="BI278" s="283"/>
      <c r="BJ278" s="283"/>
      <c r="BK278" s="283"/>
      <c r="BL278" s="283"/>
      <c r="BM278" s="283"/>
      <c r="BN278" s="283"/>
      <c r="BO278" s="283"/>
      <c r="BP278" s="283"/>
      <c r="BQ278" s="283"/>
      <c r="BR278" s="283"/>
      <c r="BS278" s="283"/>
      <c r="BT278" s="283"/>
      <c r="BU278" s="283"/>
    </row>
    <row r="279" spans="1:73" s="297" customFormat="1" ht="15.75" customHeight="1" thickBot="1">
      <c r="A279" s="298"/>
      <c r="B279" s="298"/>
      <c r="C279" s="301"/>
      <c r="D279" s="301"/>
      <c r="E279" s="283"/>
      <c r="F279" s="703"/>
      <c r="G279" s="283"/>
      <c r="H279" s="283"/>
      <c r="I279" s="283"/>
      <c r="J279" s="283"/>
      <c r="K279" s="283"/>
      <c r="L279" s="283"/>
      <c r="M279" s="283"/>
      <c r="N279" s="283"/>
      <c r="O279" s="283"/>
      <c r="P279" s="283"/>
      <c r="Q279" s="283"/>
      <c r="R279" s="283"/>
      <c r="S279" s="283"/>
      <c r="T279" s="283"/>
      <c r="U279" s="283"/>
      <c r="V279" s="283"/>
      <c r="W279" s="283"/>
      <c r="X279" s="283"/>
      <c r="Y279" s="283"/>
      <c r="Z279" s="283"/>
      <c r="AA279" s="283"/>
      <c r="AB279" s="283"/>
      <c r="AC279" s="283"/>
      <c r="AD279" s="283"/>
      <c r="AE279" s="283"/>
      <c r="AF279" s="283"/>
      <c r="AG279" s="283"/>
      <c r="AH279" s="283"/>
      <c r="AI279" s="283"/>
      <c r="AJ279" s="283"/>
      <c r="AK279" s="283"/>
      <c r="AL279" s="283"/>
      <c r="AM279" s="283"/>
      <c r="AN279" s="283"/>
      <c r="AO279" s="283"/>
      <c r="AP279" s="283"/>
      <c r="AQ279" s="283"/>
      <c r="AR279" s="283"/>
      <c r="AS279" s="283"/>
      <c r="AT279" s="283"/>
      <c r="AU279" s="283"/>
      <c r="AV279" s="283"/>
      <c r="AW279" s="283"/>
      <c r="AX279" s="283"/>
      <c r="AY279" s="283"/>
      <c r="AZ279" s="283"/>
      <c r="BA279" s="283"/>
      <c r="BB279" s="283"/>
      <c r="BC279" s="283"/>
      <c r="BD279" s="283"/>
      <c r="BE279" s="283"/>
      <c r="BF279" s="283"/>
      <c r="BG279" s="283"/>
      <c r="BH279" s="283"/>
      <c r="BI279" s="283"/>
      <c r="BJ279" s="283"/>
      <c r="BK279" s="283"/>
      <c r="BL279" s="283"/>
      <c r="BM279" s="283"/>
      <c r="BN279" s="283"/>
      <c r="BO279" s="283"/>
      <c r="BP279" s="283"/>
      <c r="BQ279" s="283"/>
      <c r="BR279" s="283"/>
      <c r="BS279" s="283"/>
      <c r="BT279" s="283"/>
      <c r="BU279" s="283"/>
    </row>
    <row r="280" spans="1:73" s="297" customFormat="1" ht="15.75" customHeight="1" thickBot="1">
      <c r="A280" s="298"/>
      <c r="B280" s="298"/>
      <c r="C280" s="301"/>
      <c r="D280" s="301"/>
      <c r="E280" s="283"/>
      <c r="F280" s="703"/>
      <c r="G280" s="283"/>
      <c r="H280" s="283"/>
      <c r="I280" s="283"/>
      <c r="J280" s="283"/>
      <c r="K280" s="283"/>
      <c r="L280" s="283"/>
      <c r="M280" s="283"/>
      <c r="N280" s="283"/>
      <c r="O280" s="283"/>
      <c r="P280" s="283"/>
      <c r="Q280" s="283"/>
      <c r="R280" s="283"/>
      <c r="S280" s="283"/>
      <c r="T280" s="283"/>
      <c r="U280" s="283"/>
      <c r="V280" s="283"/>
      <c r="W280" s="283"/>
      <c r="X280" s="283"/>
      <c r="Y280" s="283"/>
      <c r="Z280" s="283"/>
      <c r="AA280" s="283"/>
      <c r="AB280" s="283"/>
      <c r="AC280" s="283"/>
      <c r="AD280" s="283"/>
      <c r="AE280" s="283"/>
      <c r="AF280" s="283"/>
      <c r="AG280" s="283"/>
      <c r="AH280" s="283"/>
      <c r="AI280" s="283"/>
      <c r="AJ280" s="283"/>
      <c r="AK280" s="283"/>
      <c r="AL280" s="283"/>
      <c r="AM280" s="283"/>
      <c r="AN280" s="283"/>
      <c r="AO280" s="283"/>
      <c r="AP280" s="283"/>
      <c r="AQ280" s="283"/>
      <c r="AR280" s="283"/>
      <c r="AS280" s="283"/>
      <c r="AT280" s="283"/>
      <c r="AU280" s="283"/>
      <c r="AV280" s="283"/>
      <c r="AW280" s="283"/>
      <c r="AX280" s="283"/>
      <c r="AY280" s="283"/>
      <c r="AZ280" s="283"/>
      <c r="BA280" s="283"/>
      <c r="BB280" s="283"/>
      <c r="BC280" s="283"/>
      <c r="BD280" s="283"/>
      <c r="BE280" s="283"/>
      <c r="BF280" s="283"/>
      <c r="BG280" s="283"/>
      <c r="BH280" s="283"/>
      <c r="BI280" s="283"/>
      <c r="BJ280" s="283"/>
      <c r="BK280" s="283"/>
      <c r="BL280" s="283"/>
      <c r="BM280" s="283"/>
      <c r="BN280" s="283"/>
      <c r="BO280" s="283"/>
      <c r="BP280" s="283"/>
      <c r="BQ280" s="283"/>
      <c r="BR280" s="283"/>
      <c r="BS280" s="283"/>
      <c r="BT280" s="283"/>
      <c r="BU280" s="283"/>
    </row>
    <row r="281" spans="1:73" s="297" customFormat="1" ht="15.75" customHeight="1" thickBot="1">
      <c r="A281" s="298"/>
      <c r="B281" s="298"/>
      <c r="C281" s="301"/>
      <c r="D281" s="301"/>
      <c r="E281" s="283"/>
      <c r="F281" s="703"/>
      <c r="G281" s="283"/>
      <c r="H281" s="283"/>
      <c r="I281" s="283"/>
      <c r="J281" s="283"/>
      <c r="K281" s="283"/>
      <c r="L281" s="283"/>
      <c r="M281" s="283"/>
      <c r="N281" s="283"/>
      <c r="O281" s="283"/>
      <c r="P281" s="283"/>
      <c r="Q281" s="283"/>
      <c r="R281" s="283"/>
      <c r="S281" s="283"/>
      <c r="T281" s="283"/>
      <c r="U281" s="283"/>
      <c r="V281" s="283"/>
      <c r="W281" s="283"/>
      <c r="X281" s="283"/>
      <c r="Y281" s="283"/>
      <c r="Z281" s="283"/>
      <c r="AA281" s="283"/>
      <c r="AB281" s="283"/>
      <c r="AC281" s="283"/>
      <c r="AD281" s="283"/>
      <c r="AE281" s="283"/>
      <c r="AF281" s="283"/>
      <c r="AG281" s="283"/>
      <c r="AH281" s="283"/>
      <c r="AI281" s="283"/>
      <c r="AJ281" s="283"/>
      <c r="AK281" s="283"/>
      <c r="AL281" s="283"/>
      <c r="AM281" s="283"/>
      <c r="AN281" s="283"/>
      <c r="AO281" s="283"/>
      <c r="AP281" s="283"/>
      <c r="AQ281" s="283"/>
      <c r="AR281" s="283"/>
      <c r="AS281" s="283"/>
      <c r="AT281" s="283"/>
      <c r="AU281" s="283"/>
      <c r="AV281" s="283"/>
      <c r="AW281" s="283"/>
      <c r="AX281" s="283"/>
      <c r="AY281" s="283"/>
      <c r="AZ281" s="283"/>
      <c r="BA281" s="283"/>
      <c r="BB281" s="283"/>
      <c r="BC281" s="283"/>
      <c r="BD281" s="283"/>
      <c r="BE281" s="283"/>
      <c r="BF281" s="283"/>
      <c r="BG281" s="283"/>
      <c r="BH281" s="283"/>
      <c r="BI281" s="283"/>
      <c r="BJ281" s="283"/>
      <c r="BK281" s="283"/>
      <c r="BL281" s="283"/>
      <c r="BM281" s="283"/>
      <c r="BN281" s="283"/>
      <c r="BO281" s="283"/>
      <c r="BP281" s="283"/>
      <c r="BQ281" s="283"/>
      <c r="BR281" s="283"/>
      <c r="BS281" s="283"/>
      <c r="BT281" s="283"/>
      <c r="BU281" s="283"/>
    </row>
    <row r="282" spans="1:73" s="297" customFormat="1" ht="15.75" customHeight="1" thickBot="1">
      <c r="A282" s="298"/>
      <c r="B282" s="298"/>
      <c r="C282" s="301"/>
      <c r="D282" s="301"/>
      <c r="E282" s="283"/>
      <c r="F282" s="703"/>
      <c r="G282" s="283"/>
      <c r="H282" s="283"/>
      <c r="I282" s="283"/>
      <c r="J282" s="283"/>
      <c r="K282" s="283"/>
      <c r="L282" s="283"/>
      <c r="M282" s="283"/>
      <c r="N282" s="283"/>
      <c r="O282" s="283"/>
      <c r="P282" s="283"/>
      <c r="Q282" s="283"/>
      <c r="R282" s="283"/>
      <c r="S282" s="283"/>
      <c r="T282" s="283"/>
      <c r="U282" s="283"/>
      <c r="V282" s="283"/>
      <c r="W282" s="283"/>
      <c r="X282" s="283"/>
      <c r="Y282" s="283"/>
      <c r="Z282" s="283"/>
      <c r="AA282" s="283"/>
      <c r="AB282" s="283"/>
      <c r="AC282" s="283"/>
      <c r="AD282" s="283"/>
      <c r="AE282" s="283"/>
      <c r="AF282" s="283"/>
      <c r="AG282" s="283"/>
      <c r="AH282" s="283"/>
      <c r="AI282" s="283"/>
      <c r="AJ282" s="283"/>
      <c r="AK282" s="283"/>
      <c r="AL282" s="283"/>
      <c r="AM282" s="283"/>
      <c r="AN282" s="283"/>
      <c r="AO282" s="283"/>
      <c r="AP282" s="283"/>
      <c r="AQ282" s="283"/>
      <c r="AR282" s="283"/>
      <c r="AS282" s="283"/>
      <c r="AT282" s="283"/>
      <c r="AU282" s="283"/>
      <c r="AV282" s="283"/>
      <c r="AW282" s="283"/>
      <c r="AX282" s="283"/>
      <c r="AY282" s="283"/>
      <c r="AZ282" s="283"/>
      <c r="BA282" s="283"/>
      <c r="BB282" s="283"/>
      <c r="BC282" s="283"/>
      <c r="BD282" s="283"/>
      <c r="BE282" s="283"/>
      <c r="BF282" s="283"/>
      <c r="BG282" s="283"/>
      <c r="BH282" s="283"/>
      <c r="BI282" s="283"/>
      <c r="BJ282" s="283"/>
      <c r="BK282" s="283"/>
      <c r="BL282" s="283"/>
      <c r="BM282" s="283"/>
      <c r="BN282" s="283"/>
      <c r="BO282" s="283"/>
      <c r="BP282" s="283"/>
      <c r="BQ282" s="283"/>
      <c r="BR282" s="283"/>
      <c r="BS282" s="283"/>
      <c r="BT282" s="283"/>
      <c r="BU282" s="283"/>
    </row>
    <row r="283" spans="1:73" s="297" customFormat="1" ht="15.75" customHeight="1" thickBot="1">
      <c r="A283" s="298"/>
      <c r="B283" s="298"/>
      <c r="C283" s="301"/>
      <c r="D283" s="301"/>
      <c r="E283" s="283"/>
      <c r="F283" s="703"/>
      <c r="G283" s="283"/>
      <c r="H283" s="283"/>
      <c r="I283" s="283"/>
      <c r="J283" s="283"/>
      <c r="K283" s="283"/>
      <c r="L283" s="283"/>
      <c r="M283" s="283"/>
      <c r="N283" s="283"/>
      <c r="O283" s="283"/>
      <c r="P283" s="283"/>
      <c r="Q283" s="283"/>
      <c r="R283" s="283"/>
      <c r="S283" s="283"/>
      <c r="T283" s="283"/>
      <c r="U283" s="283"/>
      <c r="V283" s="283"/>
      <c r="W283" s="283"/>
      <c r="X283" s="283"/>
      <c r="Y283" s="283"/>
      <c r="Z283" s="283"/>
      <c r="AA283" s="283"/>
      <c r="AB283" s="283"/>
      <c r="AC283" s="283"/>
      <c r="AD283" s="283"/>
      <c r="AE283" s="283"/>
      <c r="AF283" s="283"/>
      <c r="AG283" s="283"/>
      <c r="AH283" s="283"/>
      <c r="AI283" s="283"/>
      <c r="AJ283" s="283"/>
      <c r="AK283" s="283"/>
      <c r="AL283" s="283"/>
      <c r="AM283" s="283"/>
      <c r="AN283" s="283"/>
      <c r="AO283" s="283"/>
      <c r="AP283" s="283"/>
      <c r="AQ283" s="283"/>
      <c r="AR283" s="283"/>
      <c r="AS283" s="283"/>
      <c r="AT283" s="283"/>
      <c r="AU283" s="283"/>
      <c r="AV283" s="283"/>
      <c r="AW283" s="283"/>
      <c r="AX283" s="283"/>
      <c r="AY283" s="283"/>
      <c r="AZ283" s="283"/>
      <c r="BA283" s="283"/>
      <c r="BB283" s="283"/>
      <c r="BC283" s="283"/>
      <c r="BD283" s="283"/>
      <c r="BE283" s="283"/>
      <c r="BF283" s="283"/>
      <c r="BG283" s="283"/>
      <c r="BH283" s="283"/>
      <c r="BI283" s="283"/>
      <c r="BJ283" s="283"/>
      <c r="BK283" s="283"/>
      <c r="BL283" s="283"/>
      <c r="BM283" s="283"/>
      <c r="BN283" s="283"/>
      <c r="BO283" s="283"/>
      <c r="BP283" s="283"/>
      <c r="BQ283" s="283"/>
      <c r="BR283" s="283"/>
      <c r="BS283" s="283"/>
      <c r="BT283" s="283"/>
      <c r="BU283" s="283"/>
    </row>
    <row r="284" spans="1:73" s="297" customFormat="1" ht="15.75" customHeight="1" thickBot="1">
      <c r="A284" s="298"/>
      <c r="B284" s="298"/>
      <c r="C284" s="301"/>
      <c r="D284" s="301"/>
      <c r="E284" s="283"/>
      <c r="F284" s="703"/>
      <c r="G284" s="283"/>
      <c r="H284" s="283"/>
      <c r="I284" s="283"/>
      <c r="J284" s="283"/>
      <c r="K284" s="283"/>
      <c r="L284" s="283"/>
      <c r="M284" s="283"/>
      <c r="N284" s="283"/>
      <c r="O284" s="283"/>
      <c r="P284" s="283"/>
      <c r="Q284" s="283"/>
      <c r="R284" s="283"/>
      <c r="S284" s="283"/>
      <c r="T284" s="283"/>
      <c r="U284" s="283"/>
      <c r="V284" s="283"/>
      <c r="W284" s="283"/>
      <c r="X284" s="283"/>
      <c r="Y284" s="283"/>
      <c r="Z284" s="283"/>
      <c r="AA284" s="283"/>
      <c r="AB284" s="283"/>
      <c r="AC284" s="283"/>
      <c r="AD284" s="283"/>
      <c r="AE284" s="283"/>
      <c r="AF284" s="283"/>
      <c r="AG284" s="283"/>
      <c r="AH284" s="283"/>
      <c r="AI284" s="283"/>
      <c r="AJ284" s="283"/>
      <c r="AK284" s="283"/>
      <c r="AL284" s="283"/>
      <c r="AM284" s="283"/>
      <c r="AN284" s="283"/>
      <c r="AO284" s="283"/>
      <c r="AP284" s="283"/>
      <c r="AQ284" s="283"/>
      <c r="AR284" s="283"/>
      <c r="AS284" s="283"/>
      <c r="AT284" s="283"/>
      <c r="AU284" s="283"/>
      <c r="AV284" s="283"/>
      <c r="AW284" s="283"/>
      <c r="AX284" s="283"/>
      <c r="AY284" s="283"/>
      <c r="AZ284" s="283"/>
      <c r="BA284" s="283"/>
      <c r="BB284" s="283"/>
      <c r="BC284" s="283"/>
      <c r="BD284" s="283"/>
      <c r="BE284" s="283"/>
      <c r="BF284" s="283"/>
      <c r="BG284" s="283"/>
      <c r="BH284" s="283"/>
      <c r="BI284" s="283"/>
      <c r="BJ284" s="283"/>
      <c r="BK284" s="283"/>
      <c r="BL284" s="283"/>
      <c r="BM284" s="283"/>
      <c r="BN284" s="283"/>
      <c r="BO284" s="283"/>
      <c r="BP284" s="283"/>
      <c r="BQ284" s="283"/>
      <c r="BR284" s="283"/>
      <c r="BS284" s="283"/>
      <c r="BT284" s="283"/>
      <c r="BU284" s="283"/>
    </row>
    <row r="285" spans="1:73" s="297" customFormat="1" ht="15.75" customHeight="1" thickBot="1">
      <c r="A285" s="298"/>
      <c r="B285" s="298"/>
      <c r="C285" s="301"/>
      <c r="D285" s="301"/>
      <c r="E285" s="283"/>
      <c r="F285" s="703"/>
      <c r="G285" s="283"/>
      <c r="H285" s="283"/>
      <c r="I285" s="283"/>
      <c r="J285" s="283"/>
      <c r="K285" s="283"/>
      <c r="L285" s="283"/>
      <c r="M285" s="283"/>
      <c r="N285" s="283"/>
      <c r="O285" s="283"/>
      <c r="P285" s="283"/>
      <c r="Q285" s="283"/>
      <c r="R285" s="283"/>
      <c r="S285" s="283"/>
      <c r="T285" s="283"/>
      <c r="U285" s="283"/>
      <c r="V285" s="283"/>
      <c r="W285" s="283"/>
      <c r="X285" s="283"/>
      <c r="Y285" s="283"/>
      <c r="Z285" s="283"/>
      <c r="AA285" s="283"/>
      <c r="AB285" s="283"/>
      <c r="AC285" s="283"/>
      <c r="AD285" s="283"/>
      <c r="AE285" s="283"/>
      <c r="AF285" s="283"/>
      <c r="AG285" s="283"/>
      <c r="AH285" s="283"/>
      <c r="AI285" s="283"/>
      <c r="AJ285" s="283"/>
      <c r="AK285" s="283"/>
      <c r="AL285" s="283"/>
      <c r="AM285" s="283"/>
      <c r="AN285" s="283"/>
      <c r="AO285" s="283"/>
      <c r="AP285" s="283"/>
      <c r="AQ285" s="283"/>
      <c r="AR285" s="283"/>
      <c r="AS285" s="283"/>
      <c r="AT285" s="283"/>
      <c r="AU285" s="283"/>
      <c r="AV285" s="283"/>
      <c r="AW285" s="283"/>
      <c r="AX285" s="283"/>
      <c r="AY285" s="283"/>
      <c r="AZ285" s="283"/>
      <c r="BA285" s="283"/>
      <c r="BB285" s="283"/>
      <c r="BC285" s="283"/>
      <c r="BD285" s="283"/>
      <c r="BE285" s="283"/>
      <c r="BF285" s="283"/>
      <c r="BG285" s="283"/>
      <c r="BH285" s="283"/>
      <c r="BI285" s="283"/>
      <c r="BJ285" s="283"/>
      <c r="BK285" s="283"/>
      <c r="BL285" s="283"/>
      <c r="BM285" s="283"/>
      <c r="BN285" s="283"/>
      <c r="BO285" s="283"/>
      <c r="BP285" s="283"/>
      <c r="BQ285" s="283"/>
      <c r="BR285" s="283"/>
      <c r="BS285" s="283"/>
      <c r="BT285" s="283"/>
      <c r="BU285" s="283"/>
    </row>
    <row r="286" spans="1:73" s="297" customFormat="1" ht="15.75" customHeight="1" thickBot="1">
      <c r="A286" s="298"/>
      <c r="B286" s="298"/>
      <c r="C286" s="301"/>
      <c r="D286" s="301"/>
      <c r="E286" s="283"/>
      <c r="F286" s="703"/>
      <c r="G286" s="283"/>
      <c r="H286" s="283"/>
      <c r="I286" s="283"/>
      <c r="J286" s="283"/>
      <c r="K286" s="283"/>
      <c r="L286" s="283"/>
      <c r="M286" s="283"/>
      <c r="N286" s="283"/>
      <c r="O286" s="283"/>
      <c r="P286" s="283"/>
      <c r="Q286" s="283"/>
      <c r="R286" s="283"/>
      <c r="S286" s="283"/>
      <c r="T286" s="283"/>
      <c r="U286" s="283"/>
      <c r="V286" s="283"/>
      <c r="W286" s="283"/>
      <c r="X286" s="283"/>
      <c r="Y286" s="283"/>
      <c r="Z286" s="283"/>
      <c r="AA286" s="283"/>
      <c r="AB286" s="283"/>
      <c r="AC286" s="283"/>
      <c r="AD286" s="283"/>
      <c r="AE286" s="283"/>
      <c r="AF286" s="283"/>
      <c r="AG286" s="283"/>
      <c r="AH286" s="283"/>
      <c r="AI286" s="283"/>
      <c r="AJ286" s="283"/>
      <c r="AK286" s="283"/>
      <c r="AL286" s="283"/>
      <c r="AM286" s="283"/>
      <c r="AN286" s="283"/>
      <c r="AO286" s="283"/>
      <c r="AP286" s="283"/>
      <c r="AQ286" s="283"/>
      <c r="AR286" s="283"/>
      <c r="AS286" s="283"/>
      <c r="AT286" s="283"/>
      <c r="AU286" s="283"/>
      <c r="AV286" s="283"/>
      <c r="AW286" s="283"/>
      <c r="AX286" s="283"/>
      <c r="AY286" s="283"/>
      <c r="AZ286" s="283"/>
      <c r="BA286" s="283"/>
      <c r="BB286" s="283"/>
      <c r="BC286" s="283"/>
      <c r="BD286" s="283"/>
      <c r="BE286" s="283"/>
      <c r="BF286" s="283"/>
      <c r="BG286" s="283"/>
      <c r="BH286" s="283"/>
      <c r="BI286" s="283"/>
      <c r="BJ286" s="283"/>
      <c r="BK286" s="283"/>
      <c r="BL286" s="283"/>
      <c r="BM286" s="283"/>
      <c r="BN286" s="283"/>
      <c r="BO286" s="283"/>
      <c r="BP286" s="283"/>
      <c r="BQ286" s="283"/>
      <c r="BR286" s="283"/>
      <c r="BS286" s="283"/>
      <c r="BT286" s="283"/>
      <c r="BU286" s="283"/>
    </row>
    <row r="287" spans="1:73" s="297" customFormat="1" ht="15.75" customHeight="1" thickBot="1">
      <c r="A287" s="298"/>
      <c r="B287" s="298"/>
      <c r="C287" s="301"/>
      <c r="D287" s="301"/>
      <c r="E287" s="283"/>
      <c r="F287" s="703"/>
      <c r="G287" s="283"/>
      <c r="H287" s="283"/>
      <c r="I287" s="283"/>
      <c r="J287" s="283"/>
      <c r="K287" s="283"/>
      <c r="L287" s="283"/>
      <c r="M287" s="283"/>
      <c r="N287" s="283"/>
      <c r="O287" s="283"/>
      <c r="P287" s="283"/>
      <c r="Q287" s="283"/>
      <c r="R287" s="283"/>
      <c r="S287" s="283"/>
      <c r="T287" s="283"/>
      <c r="U287" s="283"/>
      <c r="V287" s="283"/>
      <c r="W287" s="283"/>
      <c r="X287" s="283"/>
      <c r="Y287" s="283"/>
      <c r="Z287" s="283"/>
      <c r="AA287" s="283"/>
      <c r="AB287" s="283"/>
      <c r="AC287" s="283"/>
      <c r="AD287" s="283"/>
      <c r="AE287" s="283"/>
      <c r="AF287" s="283"/>
      <c r="AG287" s="283"/>
      <c r="AH287" s="283"/>
      <c r="AI287" s="283"/>
      <c r="AJ287" s="283"/>
      <c r="AK287" s="283"/>
      <c r="AL287" s="283"/>
      <c r="AM287" s="283"/>
      <c r="AN287" s="283"/>
      <c r="AO287" s="283"/>
      <c r="AP287" s="283"/>
      <c r="AQ287" s="283"/>
      <c r="AR287" s="283"/>
      <c r="AS287" s="283"/>
      <c r="AT287" s="283"/>
      <c r="AU287" s="283"/>
      <c r="AV287" s="283"/>
      <c r="AW287" s="283"/>
      <c r="AX287" s="283"/>
      <c r="AY287" s="283"/>
      <c r="AZ287" s="283"/>
      <c r="BA287" s="283"/>
      <c r="BB287" s="283"/>
      <c r="BC287" s="283"/>
      <c r="BD287" s="283"/>
      <c r="BE287" s="283"/>
      <c r="BF287" s="283"/>
      <c r="BG287" s="283"/>
      <c r="BH287" s="283"/>
      <c r="BI287" s="283"/>
      <c r="BJ287" s="283"/>
      <c r="BK287" s="283"/>
      <c r="BL287" s="283"/>
      <c r="BM287" s="283"/>
      <c r="BN287" s="283"/>
      <c r="BO287" s="283"/>
      <c r="BP287" s="283"/>
      <c r="BQ287" s="283"/>
      <c r="BR287" s="283"/>
      <c r="BS287" s="283"/>
      <c r="BT287" s="283"/>
      <c r="BU287" s="283"/>
    </row>
    <row r="288" spans="1:73" s="297" customFormat="1" ht="15.75" customHeight="1" thickBot="1">
      <c r="A288" s="298"/>
      <c r="B288" s="298"/>
      <c r="C288" s="301"/>
      <c r="D288" s="301"/>
      <c r="E288" s="283"/>
      <c r="F288" s="703"/>
      <c r="G288" s="283"/>
      <c r="H288" s="283"/>
      <c r="I288" s="283"/>
      <c r="J288" s="283"/>
      <c r="K288" s="283"/>
      <c r="L288" s="283"/>
      <c r="M288" s="283"/>
      <c r="N288" s="283"/>
      <c r="O288" s="283"/>
      <c r="P288" s="283"/>
      <c r="Q288" s="283"/>
      <c r="R288" s="283"/>
      <c r="S288" s="283"/>
      <c r="T288" s="283"/>
      <c r="U288" s="283"/>
      <c r="V288" s="283"/>
      <c r="W288" s="283"/>
      <c r="X288" s="283"/>
      <c r="Y288" s="283"/>
      <c r="Z288" s="283"/>
      <c r="AA288" s="283"/>
      <c r="AB288" s="283"/>
      <c r="AC288" s="283"/>
      <c r="AD288" s="283"/>
      <c r="AE288" s="283"/>
      <c r="AF288" s="283"/>
      <c r="AG288" s="283"/>
      <c r="AH288" s="283"/>
      <c r="AI288" s="283"/>
      <c r="AJ288" s="283"/>
      <c r="AK288" s="283"/>
      <c r="AL288" s="283"/>
      <c r="AM288" s="283"/>
      <c r="AN288" s="283"/>
      <c r="AO288" s="283"/>
      <c r="AP288" s="283"/>
      <c r="AQ288" s="283"/>
      <c r="AR288" s="283"/>
      <c r="AS288" s="283"/>
      <c r="AT288" s="283"/>
      <c r="AU288" s="283"/>
      <c r="AV288" s="283"/>
      <c r="AW288" s="283"/>
      <c r="AX288" s="283"/>
      <c r="AY288" s="283"/>
      <c r="AZ288" s="283"/>
      <c r="BA288" s="283"/>
      <c r="BB288" s="283"/>
      <c r="BC288" s="283"/>
      <c r="BD288" s="283"/>
      <c r="BE288" s="283"/>
      <c r="BF288" s="283"/>
      <c r="BG288" s="283"/>
      <c r="BH288" s="283"/>
      <c r="BI288" s="283"/>
      <c r="BJ288" s="283"/>
      <c r="BK288" s="283"/>
      <c r="BL288" s="283"/>
      <c r="BM288" s="283"/>
      <c r="BN288" s="283"/>
      <c r="BO288" s="283"/>
      <c r="BP288" s="283"/>
      <c r="BQ288" s="283"/>
      <c r="BR288" s="283"/>
      <c r="BS288" s="283"/>
      <c r="BT288" s="283"/>
      <c r="BU288" s="283"/>
    </row>
    <row r="289" spans="1:73" s="297" customFormat="1" ht="15.75" customHeight="1" thickBot="1">
      <c r="A289" s="298"/>
      <c r="B289" s="298"/>
      <c r="C289" s="301"/>
      <c r="D289" s="301"/>
      <c r="E289" s="283"/>
      <c r="F289" s="703"/>
      <c r="G289" s="283"/>
      <c r="H289" s="283"/>
      <c r="I289" s="283"/>
      <c r="J289" s="283"/>
      <c r="K289" s="283"/>
      <c r="L289" s="283"/>
      <c r="M289" s="283"/>
      <c r="N289" s="283"/>
      <c r="O289" s="283"/>
      <c r="P289" s="283"/>
      <c r="Q289" s="283"/>
      <c r="R289" s="283"/>
      <c r="S289" s="283"/>
      <c r="T289" s="283"/>
      <c r="U289" s="283"/>
      <c r="V289" s="283"/>
      <c r="W289" s="283"/>
      <c r="X289" s="283"/>
      <c r="Y289" s="283"/>
      <c r="Z289" s="283"/>
      <c r="AA289" s="283"/>
      <c r="AB289" s="283"/>
      <c r="AC289" s="283"/>
      <c r="AD289" s="283"/>
      <c r="AE289" s="283"/>
      <c r="AF289" s="283"/>
      <c r="AG289" s="283"/>
      <c r="AH289" s="283"/>
      <c r="AI289" s="283"/>
      <c r="AJ289" s="283"/>
      <c r="AK289" s="283"/>
      <c r="AL289" s="283"/>
      <c r="AM289" s="283"/>
      <c r="AN289" s="283"/>
      <c r="AO289" s="283"/>
      <c r="AP289" s="283"/>
      <c r="AQ289" s="283"/>
      <c r="AR289" s="283"/>
      <c r="AS289" s="283"/>
      <c r="AT289" s="283"/>
      <c r="AU289" s="283"/>
      <c r="AV289" s="283"/>
      <c r="AW289" s="283"/>
      <c r="AX289" s="283"/>
      <c r="AY289" s="283"/>
      <c r="AZ289" s="283"/>
      <c r="BA289" s="283"/>
      <c r="BB289" s="283"/>
      <c r="BC289" s="283"/>
      <c r="BD289" s="283"/>
      <c r="BE289" s="283"/>
      <c r="BF289" s="283"/>
      <c r="BG289" s="283"/>
      <c r="BH289" s="283"/>
      <c r="BI289" s="283"/>
      <c r="BJ289" s="283"/>
      <c r="BK289" s="283"/>
      <c r="BL289" s="283"/>
      <c r="BM289" s="283"/>
      <c r="BN289" s="283"/>
      <c r="BO289" s="283"/>
      <c r="BP289" s="283"/>
      <c r="BQ289" s="283"/>
      <c r="BR289" s="283"/>
      <c r="BS289" s="283"/>
      <c r="BT289" s="283"/>
      <c r="BU289" s="283"/>
    </row>
    <row r="290" spans="1:73" s="297" customFormat="1" ht="15.75" customHeight="1" thickBot="1">
      <c r="A290" s="298"/>
      <c r="B290" s="298"/>
      <c r="C290" s="301"/>
      <c r="D290" s="301"/>
      <c r="E290" s="283"/>
      <c r="F290" s="703"/>
      <c r="G290" s="283"/>
      <c r="H290" s="283"/>
      <c r="I290" s="283"/>
      <c r="J290" s="283"/>
      <c r="K290" s="283"/>
      <c r="L290" s="283"/>
      <c r="M290" s="283"/>
      <c r="N290" s="283"/>
      <c r="O290" s="283"/>
      <c r="P290" s="283"/>
      <c r="Q290" s="283"/>
      <c r="R290" s="283"/>
      <c r="S290" s="283"/>
      <c r="T290" s="283"/>
      <c r="U290" s="283"/>
      <c r="V290" s="283"/>
      <c r="W290" s="283"/>
      <c r="X290" s="283"/>
      <c r="Y290" s="283"/>
      <c r="Z290" s="283"/>
      <c r="AA290" s="283"/>
      <c r="AB290" s="283"/>
      <c r="AC290" s="283"/>
      <c r="AD290" s="283"/>
      <c r="AE290" s="283"/>
      <c r="AF290" s="283"/>
      <c r="AG290" s="283"/>
      <c r="AH290" s="283"/>
      <c r="AI290" s="283"/>
      <c r="AJ290" s="283"/>
      <c r="AK290" s="283"/>
      <c r="AL290" s="283"/>
      <c r="AM290" s="283"/>
      <c r="AN290" s="283"/>
      <c r="AO290" s="283"/>
      <c r="AP290" s="283"/>
      <c r="AQ290" s="283"/>
      <c r="AR290" s="283"/>
      <c r="AS290" s="283"/>
      <c r="AT290" s="283"/>
      <c r="AU290" s="283"/>
      <c r="AV290" s="283"/>
      <c r="AW290" s="283"/>
      <c r="AX290" s="283"/>
      <c r="AY290" s="283"/>
      <c r="AZ290" s="283"/>
      <c r="BA290" s="283"/>
      <c r="BB290" s="283"/>
      <c r="BC290" s="283"/>
      <c r="BD290" s="283"/>
      <c r="BE290" s="283"/>
      <c r="BF290" s="283"/>
      <c r="BG290" s="283"/>
      <c r="BH290" s="283"/>
      <c r="BI290" s="283"/>
      <c r="BJ290" s="283"/>
      <c r="BK290" s="283"/>
      <c r="BL290" s="283"/>
      <c r="BM290" s="283"/>
      <c r="BN290" s="283"/>
      <c r="BO290" s="283"/>
      <c r="BP290" s="283"/>
      <c r="BQ290" s="283"/>
      <c r="BR290" s="283"/>
      <c r="BS290" s="283"/>
      <c r="BT290" s="283"/>
      <c r="BU290" s="283"/>
    </row>
    <row r="291" spans="1:73" s="297" customFormat="1" ht="15.75" customHeight="1" thickBot="1">
      <c r="A291" s="298"/>
      <c r="B291" s="298"/>
      <c r="C291" s="301"/>
      <c r="D291" s="301"/>
      <c r="E291" s="283"/>
      <c r="F291" s="703"/>
      <c r="G291" s="283"/>
      <c r="H291" s="283"/>
      <c r="I291" s="283"/>
      <c r="J291" s="283"/>
      <c r="K291" s="283"/>
      <c r="L291" s="283"/>
      <c r="M291" s="283"/>
      <c r="N291" s="283"/>
      <c r="O291" s="283"/>
      <c r="P291" s="283"/>
      <c r="Q291" s="283"/>
      <c r="R291" s="283"/>
      <c r="S291" s="283"/>
      <c r="T291" s="283"/>
      <c r="U291" s="283"/>
      <c r="V291" s="283"/>
      <c r="W291" s="283"/>
      <c r="X291" s="283"/>
      <c r="Y291" s="283"/>
      <c r="Z291" s="283"/>
      <c r="AA291" s="283"/>
      <c r="AB291" s="283"/>
      <c r="AC291" s="283"/>
      <c r="AD291" s="283"/>
      <c r="AE291" s="283"/>
      <c r="AF291" s="283"/>
      <c r="AG291" s="283"/>
      <c r="AH291" s="283"/>
      <c r="AI291" s="283"/>
      <c r="AJ291" s="283"/>
      <c r="AK291" s="283"/>
      <c r="AL291" s="283"/>
      <c r="AM291" s="283"/>
      <c r="AN291" s="283"/>
      <c r="AO291" s="283"/>
      <c r="AP291" s="283"/>
      <c r="AQ291" s="283"/>
      <c r="AR291" s="283"/>
      <c r="AS291" s="283"/>
      <c r="AT291" s="283"/>
      <c r="AU291" s="283"/>
      <c r="AV291" s="283"/>
      <c r="AW291" s="283"/>
      <c r="AX291" s="283"/>
      <c r="AY291" s="283"/>
      <c r="AZ291" s="283"/>
      <c r="BA291" s="283"/>
      <c r="BB291" s="283"/>
      <c r="BC291" s="283"/>
      <c r="BD291" s="283"/>
      <c r="BE291" s="283"/>
      <c r="BF291" s="283"/>
      <c r="BG291" s="283"/>
      <c r="BH291" s="283"/>
      <c r="BI291" s="283"/>
      <c r="BJ291" s="283"/>
      <c r="BK291" s="283"/>
      <c r="BL291" s="283"/>
      <c r="BM291" s="283"/>
      <c r="BN291" s="283"/>
      <c r="BO291" s="283"/>
      <c r="BP291" s="283"/>
      <c r="BQ291" s="283"/>
      <c r="BR291" s="283"/>
      <c r="BS291" s="283"/>
      <c r="BT291" s="283"/>
      <c r="BU291" s="283"/>
    </row>
    <row r="292" spans="1:73" s="297" customFormat="1" ht="15.75" customHeight="1" thickBot="1">
      <c r="A292" s="298"/>
      <c r="B292" s="298"/>
      <c r="C292" s="301"/>
      <c r="D292" s="301"/>
      <c r="E292" s="283"/>
      <c r="F292" s="703"/>
      <c r="G292" s="283"/>
      <c r="H292" s="283"/>
      <c r="I292" s="283"/>
      <c r="J292" s="283"/>
      <c r="K292" s="283"/>
      <c r="L292" s="283"/>
      <c r="M292" s="283"/>
      <c r="N292" s="283"/>
      <c r="O292" s="283"/>
      <c r="P292" s="283"/>
      <c r="Q292" s="283"/>
      <c r="R292" s="283"/>
      <c r="S292" s="283"/>
      <c r="T292" s="283"/>
      <c r="U292" s="283"/>
      <c r="V292" s="283"/>
      <c r="W292" s="283"/>
      <c r="X292" s="283"/>
      <c r="Y292" s="283"/>
      <c r="Z292" s="283"/>
      <c r="AA292" s="283"/>
      <c r="AB292" s="283"/>
      <c r="AC292" s="283"/>
      <c r="AD292" s="283"/>
      <c r="AE292" s="283"/>
      <c r="AF292" s="283"/>
      <c r="AG292" s="283"/>
      <c r="AH292" s="283"/>
      <c r="AI292" s="283"/>
      <c r="AJ292" s="283"/>
      <c r="AK292" s="283"/>
      <c r="AL292" s="283"/>
      <c r="AM292" s="283"/>
      <c r="AN292" s="283"/>
      <c r="AO292" s="283"/>
      <c r="AP292" s="283"/>
      <c r="AQ292" s="283"/>
      <c r="AR292" s="283"/>
      <c r="AS292" s="283"/>
      <c r="AT292" s="283"/>
      <c r="AU292" s="283"/>
      <c r="AV292" s="283"/>
      <c r="AW292" s="283"/>
      <c r="AX292" s="283"/>
      <c r="AY292" s="283"/>
      <c r="AZ292" s="283"/>
      <c r="BA292" s="283"/>
      <c r="BB292" s="283"/>
      <c r="BC292" s="283"/>
      <c r="BD292" s="283"/>
      <c r="BE292" s="283"/>
      <c r="BF292" s="283"/>
      <c r="BG292" s="283"/>
      <c r="BH292" s="283"/>
      <c r="BI292" s="283"/>
      <c r="BJ292" s="283"/>
      <c r="BK292" s="283"/>
      <c r="BL292" s="283"/>
      <c r="BM292" s="283"/>
      <c r="BN292" s="283"/>
      <c r="BO292" s="283"/>
      <c r="BP292" s="283"/>
      <c r="BQ292" s="283"/>
      <c r="BR292" s="283"/>
      <c r="BS292" s="283"/>
      <c r="BT292" s="283"/>
      <c r="BU292" s="283"/>
    </row>
    <row r="293" spans="1:73" s="297" customFormat="1" ht="15.75" customHeight="1" thickBot="1">
      <c r="A293" s="298"/>
      <c r="B293" s="298"/>
      <c r="C293" s="301"/>
      <c r="D293" s="301"/>
      <c r="E293" s="283"/>
      <c r="F293" s="703"/>
      <c r="G293" s="283"/>
      <c r="H293" s="283"/>
      <c r="I293" s="283"/>
      <c r="J293" s="283"/>
      <c r="K293" s="283"/>
      <c r="L293" s="283"/>
      <c r="M293" s="283"/>
      <c r="N293" s="283"/>
      <c r="O293" s="283"/>
      <c r="P293" s="283"/>
      <c r="Q293" s="283"/>
      <c r="R293" s="283"/>
      <c r="S293" s="283"/>
      <c r="T293" s="283"/>
      <c r="U293" s="283"/>
      <c r="V293" s="283"/>
      <c r="W293" s="283"/>
      <c r="X293" s="283"/>
      <c r="Y293" s="283"/>
      <c r="Z293" s="283"/>
      <c r="AA293" s="283"/>
      <c r="AB293" s="283"/>
      <c r="AC293" s="283"/>
      <c r="AD293" s="283"/>
      <c r="AE293" s="283"/>
      <c r="AF293" s="283"/>
      <c r="AG293" s="283"/>
      <c r="AH293" s="283"/>
      <c r="AI293" s="283"/>
      <c r="AJ293" s="283"/>
      <c r="AK293" s="283"/>
      <c r="AL293" s="283"/>
      <c r="AM293" s="283"/>
      <c r="AN293" s="283"/>
      <c r="AO293" s="283"/>
      <c r="AP293" s="283"/>
      <c r="AQ293" s="283"/>
      <c r="AR293" s="283"/>
      <c r="AS293" s="283"/>
      <c r="AT293" s="283"/>
      <c r="AU293" s="283"/>
      <c r="AV293" s="283"/>
      <c r="AW293" s="283"/>
      <c r="AX293" s="283"/>
      <c r="AY293" s="283"/>
      <c r="AZ293" s="283"/>
      <c r="BA293" s="283"/>
      <c r="BB293" s="283"/>
      <c r="BC293" s="283"/>
      <c r="BD293" s="283"/>
      <c r="BE293" s="283"/>
      <c r="BF293" s="283"/>
      <c r="BG293" s="283"/>
      <c r="BH293" s="283"/>
      <c r="BI293" s="283"/>
      <c r="BJ293" s="283"/>
      <c r="BK293" s="283"/>
      <c r="BL293" s="283"/>
      <c r="BM293" s="283"/>
      <c r="BN293" s="283"/>
      <c r="BO293" s="283"/>
      <c r="BP293" s="283"/>
      <c r="BQ293" s="283"/>
      <c r="BR293" s="283"/>
      <c r="BS293" s="283"/>
      <c r="BT293" s="283"/>
      <c r="BU293" s="283"/>
    </row>
    <row r="294" spans="1:73" s="297" customFormat="1" ht="15.75" customHeight="1" thickBot="1">
      <c r="A294" s="298"/>
      <c r="B294" s="298"/>
      <c r="C294" s="301"/>
      <c r="D294" s="301"/>
      <c r="E294" s="283"/>
      <c r="F294" s="703"/>
      <c r="G294" s="283"/>
      <c r="H294" s="283"/>
      <c r="I294" s="283"/>
      <c r="J294" s="283"/>
      <c r="K294" s="283"/>
      <c r="L294" s="283"/>
      <c r="M294" s="283"/>
      <c r="N294" s="283"/>
      <c r="O294" s="283"/>
      <c r="P294" s="283"/>
      <c r="Q294" s="283"/>
      <c r="R294" s="283"/>
      <c r="S294" s="283"/>
      <c r="T294" s="283"/>
      <c r="U294" s="283"/>
      <c r="V294" s="283"/>
      <c r="W294" s="283"/>
      <c r="X294" s="283"/>
      <c r="Y294" s="283"/>
      <c r="Z294" s="283"/>
      <c r="AA294" s="283"/>
      <c r="AB294" s="283"/>
      <c r="AC294" s="283"/>
      <c r="AD294" s="283"/>
      <c r="AE294" s="283"/>
      <c r="AF294" s="283"/>
      <c r="AG294" s="283"/>
      <c r="AH294" s="283"/>
      <c r="AI294" s="283"/>
      <c r="AJ294" s="283"/>
      <c r="AK294" s="283"/>
      <c r="AL294" s="283"/>
      <c r="AM294" s="283"/>
      <c r="AN294" s="283"/>
      <c r="AO294" s="283"/>
      <c r="AP294" s="283"/>
      <c r="AQ294" s="283"/>
      <c r="AR294" s="283"/>
      <c r="AS294" s="283"/>
      <c r="AT294" s="283"/>
      <c r="AU294" s="283"/>
      <c r="AV294" s="283"/>
      <c r="AW294" s="283"/>
      <c r="AX294" s="283"/>
      <c r="AY294" s="283"/>
      <c r="AZ294" s="283"/>
      <c r="BA294" s="283"/>
      <c r="BB294" s="283"/>
      <c r="BC294" s="283"/>
      <c r="BD294" s="283"/>
      <c r="BE294" s="283"/>
      <c r="BF294" s="283"/>
      <c r="BG294" s="283"/>
      <c r="BH294" s="283"/>
      <c r="BI294" s="283"/>
      <c r="BJ294" s="283"/>
      <c r="BK294" s="283"/>
      <c r="BL294" s="283"/>
      <c r="BM294" s="283"/>
      <c r="BN294" s="283"/>
      <c r="BO294" s="283"/>
      <c r="BP294" s="283"/>
      <c r="BQ294" s="283"/>
      <c r="BR294" s="283"/>
      <c r="BS294" s="283"/>
      <c r="BT294" s="283"/>
      <c r="BU294" s="283"/>
    </row>
    <row r="295" spans="1:73" s="297" customFormat="1" ht="15.75" customHeight="1" thickBot="1">
      <c r="A295" s="298"/>
      <c r="B295" s="298"/>
      <c r="C295" s="301"/>
      <c r="D295" s="301"/>
      <c r="E295" s="283"/>
      <c r="F295" s="703"/>
      <c r="G295" s="283"/>
      <c r="H295" s="283"/>
      <c r="I295" s="283"/>
      <c r="J295" s="283"/>
      <c r="K295" s="283"/>
      <c r="L295" s="283"/>
      <c r="M295" s="283"/>
      <c r="N295" s="283"/>
      <c r="O295" s="283"/>
      <c r="P295" s="283"/>
      <c r="Q295" s="283"/>
      <c r="R295" s="283"/>
      <c r="S295" s="283"/>
      <c r="T295" s="283"/>
      <c r="U295" s="283"/>
      <c r="V295" s="283"/>
      <c r="W295" s="283"/>
      <c r="X295" s="283"/>
      <c r="Y295" s="283"/>
      <c r="Z295" s="283"/>
      <c r="AA295" s="283"/>
      <c r="AB295" s="283"/>
      <c r="AC295" s="283"/>
      <c r="AD295" s="283"/>
      <c r="AE295" s="283"/>
      <c r="AF295" s="283"/>
      <c r="AG295" s="283"/>
      <c r="AH295" s="283"/>
      <c r="AI295" s="283"/>
      <c r="AJ295" s="283"/>
      <c r="AK295" s="283"/>
      <c r="AL295" s="283"/>
      <c r="AM295" s="283"/>
      <c r="AN295" s="283"/>
      <c r="AO295" s="283"/>
      <c r="AP295" s="283"/>
      <c r="AQ295" s="283"/>
      <c r="AR295" s="283"/>
      <c r="AS295" s="283"/>
      <c r="AT295" s="283"/>
      <c r="AU295" s="283"/>
      <c r="AV295" s="283"/>
      <c r="AW295" s="283"/>
      <c r="AX295" s="283"/>
      <c r="AY295" s="283"/>
      <c r="AZ295" s="283"/>
      <c r="BA295" s="283"/>
      <c r="BB295" s="283"/>
      <c r="BC295" s="283"/>
      <c r="BD295" s="283"/>
      <c r="BE295" s="283"/>
      <c r="BF295" s="283"/>
      <c r="BG295" s="283"/>
      <c r="BH295" s="283"/>
      <c r="BI295" s="283"/>
      <c r="BJ295" s="283"/>
      <c r="BK295" s="283"/>
      <c r="BL295" s="283"/>
      <c r="BM295" s="283"/>
      <c r="BN295" s="283"/>
      <c r="BO295" s="283"/>
      <c r="BP295" s="283"/>
      <c r="BQ295" s="283"/>
      <c r="BR295" s="283"/>
      <c r="BS295" s="283"/>
      <c r="BT295" s="283"/>
      <c r="BU295" s="283"/>
    </row>
    <row r="296" spans="1:73" s="297" customFormat="1" ht="15.75" customHeight="1" thickBot="1">
      <c r="A296" s="298"/>
      <c r="B296" s="298"/>
      <c r="C296" s="301"/>
      <c r="D296" s="301"/>
      <c r="E296" s="283"/>
      <c r="F296" s="703"/>
      <c r="G296" s="283"/>
      <c r="H296" s="283"/>
      <c r="I296" s="283"/>
      <c r="J296" s="283"/>
      <c r="K296" s="283"/>
      <c r="L296" s="283"/>
      <c r="M296" s="283"/>
      <c r="N296" s="283"/>
      <c r="O296" s="283"/>
      <c r="P296" s="283"/>
      <c r="Q296" s="283"/>
      <c r="R296" s="283"/>
      <c r="S296" s="283"/>
      <c r="T296" s="283"/>
      <c r="U296" s="283"/>
      <c r="V296" s="283"/>
      <c r="W296" s="283"/>
      <c r="X296" s="283"/>
      <c r="Y296" s="283"/>
      <c r="Z296" s="283"/>
      <c r="AA296" s="283"/>
      <c r="AB296" s="283"/>
      <c r="AC296" s="283"/>
      <c r="AD296" s="283"/>
      <c r="AE296" s="283"/>
      <c r="AF296" s="283"/>
      <c r="AG296" s="283"/>
      <c r="AH296" s="283"/>
      <c r="AI296" s="283"/>
      <c r="AJ296" s="283"/>
      <c r="AK296" s="283"/>
      <c r="AL296" s="283"/>
      <c r="AM296" s="283"/>
      <c r="AN296" s="283"/>
      <c r="AO296" s="283"/>
      <c r="AP296" s="283"/>
      <c r="AQ296" s="283"/>
      <c r="AR296" s="283"/>
      <c r="AS296" s="283"/>
      <c r="AT296" s="283"/>
      <c r="AU296" s="283"/>
      <c r="AV296" s="283"/>
      <c r="AW296" s="283"/>
      <c r="AX296" s="283"/>
      <c r="AY296" s="283"/>
      <c r="AZ296" s="283"/>
      <c r="BA296" s="283"/>
      <c r="BB296" s="283"/>
      <c r="BC296" s="283"/>
      <c r="BD296" s="283"/>
      <c r="BE296" s="283"/>
      <c r="BF296" s="283"/>
      <c r="BG296" s="283"/>
      <c r="BH296" s="283"/>
      <c r="BI296" s="283"/>
      <c r="BJ296" s="283"/>
      <c r="BK296" s="283"/>
      <c r="BL296" s="283"/>
      <c r="BM296" s="283"/>
      <c r="BN296" s="283"/>
      <c r="BO296" s="283"/>
      <c r="BP296" s="283"/>
      <c r="BQ296" s="283"/>
      <c r="BR296" s="283"/>
      <c r="BS296" s="283"/>
      <c r="BT296" s="283"/>
      <c r="BU296" s="283"/>
    </row>
    <row r="297" spans="1:73" s="297" customFormat="1" ht="15.75" customHeight="1" thickBot="1">
      <c r="A297" s="298"/>
      <c r="B297" s="298"/>
      <c r="C297" s="301"/>
      <c r="D297" s="301"/>
      <c r="E297" s="283"/>
      <c r="F297" s="703"/>
      <c r="G297" s="283"/>
      <c r="H297" s="283"/>
      <c r="I297" s="283"/>
      <c r="J297" s="283"/>
      <c r="K297" s="283"/>
      <c r="L297" s="283"/>
      <c r="M297" s="283"/>
      <c r="N297" s="283"/>
      <c r="O297" s="283"/>
      <c r="P297" s="283"/>
      <c r="Q297" s="283"/>
      <c r="R297" s="283"/>
      <c r="S297" s="283"/>
      <c r="T297" s="283"/>
      <c r="U297" s="283"/>
      <c r="V297" s="283"/>
      <c r="W297" s="283"/>
      <c r="X297" s="283"/>
      <c r="Y297" s="283"/>
      <c r="Z297" s="283"/>
      <c r="AA297" s="283"/>
      <c r="AB297" s="283"/>
      <c r="AC297" s="283"/>
      <c r="AD297" s="283"/>
      <c r="AE297" s="283"/>
      <c r="AF297" s="283"/>
      <c r="AG297" s="283"/>
      <c r="AH297" s="283"/>
      <c r="AI297" s="283"/>
      <c r="AJ297" s="283"/>
      <c r="AK297" s="283"/>
      <c r="AL297" s="283"/>
      <c r="AM297" s="283"/>
      <c r="AN297" s="283"/>
      <c r="AO297" s="283"/>
      <c r="AP297" s="283"/>
      <c r="AQ297" s="283"/>
      <c r="AR297" s="283"/>
      <c r="AS297" s="283"/>
      <c r="AT297" s="283"/>
      <c r="AU297" s="283"/>
      <c r="AV297" s="283"/>
      <c r="AW297" s="283"/>
      <c r="AX297" s="283"/>
      <c r="AY297" s="283"/>
      <c r="AZ297" s="283"/>
      <c r="BA297" s="283"/>
      <c r="BB297" s="283"/>
      <c r="BC297" s="283"/>
      <c r="BD297" s="283"/>
      <c r="BE297" s="283"/>
      <c r="BF297" s="283"/>
      <c r="BG297" s="283"/>
      <c r="BH297" s="283"/>
      <c r="BI297" s="283"/>
      <c r="BJ297" s="283"/>
      <c r="BK297" s="283"/>
      <c r="BL297" s="283"/>
      <c r="BM297" s="283"/>
      <c r="BN297" s="283"/>
      <c r="BO297" s="283"/>
      <c r="BP297" s="283"/>
      <c r="BQ297" s="283"/>
      <c r="BR297" s="283"/>
      <c r="BS297" s="283"/>
      <c r="BT297" s="283"/>
      <c r="BU297" s="283"/>
    </row>
    <row r="298" spans="1:73" s="297" customFormat="1" ht="15.75" customHeight="1" thickBot="1">
      <c r="A298" s="298"/>
      <c r="B298" s="298"/>
      <c r="C298" s="301"/>
      <c r="D298" s="301"/>
      <c r="E298" s="283"/>
      <c r="F298" s="703"/>
      <c r="G298" s="283"/>
      <c r="H298" s="283"/>
      <c r="I298" s="283"/>
      <c r="J298" s="283"/>
      <c r="K298" s="283"/>
      <c r="L298" s="283"/>
      <c r="M298" s="283"/>
      <c r="N298" s="283"/>
      <c r="O298" s="283"/>
      <c r="P298" s="283"/>
      <c r="Q298" s="283"/>
      <c r="R298" s="283"/>
      <c r="S298" s="283"/>
      <c r="T298" s="283"/>
      <c r="U298" s="283"/>
      <c r="V298" s="283"/>
      <c r="W298" s="283"/>
      <c r="X298" s="283"/>
      <c r="Y298" s="283"/>
      <c r="Z298" s="283"/>
      <c r="AA298" s="283"/>
      <c r="AB298" s="283"/>
      <c r="AC298" s="283"/>
      <c r="AD298" s="283"/>
      <c r="AE298" s="283"/>
      <c r="AF298" s="283"/>
      <c r="AG298" s="283"/>
      <c r="AH298" s="283"/>
      <c r="AI298" s="283"/>
      <c r="AJ298" s="283"/>
      <c r="AK298" s="283"/>
      <c r="AL298" s="283"/>
      <c r="AM298" s="283"/>
      <c r="AN298" s="283"/>
      <c r="AO298" s="283"/>
      <c r="AP298" s="283"/>
      <c r="AQ298" s="283"/>
      <c r="AR298" s="283"/>
      <c r="AS298" s="283"/>
      <c r="AT298" s="283"/>
      <c r="AU298" s="283"/>
      <c r="AV298" s="283"/>
      <c r="AW298" s="283"/>
      <c r="AX298" s="283"/>
      <c r="AY298" s="283"/>
      <c r="AZ298" s="283"/>
      <c r="BA298" s="283"/>
      <c r="BB298" s="283"/>
      <c r="BC298" s="283"/>
      <c r="BD298" s="283"/>
      <c r="BE298" s="283"/>
      <c r="BF298" s="283"/>
      <c r="BG298" s="283"/>
      <c r="BH298" s="283"/>
      <c r="BI298" s="283"/>
      <c r="BJ298" s="283"/>
      <c r="BK298" s="283"/>
      <c r="BL298" s="283"/>
      <c r="BM298" s="283"/>
      <c r="BN298" s="283"/>
      <c r="BO298" s="283"/>
      <c r="BP298" s="283"/>
      <c r="BQ298" s="283"/>
      <c r="BR298" s="283"/>
      <c r="BS298" s="283"/>
      <c r="BT298" s="283"/>
      <c r="BU298" s="283"/>
    </row>
    <row r="299" spans="1:73" s="297" customFormat="1" ht="15.75" customHeight="1" thickBot="1">
      <c r="A299" s="298"/>
      <c r="B299" s="298"/>
      <c r="C299" s="301"/>
      <c r="D299" s="301"/>
      <c r="E299" s="283"/>
      <c r="F299" s="703"/>
      <c r="G299" s="283"/>
      <c r="H299" s="283"/>
      <c r="I299" s="283"/>
      <c r="J299" s="283"/>
      <c r="K299" s="283"/>
      <c r="L299" s="283"/>
      <c r="M299" s="283"/>
      <c r="N299" s="283"/>
      <c r="O299" s="283"/>
      <c r="P299" s="283"/>
      <c r="Q299" s="283"/>
      <c r="R299" s="283"/>
      <c r="S299" s="283"/>
      <c r="T299" s="283"/>
      <c r="U299" s="283"/>
      <c r="V299" s="283"/>
      <c r="W299" s="283"/>
      <c r="X299" s="283"/>
      <c r="Y299" s="283"/>
      <c r="Z299" s="283"/>
      <c r="AA299" s="283"/>
      <c r="AB299" s="283"/>
      <c r="AC299" s="283"/>
      <c r="AD299" s="283"/>
      <c r="AE299" s="283"/>
      <c r="AF299" s="283"/>
      <c r="AG299" s="283"/>
      <c r="AH299" s="283"/>
      <c r="AI299" s="283"/>
      <c r="AJ299" s="283"/>
      <c r="AK299" s="283"/>
      <c r="AL299" s="283"/>
      <c r="AM299" s="283"/>
      <c r="AN299" s="283"/>
      <c r="AO299" s="283"/>
      <c r="AP299" s="283"/>
      <c r="AQ299" s="283"/>
      <c r="AR299" s="283"/>
      <c r="AS299" s="283"/>
      <c r="AT299" s="283"/>
      <c r="AU299" s="283"/>
      <c r="AV299" s="283"/>
      <c r="AW299" s="283"/>
      <c r="AX299" s="283"/>
      <c r="AY299" s="283"/>
      <c r="AZ299" s="283"/>
      <c r="BA299" s="283"/>
      <c r="BB299" s="283"/>
      <c r="BC299" s="283"/>
      <c r="BD299" s="283"/>
      <c r="BE299" s="283"/>
      <c r="BF299" s="283"/>
      <c r="BG299" s="283"/>
      <c r="BH299" s="283"/>
      <c r="BI299" s="283"/>
      <c r="BJ299" s="283"/>
      <c r="BK299" s="283"/>
      <c r="BL299" s="283"/>
      <c r="BM299" s="283"/>
      <c r="BN299" s="283"/>
      <c r="BO299" s="283"/>
      <c r="BP299" s="283"/>
      <c r="BQ299" s="283"/>
      <c r="BR299" s="283"/>
      <c r="BS299" s="283"/>
      <c r="BT299" s="283"/>
      <c r="BU299" s="283"/>
    </row>
    <row r="300" spans="1:73" s="297" customFormat="1" ht="15.75" customHeight="1" thickBot="1">
      <c r="A300" s="298"/>
      <c r="B300" s="298"/>
      <c r="C300" s="301"/>
      <c r="D300" s="301"/>
      <c r="E300" s="283"/>
      <c r="F300" s="703"/>
      <c r="G300" s="283"/>
      <c r="H300" s="283"/>
      <c r="I300" s="283"/>
      <c r="J300" s="283"/>
      <c r="K300" s="283"/>
      <c r="L300" s="283"/>
      <c r="M300" s="283"/>
      <c r="N300" s="283"/>
      <c r="O300" s="283"/>
      <c r="P300" s="283"/>
      <c r="Q300" s="283"/>
      <c r="R300" s="283"/>
      <c r="S300" s="283"/>
      <c r="T300" s="283"/>
      <c r="U300" s="283"/>
      <c r="V300" s="283"/>
      <c r="W300" s="283"/>
      <c r="X300" s="283"/>
      <c r="Y300" s="283"/>
      <c r="Z300" s="283"/>
      <c r="AA300" s="283"/>
      <c r="AB300" s="283"/>
      <c r="AC300" s="283"/>
      <c r="AD300" s="283"/>
      <c r="AE300" s="283"/>
      <c r="AF300" s="283"/>
      <c r="AG300" s="283"/>
      <c r="AH300" s="283"/>
      <c r="AI300" s="283"/>
      <c r="AJ300" s="283"/>
      <c r="AK300" s="283"/>
      <c r="AL300" s="283"/>
      <c r="AM300" s="283"/>
      <c r="AN300" s="283"/>
      <c r="AO300" s="283"/>
      <c r="AP300" s="283"/>
      <c r="AQ300" s="283"/>
      <c r="AR300" s="283"/>
      <c r="AS300" s="283"/>
      <c r="AT300" s="283"/>
      <c r="AU300" s="283"/>
      <c r="AV300" s="283"/>
      <c r="AW300" s="283"/>
      <c r="AX300" s="283"/>
      <c r="AY300" s="283"/>
      <c r="AZ300" s="283"/>
      <c r="BA300" s="283"/>
      <c r="BB300" s="283"/>
      <c r="BC300" s="283"/>
      <c r="BD300" s="283"/>
      <c r="BE300" s="283"/>
      <c r="BF300" s="283"/>
      <c r="BG300" s="283"/>
      <c r="BH300" s="283"/>
      <c r="BI300" s="283"/>
      <c r="BJ300" s="283"/>
      <c r="BK300" s="283"/>
      <c r="BL300" s="283"/>
      <c r="BM300" s="283"/>
      <c r="BN300" s="283"/>
      <c r="BO300" s="283"/>
      <c r="BP300" s="283"/>
      <c r="BQ300" s="283"/>
      <c r="BR300" s="283"/>
      <c r="BS300" s="283"/>
      <c r="BT300" s="283"/>
      <c r="BU300" s="283"/>
    </row>
    <row r="301" spans="1:73" s="297" customFormat="1" ht="15.75" customHeight="1" thickBot="1">
      <c r="A301" s="298"/>
      <c r="B301" s="298"/>
      <c r="C301" s="301"/>
      <c r="D301" s="301"/>
      <c r="E301" s="283"/>
      <c r="F301" s="703"/>
      <c r="G301" s="283"/>
      <c r="H301" s="283"/>
      <c r="I301" s="283"/>
      <c r="J301" s="283"/>
      <c r="K301" s="283"/>
      <c r="L301" s="283"/>
      <c r="M301" s="283"/>
      <c r="N301" s="283"/>
      <c r="O301" s="283"/>
      <c r="P301" s="283"/>
      <c r="Q301" s="283"/>
      <c r="R301" s="283"/>
      <c r="S301" s="283"/>
      <c r="T301" s="283"/>
      <c r="U301" s="283"/>
      <c r="V301" s="283"/>
      <c r="W301" s="283"/>
      <c r="X301" s="283"/>
      <c r="Y301" s="283"/>
      <c r="Z301" s="283"/>
      <c r="AA301" s="283"/>
      <c r="AB301" s="283"/>
      <c r="AC301" s="283"/>
      <c r="AD301" s="283"/>
      <c r="AE301" s="283"/>
      <c r="AF301" s="283"/>
      <c r="AG301" s="283"/>
      <c r="AH301" s="283"/>
      <c r="AI301" s="283"/>
      <c r="AJ301" s="283"/>
      <c r="AK301" s="283"/>
      <c r="AL301" s="283"/>
      <c r="AM301" s="283"/>
      <c r="AN301" s="283"/>
      <c r="AO301" s="283"/>
      <c r="AP301" s="283"/>
      <c r="AQ301" s="283"/>
      <c r="AR301" s="283"/>
      <c r="AS301" s="283"/>
      <c r="AT301" s="283"/>
      <c r="AU301" s="283"/>
      <c r="AV301" s="283"/>
      <c r="AW301" s="283"/>
      <c r="AX301" s="283"/>
      <c r="AY301" s="283"/>
      <c r="AZ301" s="283"/>
      <c r="BA301" s="283"/>
      <c r="BB301" s="283"/>
      <c r="BC301" s="283"/>
      <c r="BD301" s="283"/>
      <c r="BE301" s="283"/>
      <c r="BF301" s="283"/>
      <c r="BG301" s="283"/>
      <c r="BH301" s="283"/>
      <c r="BI301" s="283"/>
      <c r="BJ301" s="283"/>
      <c r="BK301" s="283"/>
      <c r="BL301" s="283"/>
      <c r="BM301" s="283"/>
      <c r="BN301" s="283"/>
      <c r="BO301" s="283"/>
      <c r="BP301" s="283"/>
      <c r="BQ301" s="283"/>
      <c r="BR301" s="283"/>
      <c r="BS301" s="283"/>
      <c r="BT301" s="283"/>
      <c r="BU301" s="283"/>
    </row>
    <row r="302" spans="1:73" s="297" customFormat="1" ht="15.75" customHeight="1" thickBot="1">
      <c r="A302" s="298"/>
      <c r="B302" s="298"/>
      <c r="C302" s="301"/>
      <c r="D302" s="301"/>
      <c r="E302" s="283"/>
      <c r="F302" s="703"/>
      <c r="G302" s="283"/>
      <c r="H302" s="283"/>
      <c r="I302" s="283"/>
      <c r="J302" s="283"/>
      <c r="K302" s="283"/>
      <c r="L302" s="283"/>
      <c r="M302" s="283"/>
      <c r="N302" s="283"/>
      <c r="O302" s="283"/>
      <c r="P302" s="283"/>
      <c r="Q302" s="283"/>
      <c r="R302" s="283"/>
      <c r="S302" s="283"/>
      <c r="T302" s="283"/>
      <c r="U302" s="283"/>
      <c r="V302" s="283"/>
      <c r="W302" s="283"/>
      <c r="X302" s="283"/>
      <c r="Y302" s="283"/>
      <c r="Z302" s="283"/>
      <c r="AA302" s="283"/>
      <c r="AB302" s="283"/>
      <c r="AC302" s="283"/>
      <c r="AD302" s="283"/>
      <c r="AE302" s="283"/>
      <c r="AF302" s="283"/>
      <c r="AG302" s="283"/>
      <c r="AH302" s="283"/>
      <c r="AI302" s="283"/>
      <c r="AJ302" s="283"/>
      <c r="AK302" s="283"/>
      <c r="AL302" s="283"/>
      <c r="AM302" s="283"/>
      <c r="AN302" s="283"/>
      <c r="AO302" s="283"/>
      <c r="AP302" s="283"/>
      <c r="AQ302" s="283"/>
      <c r="AR302" s="283"/>
      <c r="AS302" s="283"/>
      <c r="AT302" s="283"/>
      <c r="AU302" s="283"/>
      <c r="AV302" s="283"/>
      <c r="AW302" s="283"/>
      <c r="AX302" s="283"/>
      <c r="AY302" s="283"/>
      <c r="AZ302" s="283"/>
      <c r="BA302" s="283"/>
      <c r="BB302" s="283"/>
      <c r="BC302" s="283"/>
      <c r="BD302" s="283"/>
      <c r="BE302" s="283"/>
      <c r="BF302" s="283"/>
      <c r="BG302" s="283"/>
      <c r="BH302" s="283"/>
      <c r="BI302" s="283"/>
      <c r="BJ302" s="283"/>
      <c r="BK302" s="283"/>
      <c r="BL302" s="283"/>
      <c r="BM302" s="283"/>
      <c r="BN302" s="283"/>
      <c r="BO302" s="283"/>
      <c r="BP302" s="283"/>
      <c r="BQ302" s="283"/>
      <c r="BR302" s="283"/>
      <c r="BS302" s="283"/>
      <c r="BT302" s="283"/>
      <c r="BU302" s="283"/>
    </row>
    <row r="303" spans="1:73" s="297" customFormat="1" ht="15.75" customHeight="1" thickBot="1">
      <c r="A303" s="298"/>
      <c r="B303" s="298"/>
      <c r="C303" s="301"/>
      <c r="D303" s="301"/>
      <c r="E303" s="283"/>
      <c r="F303" s="703"/>
      <c r="G303" s="283"/>
      <c r="H303" s="283"/>
      <c r="I303" s="283"/>
      <c r="J303" s="283"/>
      <c r="K303" s="283"/>
      <c r="L303" s="283"/>
      <c r="M303" s="283"/>
      <c r="N303" s="283"/>
      <c r="O303" s="283"/>
      <c r="P303" s="283"/>
      <c r="Q303" s="283"/>
      <c r="R303" s="283"/>
      <c r="S303" s="283"/>
      <c r="T303" s="283"/>
      <c r="U303" s="283"/>
      <c r="V303" s="283"/>
      <c r="W303" s="283"/>
      <c r="X303" s="283"/>
      <c r="Y303" s="283"/>
      <c r="Z303" s="283"/>
      <c r="AA303" s="283"/>
      <c r="AB303" s="283"/>
      <c r="AC303" s="283"/>
      <c r="AD303" s="283"/>
      <c r="AE303" s="283"/>
      <c r="AF303" s="283"/>
      <c r="AG303" s="283"/>
      <c r="AH303" s="283"/>
      <c r="AI303" s="283"/>
      <c r="AJ303" s="283"/>
      <c r="AK303" s="283"/>
      <c r="AL303" s="283"/>
      <c r="AM303" s="283"/>
      <c r="AN303" s="283"/>
      <c r="AO303" s="283"/>
      <c r="AP303" s="283"/>
      <c r="AQ303" s="283"/>
      <c r="AR303" s="283"/>
      <c r="AS303" s="283"/>
      <c r="AT303" s="283"/>
      <c r="AU303" s="283"/>
      <c r="AV303" s="283"/>
      <c r="AW303" s="283"/>
      <c r="AX303" s="283"/>
      <c r="AY303" s="283"/>
      <c r="AZ303" s="283"/>
      <c r="BA303" s="283"/>
      <c r="BB303" s="283"/>
      <c r="BC303" s="283"/>
      <c r="BD303" s="283"/>
      <c r="BE303" s="283"/>
      <c r="BF303" s="283"/>
      <c r="BG303" s="283"/>
      <c r="BH303" s="283"/>
      <c r="BI303" s="283"/>
      <c r="BJ303" s="283"/>
      <c r="BK303" s="283"/>
      <c r="BL303" s="283"/>
      <c r="BM303" s="283"/>
      <c r="BN303" s="283"/>
      <c r="BO303" s="283"/>
      <c r="BP303" s="283"/>
      <c r="BQ303" s="283"/>
      <c r="BR303" s="283"/>
      <c r="BS303" s="283"/>
      <c r="BT303" s="283"/>
      <c r="BU303" s="283"/>
    </row>
    <row r="304" spans="1:73" s="297" customFormat="1" ht="15.75" customHeight="1" thickBot="1">
      <c r="A304" s="298"/>
      <c r="B304" s="298"/>
      <c r="C304" s="301"/>
      <c r="D304" s="301"/>
      <c r="E304" s="283"/>
      <c r="F304" s="703"/>
      <c r="G304" s="283"/>
      <c r="H304" s="283"/>
      <c r="I304" s="283"/>
      <c r="J304" s="283"/>
      <c r="K304" s="283"/>
      <c r="L304" s="283"/>
      <c r="M304" s="283"/>
      <c r="N304" s="283"/>
      <c r="O304" s="283"/>
      <c r="P304" s="283"/>
      <c r="Q304" s="283"/>
      <c r="R304" s="283"/>
      <c r="S304" s="283"/>
      <c r="T304" s="283"/>
      <c r="U304" s="283"/>
      <c r="V304" s="283"/>
      <c r="W304" s="283"/>
      <c r="X304" s="283"/>
      <c r="Y304" s="283"/>
      <c r="Z304" s="283"/>
      <c r="AA304" s="283"/>
      <c r="AB304" s="283"/>
      <c r="AC304" s="283"/>
      <c r="AD304" s="283"/>
      <c r="AE304" s="283"/>
      <c r="AF304" s="283"/>
      <c r="AG304" s="283"/>
      <c r="AH304" s="283"/>
      <c r="AI304" s="283"/>
      <c r="AJ304" s="283"/>
      <c r="AK304" s="283"/>
      <c r="AL304" s="283"/>
      <c r="AM304" s="283"/>
      <c r="AN304" s="283"/>
      <c r="AO304" s="283"/>
      <c r="AP304" s="283"/>
      <c r="AQ304" s="283"/>
      <c r="AR304" s="283"/>
      <c r="AS304" s="283"/>
      <c r="AT304" s="283"/>
      <c r="AU304" s="283"/>
      <c r="AV304" s="283"/>
      <c r="AW304" s="283"/>
      <c r="AX304" s="283"/>
      <c r="AY304" s="283"/>
      <c r="AZ304" s="283"/>
      <c r="BA304" s="283"/>
      <c r="BB304" s="283"/>
      <c r="BC304" s="283"/>
      <c r="BD304" s="283"/>
      <c r="BE304" s="283"/>
      <c r="BF304" s="283"/>
      <c r="BG304" s="283"/>
      <c r="BH304" s="283"/>
      <c r="BI304" s="283"/>
      <c r="BJ304" s="283"/>
      <c r="BK304" s="283"/>
      <c r="BL304" s="283"/>
      <c r="BM304" s="283"/>
      <c r="BN304" s="283"/>
      <c r="BO304" s="283"/>
      <c r="BP304" s="283"/>
      <c r="BQ304" s="283"/>
      <c r="BR304" s="283"/>
      <c r="BS304" s="283"/>
      <c r="BT304" s="283"/>
      <c r="BU304" s="283"/>
    </row>
    <row r="305" spans="1:73" s="297" customFormat="1" ht="15.75" customHeight="1" thickBot="1">
      <c r="A305" s="298"/>
      <c r="B305" s="298"/>
      <c r="C305" s="301"/>
      <c r="D305" s="301"/>
      <c r="E305" s="283"/>
      <c r="F305" s="703"/>
      <c r="G305" s="283"/>
      <c r="H305" s="283"/>
      <c r="I305" s="283"/>
      <c r="J305" s="283"/>
      <c r="K305" s="283"/>
      <c r="L305" s="283"/>
      <c r="M305" s="283"/>
      <c r="N305" s="283"/>
      <c r="O305" s="283"/>
      <c r="P305" s="283"/>
      <c r="Q305" s="283"/>
      <c r="R305" s="283"/>
      <c r="S305" s="283"/>
      <c r="T305" s="283"/>
      <c r="U305" s="283"/>
      <c r="V305" s="283"/>
      <c r="W305" s="283"/>
      <c r="X305" s="283"/>
      <c r="Y305" s="283"/>
      <c r="Z305" s="283"/>
      <c r="AA305" s="283"/>
      <c r="AB305" s="283"/>
      <c r="AC305" s="283"/>
      <c r="AD305" s="283"/>
      <c r="AE305" s="283"/>
      <c r="AF305" s="283"/>
      <c r="AG305" s="283"/>
      <c r="AH305" s="283"/>
      <c r="AI305" s="283"/>
      <c r="AJ305" s="283"/>
      <c r="AK305" s="283"/>
      <c r="AL305" s="283"/>
      <c r="AM305" s="283"/>
      <c r="AN305" s="283"/>
      <c r="AO305" s="283"/>
      <c r="AP305" s="283"/>
      <c r="AQ305" s="283"/>
      <c r="AR305" s="283"/>
      <c r="AS305" s="283"/>
      <c r="AT305" s="283"/>
      <c r="AU305" s="283"/>
      <c r="AV305" s="283"/>
      <c r="AW305" s="283"/>
      <c r="AX305" s="283"/>
      <c r="AY305" s="283"/>
      <c r="AZ305" s="283"/>
      <c r="BA305" s="283"/>
      <c r="BB305" s="283"/>
      <c r="BC305" s="283"/>
      <c r="BD305" s="283"/>
      <c r="BE305" s="283"/>
      <c r="BF305" s="283"/>
      <c r="BG305" s="283"/>
      <c r="BH305" s="283"/>
      <c r="BI305" s="283"/>
      <c r="BJ305" s="283"/>
      <c r="BK305" s="283"/>
      <c r="BL305" s="283"/>
      <c r="BM305" s="283"/>
      <c r="BN305" s="283"/>
      <c r="BO305" s="283"/>
      <c r="BP305" s="283"/>
      <c r="BQ305" s="283"/>
      <c r="BR305" s="283"/>
      <c r="BS305" s="283"/>
      <c r="BT305" s="283"/>
      <c r="BU305" s="283"/>
    </row>
    <row r="306" spans="1:73" s="297" customFormat="1" ht="15.75" customHeight="1" thickBot="1">
      <c r="A306" s="298"/>
      <c r="B306" s="298"/>
      <c r="C306" s="301"/>
      <c r="D306" s="301"/>
      <c r="E306" s="283"/>
      <c r="F306" s="703"/>
      <c r="G306" s="283"/>
      <c r="H306" s="283"/>
      <c r="I306" s="283"/>
      <c r="J306" s="283"/>
      <c r="K306" s="283"/>
      <c r="L306" s="283"/>
      <c r="M306" s="283"/>
      <c r="N306" s="283"/>
      <c r="O306" s="283"/>
      <c r="P306" s="283"/>
      <c r="Q306" s="283"/>
      <c r="R306" s="283"/>
      <c r="S306" s="283"/>
      <c r="T306" s="283"/>
      <c r="U306" s="283"/>
      <c r="V306" s="283"/>
      <c r="W306" s="283"/>
      <c r="X306" s="283"/>
      <c r="Y306" s="283"/>
      <c r="Z306" s="283"/>
      <c r="AA306" s="283"/>
      <c r="AB306" s="283"/>
      <c r="AC306" s="283"/>
      <c r="AD306" s="283"/>
      <c r="AE306" s="283"/>
      <c r="AF306" s="283"/>
      <c r="AG306" s="283"/>
      <c r="AH306" s="283"/>
      <c r="AI306" s="283"/>
      <c r="AJ306" s="283"/>
      <c r="AK306" s="283"/>
      <c r="AL306" s="283"/>
      <c r="AM306" s="283"/>
      <c r="AN306" s="283"/>
      <c r="AO306" s="283"/>
      <c r="AP306" s="283"/>
      <c r="AQ306" s="283"/>
      <c r="AR306" s="283"/>
      <c r="AS306" s="283"/>
      <c r="AT306" s="283"/>
      <c r="AU306" s="283"/>
      <c r="AV306" s="283"/>
      <c r="AW306" s="283"/>
      <c r="AX306" s="283"/>
      <c r="AY306" s="283"/>
      <c r="AZ306" s="283"/>
      <c r="BA306" s="283"/>
      <c r="BB306" s="283"/>
      <c r="BC306" s="283"/>
      <c r="BD306" s="283"/>
      <c r="BE306" s="283"/>
      <c r="BF306" s="283"/>
      <c r="BG306" s="283"/>
      <c r="BH306" s="283"/>
      <c r="BI306" s="283"/>
      <c r="BJ306" s="283"/>
      <c r="BK306" s="283"/>
      <c r="BL306" s="283"/>
      <c r="BM306" s="283"/>
      <c r="BN306" s="283"/>
      <c r="BO306" s="283"/>
      <c r="BP306" s="283"/>
      <c r="BQ306" s="283"/>
      <c r="BR306" s="283"/>
      <c r="BS306" s="283"/>
      <c r="BT306" s="283"/>
      <c r="BU306" s="283"/>
    </row>
    <row r="307" spans="1:73" s="297" customFormat="1" ht="15.75" customHeight="1" thickBot="1">
      <c r="A307" s="298"/>
      <c r="B307" s="298"/>
      <c r="C307" s="301"/>
      <c r="D307" s="301"/>
      <c r="E307" s="283"/>
      <c r="F307" s="703"/>
      <c r="G307" s="283"/>
      <c r="H307" s="283"/>
      <c r="I307" s="283"/>
      <c r="J307" s="283"/>
      <c r="K307" s="283"/>
      <c r="L307" s="283"/>
      <c r="M307" s="283"/>
      <c r="N307" s="283"/>
      <c r="O307" s="283"/>
      <c r="P307" s="283"/>
      <c r="Q307" s="283"/>
      <c r="R307" s="283"/>
      <c r="S307" s="283"/>
      <c r="T307" s="283"/>
      <c r="U307" s="283"/>
      <c r="V307" s="283"/>
      <c r="W307" s="283"/>
      <c r="X307" s="283"/>
      <c r="Y307" s="283"/>
      <c r="Z307" s="283"/>
      <c r="AA307" s="283"/>
      <c r="AB307" s="283"/>
      <c r="AC307" s="283"/>
      <c r="AD307" s="283"/>
      <c r="AE307" s="283"/>
      <c r="AF307" s="283"/>
      <c r="AG307" s="283"/>
      <c r="AH307" s="283"/>
      <c r="AI307" s="283"/>
      <c r="AJ307" s="283"/>
      <c r="AK307" s="283"/>
      <c r="AL307" s="283"/>
      <c r="AM307" s="283"/>
      <c r="AN307" s="283"/>
      <c r="AO307" s="283"/>
      <c r="AP307" s="283"/>
      <c r="AQ307" s="283"/>
      <c r="AR307" s="283"/>
      <c r="AS307" s="283"/>
      <c r="AT307" s="283"/>
      <c r="AU307" s="283"/>
      <c r="AV307" s="283"/>
      <c r="AW307" s="283"/>
      <c r="AX307" s="283"/>
      <c r="AY307" s="283"/>
      <c r="AZ307" s="283"/>
      <c r="BA307" s="283"/>
      <c r="BB307" s="283"/>
      <c r="BC307" s="283"/>
      <c r="BD307" s="283"/>
      <c r="BE307" s="283"/>
      <c r="BF307" s="283"/>
      <c r="BG307" s="283"/>
      <c r="BH307" s="283"/>
      <c r="BI307" s="283"/>
      <c r="BJ307" s="283"/>
      <c r="BK307" s="283"/>
      <c r="BL307" s="283"/>
      <c r="BM307" s="283"/>
      <c r="BN307" s="283"/>
      <c r="BO307" s="283"/>
      <c r="BP307" s="283"/>
      <c r="BQ307" s="283"/>
      <c r="BR307" s="283"/>
      <c r="BS307" s="283"/>
      <c r="BT307" s="283"/>
      <c r="BU307" s="283"/>
    </row>
    <row r="308" spans="1:73" s="297" customFormat="1" ht="15.75" customHeight="1" thickBot="1">
      <c r="A308" s="298"/>
      <c r="B308" s="298"/>
      <c r="C308" s="301"/>
      <c r="D308" s="301"/>
      <c r="E308" s="283"/>
      <c r="F308" s="703"/>
      <c r="G308" s="283"/>
      <c r="H308" s="283"/>
      <c r="I308" s="283"/>
      <c r="J308" s="283"/>
      <c r="K308" s="283"/>
      <c r="L308" s="283"/>
      <c r="M308" s="283"/>
      <c r="N308" s="283"/>
      <c r="O308" s="283"/>
      <c r="P308" s="283"/>
      <c r="Q308" s="283"/>
      <c r="R308" s="283"/>
      <c r="S308" s="283"/>
      <c r="T308" s="283"/>
      <c r="U308" s="283"/>
      <c r="V308" s="283"/>
      <c r="W308" s="283"/>
      <c r="X308" s="283"/>
      <c r="Y308" s="283"/>
      <c r="Z308" s="283"/>
      <c r="AA308" s="283"/>
      <c r="AB308" s="283"/>
      <c r="AC308" s="283"/>
      <c r="AD308" s="283"/>
      <c r="AE308" s="283"/>
      <c r="AF308" s="283"/>
      <c r="AG308" s="283"/>
      <c r="AH308" s="283"/>
      <c r="AI308" s="283"/>
      <c r="AJ308" s="283"/>
      <c r="AK308" s="283"/>
      <c r="AL308" s="283"/>
      <c r="AM308" s="283"/>
      <c r="AN308" s="283"/>
      <c r="AO308" s="283"/>
      <c r="AP308" s="283"/>
      <c r="AQ308" s="283"/>
      <c r="AR308" s="283"/>
      <c r="AS308" s="283"/>
      <c r="AT308" s="283"/>
      <c r="AU308" s="283"/>
      <c r="AV308" s="283"/>
      <c r="AW308" s="283"/>
      <c r="AX308" s="283"/>
      <c r="AY308" s="283"/>
      <c r="AZ308" s="283"/>
      <c r="BA308" s="283"/>
      <c r="BB308" s="283"/>
      <c r="BC308" s="283"/>
      <c r="BD308" s="283"/>
      <c r="BE308" s="283"/>
      <c r="BF308" s="283"/>
      <c r="BG308" s="283"/>
      <c r="BH308" s="283"/>
      <c r="BI308" s="283"/>
      <c r="BJ308" s="283"/>
      <c r="BK308" s="283"/>
      <c r="BL308" s="283"/>
      <c r="BM308" s="283"/>
      <c r="BN308" s="283"/>
      <c r="BO308" s="283"/>
      <c r="BP308" s="283"/>
      <c r="BQ308" s="283"/>
      <c r="BR308" s="283"/>
      <c r="BS308" s="283"/>
      <c r="BT308" s="283"/>
      <c r="BU308" s="283"/>
    </row>
    <row r="309" spans="1:73" s="297" customFormat="1" ht="15.75" customHeight="1" thickBot="1">
      <c r="A309" s="298"/>
      <c r="B309" s="298"/>
      <c r="C309" s="301"/>
      <c r="D309" s="301"/>
      <c r="E309" s="283"/>
      <c r="F309" s="703"/>
      <c r="G309" s="283"/>
      <c r="H309" s="283"/>
      <c r="I309" s="283"/>
      <c r="J309" s="283"/>
      <c r="K309" s="283"/>
      <c r="L309" s="283"/>
      <c r="M309" s="283"/>
      <c r="N309" s="283"/>
      <c r="O309" s="283"/>
      <c r="P309" s="283"/>
      <c r="Q309" s="283"/>
      <c r="R309" s="283"/>
      <c r="S309" s="283"/>
      <c r="T309" s="283"/>
      <c r="U309" s="283"/>
      <c r="V309" s="283"/>
      <c r="W309" s="283"/>
      <c r="X309" s="283"/>
      <c r="Y309" s="283"/>
      <c r="Z309" s="283"/>
      <c r="AA309" s="283"/>
      <c r="AB309" s="283"/>
      <c r="AC309" s="283"/>
      <c r="AD309" s="283"/>
      <c r="AE309" s="283"/>
      <c r="AF309" s="283"/>
      <c r="AG309" s="283"/>
      <c r="AH309" s="283"/>
      <c r="AI309" s="283"/>
      <c r="AJ309" s="283"/>
      <c r="AK309" s="283"/>
      <c r="AL309" s="283"/>
      <c r="AM309" s="283"/>
      <c r="AN309" s="283"/>
      <c r="AO309" s="283"/>
      <c r="AP309" s="283"/>
      <c r="AQ309" s="283"/>
      <c r="AR309" s="283"/>
      <c r="AS309" s="283"/>
      <c r="AT309" s="283"/>
      <c r="AU309" s="283"/>
      <c r="AV309" s="283"/>
      <c r="AW309" s="283"/>
      <c r="AX309" s="283"/>
      <c r="AY309" s="283"/>
      <c r="AZ309" s="283"/>
      <c r="BA309" s="283"/>
      <c r="BB309" s="283"/>
      <c r="BC309" s="283"/>
      <c r="BD309" s="283"/>
      <c r="BE309" s="283"/>
      <c r="BF309" s="283"/>
      <c r="BG309" s="283"/>
      <c r="BH309" s="283"/>
      <c r="BI309" s="283"/>
      <c r="BJ309" s="283"/>
      <c r="BK309" s="283"/>
      <c r="BL309" s="283"/>
      <c r="BM309" s="283"/>
      <c r="BN309" s="283"/>
      <c r="BO309" s="283"/>
      <c r="BP309" s="283"/>
      <c r="BQ309" s="283"/>
      <c r="BR309" s="283"/>
      <c r="BS309" s="283"/>
      <c r="BT309" s="283"/>
      <c r="BU309" s="283"/>
    </row>
    <row r="310" spans="1:73" s="297" customFormat="1" ht="15.75" customHeight="1" thickBot="1">
      <c r="A310" s="298"/>
      <c r="B310" s="298"/>
      <c r="C310" s="301"/>
      <c r="D310" s="301"/>
      <c r="E310" s="283"/>
      <c r="F310" s="703"/>
      <c r="G310" s="283"/>
      <c r="H310" s="283"/>
      <c r="I310" s="283"/>
      <c r="J310" s="283"/>
      <c r="K310" s="283"/>
      <c r="L310" s="283"/>
      <c r="M310" s="283"/>
      <c r="N310" s="283"/>
      <c r="O310" s="283"/>
      <c r="P310" s="283"/>
      <c r="Q310" s="283"/>
      <c r="R310" s="283"/>
      <c r="S310" s="283"/>
      <c r="T310" s="283"/>
      <c r="U310" s="283"/>
      <c r="V310" s="283"/>
      <c r="W310" s="283"/>
      <c r="X310" s="283"/>
      <c r="Y310" s="283"/>
      <c r="Z310" s="283"/>
      <c r="AA310" s="283"/>
      <c r="AB310" s="283"/>
      <c r="AC310" s="283"/>
      <c r="AD310" s="283"/>
      <c r="AE310" s="283"/>
      <c r="AF310" s="283"/>
      <c r="AG310" s="283"/>
      <c r="AH310" s="283"/>
      <c r="AI310" s="283"/>
      <c r="AJ310" s="283"/>
      <c r="AK310" s="283"/>
      <c r="AL310" s="283"/>
      <c r="AM310" s="283"/>
      <c r="AN310" s="283"/>
      <c r="AO310" s="283"/>
      <c r="AP310" s="283"/>
      <c r="AQ310" s="283"/>
      <c r="AR310" s="283"/>
      <c r="AS310" s="283"/>
      <c r="AT310" s="283"/>
      <c r="AU310" s="283"/>
      <c r="AV310" s="283"/>
      <c r="AW310" s="283"/>
      <c r="AX310" s="283"/>
      <c r="AY310" s="283"/>
      <c r="AZ310" s="283"/>
      <c r="BA310" s="283"/>
      <c r="BB310" s="283"/>
      <c r="BC310" s="283"/>
      <c r="BD310" s="283"/>
      <c r="BE310" s="283"/>
      <c r="BF310" s="283"/>
      <c r="BG310" s="283"/>
      <c r="BH310" s="283"/>
      <c r="BI310" s="283"/>
      <c r="BJ310" s="283"/>
      <c r="BK310" s="283"/>
      <c r="BL310" s="283"/>
      <c r="BM310" s="283"/>
      <c r="BN310" s="283"/>
      <c r="BO310" s="283"/>
      <c r="BP310" s="283"/>
      <c r="BQ310" s="283"/>
      <c r="BR310" s="283"/>
      <c r="BS310" s="283"/>
      <c r="BT310" s="283"/>
      <c r="BU310" s="283"/>
    </row>
    <row r="311" spans="1:73" s="297" customFormat="1" ht="15.75" customHeight="1" thickBot="1">
      <c r="A311" s="298"/>
      <c r="B311" s="298"/>
      <c r="C311" s="301"/>
      <c r="D311" s="301"/>
      <c r="E311" s="283"/>
      <c r="F311" s="703"/>
      <c r="G311" s="283"/>
      <c r="H311" s="283"/>
      <c r="I311" s="283"/>
      <c r="J311" s="283"/>
      <c r="K311" s="283"/>
      <c r="L311" s="283"/>
      <c r="M311" s="283"/>
      <c r="N311" s="283"/>
      <c r="O311" s="283"/>
      <c r="P311" s="283"/>
      <c r="Q311" s="283"/>
      <c r="R311" s="283"/>
      <c r="S311" s="283"/>
      <c r="T311" s="283"/>
      <c r="U311" s="283"/>
      <c r="V311" s="283"/>
      <c r="W311" s="283"/>
      <c r="X311" s="283"/>
      <c r="Y311" s="283"/>
      <c r="Z311" s="283"/>
      <c r="AA311" s="283"/>
      <c r="AB311" s="283"/>
      <c r="AC311" s="283"/>
      <c r="AD311" s="283"/>
      <c r="AE311" s="283"/>
      <c r="AF311" s="283"/>
      <c r="AG311" s="283"/>
      <c r="AH311" s="283"/>
      <c r="AI311" s="283"/>
      <c r="AJ311" s="283"/>
      <c r="AK311" s="283"/>
      <c r="AL311" s="283"/>
      <c r="AM311" s="283"/>
      <c r="AN311" s="283"/>
      <c r="AO311" s="283"/>
      <c r="AP311" s="283"/>
      <c r="AQ311" s="283"/>
      <c r="AR311" s="283"/>
      <c r="AS311" s="283"/>
      <c r="AT311" s="283"/>
      <c r="AU311" s="283"/>
      <c r="AV311" s="283"/>
      <c r="AW311" s="283"/>
      <c r="AX311" s="283"/>
      <c r="AY311" s="283"/>
      <c r="AZ311" s="283"/>
      <c r="BA311" s="283"/>
      <c r="BB311" s="283"/>
      <c r="BC311" s="283"/>
      <c r="BD311" s="283"/>
      <c r="BE311" s="283"/>
      <c r="BF311" s="283"/>
      <c r="BG311" s="283"/>
      <c r="BH311" s="283"/>
      <c r="BI311" s="283"/>
      <c r="BJ311" s="283"/>
      <c r="BK311" s="283"/>
      <c r="BL311" s="283"/>
      <c r="BM311" s="283"/>
      <c r="BN311" s="283"/>
      <c r="BO311" s="283"/>
      <c r="BP311" s="283"/>
      <c r="BQ311" s="283"/>
      <c r="BR311" s="283"/>
      <c r="BS311" s="283"/>
      <c r="BT311" s="283"/>
      <c r="BU311" s="283"/>
    </row>
    <row r="312" spans="1:73" s="297" customFormat="1" ht="15.75" customHeight="1" thickBot="1">
      <c r="A312" s="298"/>
      <c r="B312" s="298"/>
      <c r="C312" s="301"/>
      <c r="D312" s="301"/>
      <c r="E312" s="283"/>
      <c r="F312" s="703"/>
      <c r="G312" s="283"/>
      <c r="H312" s="283"/>
      <c r="I312" s="283"/>
      <c r="J312" s="283"/>
      <c r="K312" s="283"/>
      <c r="L312" s="283"/>
      <c r="M312" s="283"/>
      <c r="N312" s="283"/>
      <c r="O312" s="283"/>
      <c r="P312" s="283"/>
      <c r="Q312" s="283"/>
      <c r="R312" s="283"/>
      <c r="S312" s="283"/>
      <c r="T312" s="283"/>
      <c r="U312" s="283"/>
      <c r="V312" s="283"/>
      <c r="W312" s="283"/>
      <c r="X312" s="283"/>
      <c r="Y312" s="283"/>
      <c r="Z312" s="283"/>
      <c r="AA312" s="283"/>
      <c r="AB312" s="283"/>
      <c r="AC312" s="283"/>
      <c r="AD312" s="283"/>
      <c r="AE312" s="283"/>
      <c r="AF312" s="283"/>
      <c r="AG312" s="283"/>
      <c r="AH312" s="283"/>
      <c r="AI312" s="283"/>
      <c r="AJ312" s="283"/>
      <c r="AK312" s="283"/>
      <c r="AL312" s="283"/>
      <c r="AM312" s="283"/>
      <c r="AN312" s="283"/>
      <c r="AO312" s="283"/>
      <c r="AP312" s="283"/>
      <c r="AQ312" s="283"/>
      <c r="AR312" s="283"/>
      <c r="AS312" s="283"/>
      <c r="AT312" s="283"/>
      <c r="AU312" s="283"/>
      <c r="AV312" s="283"/>
      <c r="AW312" s="283"/>
      <c r="AX312" s="283"/>
      <c r="AY312" s="283"/>
      <c r="AZ312" s="283"/>
      <c r="BA312" s="283"/>
      <c r="BB312" s="283"/>
      <c r="BC312" s="283"/>
      <c r="BD312" s="283"/>
      <c r="BE312" s="283"/>
      <c r="BF312" s="283"/>
      <c r="BG312" s="283"/>
      <c r="BH312" s="283"/>
      <c r="BI312" s="283"/>
      <c r="BJ312" s="283"/>
      <c r="BK312" s="283"/>
      <c r="BL312" s="283"/>
      <c r="BM312" s="283"/>
      <c r="BN312" s="283"/>
      <c r="BO312" s="283"/>
      <c r="BP312" s="283"/>
      <c r="BQ312" s="283"/>
      <c r="BR312" s="283"/>
      <c r="BS312" s="283"/>
      <c r="BT312" s="283"/>
      <c r="BU312" s="283"/>
    </row>
    <row r="313" spans="1:73" s="297" customFormat="1" ht="15.75" customHeight="1" thickBot="1">
      <c r="A313" s="298"/>
      <c r="B313" s="298"/>
      <c r="C313" s="301"/>
      <c r="D313" s="301"/>
      <c r="E313" s="283"/>
      <c r="F313" s="703"/>
      <c r="G313" s="283"/>
      <c r="H313" s="283"/>
      <c r="I313" s="283"/>
      <c r="J313" s="283"/>
      <c r="K313" s="283"/>
      <c r="L313" s="283"/>
      <c r="M313" s="283"/>
      <c r="N313" s="283"/>
      <c r="O313" s="283"/>
      <c r="P313" s="283"/>
      <c r="Q313" s="283"/>
      <c r="R313" s="283"/>
      <c r="S313" s="283"/>
      <c r="T313" s="283"/>
      <c r="U313" s="283"/>
      <c r="V313" s="283"/>
      <c r="W313" s="283"/>
      <c r="X313" s="283"/>
      <c r="Y313" s="283"/>
      <c r="Z313" s="283"/>
      <c r="AA313" s="283"/>
      <c r="AB313" s="283"/>
      <c r="AC313" s="283"/>
      <c r="AD313" s="283"/>
      <c r="AE313" s="283"/>
      <c r="AF313" s="283"/>
      <c r="AG313" s="283"/>
      <c r="AH313" s="283"/>
      <c r="AI313" s="283"/>
      <c r="AJ313" s="283"/>
      <c r="AK313" s="283"/>
      <c r="AL313" s="283"/>
      <c r="AM313" s="283"/>
      <c r="AN313" s="283"/>
      <c r="AO313" s="283"/>
      <c r="AP313" s="283"/>
      <c r="AQ313" s="283"/>
      <c r="AR313" s="283"/>
      <c r="AS313" s="283"/>
      <c r="AT313" s="283"/>
      <c r="AU313" s="283"/>
      <c r="AV313" s="283"/>
      <c r="AW313" s="283"/>
      <c r="AX313" s="283"/>
      <c r="AY313" s="283"/>
      <c r="AZ313" s="283"/>
      <c r="BA313" s="283"/>
      <c r="BB313" s="283"/>
      <c r="BC313" s="283"/>
      <c r="BD313" s="283"/>
      <c r="BE313" s="283"/>
      <c r="BF313" s="283"/>
      <c r="BG313" s="283"/>
      <c r="BH313" s="283"/>
      <c r="BI313" s="283"/>
      <c r="BJ313" s="283"/>
      <c r="BK313" s="283"/>
      <c r="BL313" s="283"/>
      <c r="BM313" s="283"/>
      <c r="BN313" s="283"/>
      <c r="BO313" s="283"/>
      <c r="BP313" s="283"/>
      <c r="BQ313" s="283"/>
      <c r="BR313" s="283"/>
      <c r="BS313" s="283"/>
      <c r="BT313" s="283"/>
      <c r="BU313" s="283"/>
    </row>
    <row r="314" spans="1:73" s="297" customFormat="1" ht="15.75" customHeight="1" thickBot="1">
      <c r="A314" s="298"/>
      <c r="B314" s="298"/>
      <c r="C314" s="301"/>
      <c r="D314" s="301"/>
      <c r="E314" s="283"/>
      <c r="F314" s="703"/>
      <c r="G314" s="283"/>
      <c r="H314" s="283"/>
      <c r="I314" s="283"/>
      <c r="J314" s="283"/>
      <c r="K314" s="283"/>
      <c r="L314" s="283"/>
      <c r="M314" s="283"/>
      <c r="N314" s="283"/>
      <c r="O314" s="283"/>
      <c r="P314" s="283"/>
      <c r="Q314" s="283"/>
      <c r="R314" s="283"/>
      <c r="S314" s="283"/>
      <c r="T314" s="283"/>
      <c r="U314" s="283"/>
      <c r="V314" s="283"/>
      <c r="W314" s="283"/>
      <c r="X314" s="283"/>
      <c r="Y314" s="283"/>
      <c r="Z314" s="283"/>
      <c r="AA314" s="283"/>
      <c r="AB314" s="283"/>
      <c r="AC314" s="283"/>
      <c r="AD314" s="283"/>
      <c r="AE314" s="283"/>
      <c r="AF314" s="283"/>
      <c r="AG314" s="283"/>
      <c r="AH314" s="283"/>
      <c r="AI314" s="283"/>
      <c r="AJ314" s="283"/>
      <c r="AK314" s="283"/>
      <c r="AL314" s="283"/>
      <c r="AM314" s="283"/>
      <c r="AN314" s="283"/>
      <c r="AO314" s="283"/>
      <c r="AP314" s="283"/>
      <c r="AQ314" s="283"/>
      <c r="AR314" s="283"/>
      <c r="AS314" s="283"/>
      <c r="AT314" s="283"/>
      <c r="AU314" s="283"/>
      <c r="AV314" s="283"/>
      <c r="AW314" s="283"/>
      <c r="AX314" s="283"/>
      <c r="AY314" s="283"/>
      <c r="AZ314" s="283"/>
      <c r="BA314" s="283"/>
      <c r="BB314" s="283"/>
      <c r="BC314" s="283"/>
      <c r="BD314" s="283"/>
      <c r="BE314" s="283"/>
      <c r="BF314" s="283"/>
      <c r="BG314" s="283"/>
      <c r="BH314" s="283"/>
      <c r="BI314" s="283"/>
      <c r="BJ314" s="283"/>
      <c r="BK314" s="283"/>
      <c r="BL314" s="283"/>
      <c r="BM314" s="283"/>
      <c r="BN314" s="283"/>
      <c r="BO314" s="283"/>
      <c r="BP314" s="283"/>
      <c r="BQ314" s="283"/>
      <c r="BR314" s="283"/>
      <c r="BS314" s="283"/>
      <c r="BT314" s="283"/>
      <c r="BU314" s="283"/>
    </row>
    <row r="315" spans="1:73" s="297" customFormat="1" ht="15.75" customHeight="1" thickBot="1">
      <c r="A315" s="298"/>
      <c r="B315" s="298"/>
      <c r="C315" s="301"/>
      <c r="D315" s="301"/>
      <c r="E315" s="283"/>
      <c r="F315" s="703"/>
      <c r="G315" s="283"/>
      <c r="H315" s="283"/>
      <c r="I315" s="283"/>
      <c r="J315" s="283"/>
      <c r="K315" s="283"/>
      <c r="L315" s="283"/>
      <c r="M315" s="283"/>
      <c r="N315" s="283"/>
      <c r="O315" s="283"/>
      <c r="P315" s="283"/>
      <c r="Q315" s="283"/>
      <c r="R315" s="283"/>
      <c r="S315" s="283"/>
      <c r="T315" s="283"/>
      <c r="U315" s="283"/>
      <c r="V315" s="283"/>
      <c r="W315" s="283"/>
      <c r="X315" s="283"/>
      <c r="Y315" s="283"/>
      <c r="Z315" s="283"/>
      <c r="AA315" s="283"/>
      <c r="AB315" s="283"/>
      <c r="AC315" s="283"/>
      <c r="AD315" s="283"/>
      <c r="AE315" s="283"/>
      <c r="AF315" s="283"/>
      <c r="AG315" s="283"/>
      <c r="AH315" s="283"/>
      <c r="AI315" s="283"/>
      <c r="AJ315" s="283"/>
      <c r="AK315" s="283"/>
      <c r="AL315" s="283"/>
      <c r="AM315" s="283"/>
      <c r="AN315" s="283"/>
      <c r="AO315" s="283"/>
      <c r="AP315" s="283"/>
      <c r="AQ315" s="283"/>
      <c r="AR315" s="283"/>
      <c r="AS315" s="283"/>
      <c r="AT315" s="283"/>
      <c r="AU315" s="283"/>
      <c r="AV315" s="283"/>
      <c r="AW315" s="283"/>
      <c r="AX315" s="283"/>
      <c r="AY315" s="283"/>
      <c r="AZ315" s="283"/>
      <c r="BA315" s="283"/>
      <c r="BB315" s="283"/>
      <c r="BC315" s="283"/>
      <c r="BD315" s="283"/>
      <c r="BE315" s="283"/>
      <c r="BF315" s="283"/>
      <c r="BG315" s="283"/>
      <c r="BH315" s="283"/>
      <c r="BI315" s="283"/>
      <c r="BJ315" s="283"/>
      <c r="BK315" s="283"/>
      <c r="BL315" s="283"/>
      <c r="BM315" s="283"/>
      <c r="BN315" s="283"/>
      <c r="BO315" s="283"/>
      <c r="BP315" s="283"/>
      <c r="BQ315" s="283"/>
      <c r="BR315" s="283"/>
      <c r="BS315" s="283"/>
      <c r="BT315" s="283"/>
      <c r="BU315" s="283"/>
    </row>
    <row r="316" spans="1:73" s="297" customFormat="1" ht="15.75" customHeight="1" thickBot="1">
      <c r="A316" s="298"/>
      <c r="B316" s="298"/>
      <c r="C316" s="301"/>
      <c r="D316" s="301"/>
      <c r="E316" s="283"/>
      <c r="F316" s="703"/>
      <c r="G316" s="283"/>
      <c r="H316" s="283"/>
      <c r="I316" s="283"/>
      <c r="J316" s="283"/>
      <c r="K316" s="283"/>
      <c r="L316" s="283"/>
      <c r="M316" s="283"/>
      <c r="N316" s="283"/>
      <c r="O316" s="283"/>
      <c r="P316" s="283"/>
      <c r="Q316" s="283"/>
      <c r="R316" s="283"/>
      <c r="S316" s="283"/>
      <c r="T316" s="283"/>
      <c r="U316" s="283"/>
      <c r="V316" s="283"/>
      <c r="W316" s="283"/>
      <c r="X316" s="283"/>
      <c r="Y316" s="283"/>
      <c r="Z316" s="283"/>
      <c r="AA316" s="283"/>
      <c r="AB316" s="283"/>
      <c r="AC316" s="283"/>
      <c r="AD316" s="283"/>
      <c r="AE316" s="283"/>
      <c r="AF316" s="283"/>
      <c r="AG316" s="283"/>
      <c r="AH316" s="283"/>
      <c r="AI316" s="283"/>
      <c r="AJ316" s="283"/>
      <c r="AK316" s="283"/>
      <c r="AL316" s="283"/>
      <c r="AM316" s="283"/>
      <c r="AN316" s="283"/>
      <c r="AO316" s="283"/>
      <c r="AP316" s="283"/>
      <c r="AQ316" s="283"/>
      <c r="AR316" s="283"/>
      <c r="AS316" s="283"/>
      <c r="AT316" s="283"/>
      <c r="AU316" s="283"/>
      <c r="AV316" s="283"/>
      <c r="AW316" s="283"/>
      <c r="AX316" s="283"/>
      <c r="AY316" s="283"/>
      <c r="AZ316" s="283"/>
      <c r="BA316" s="283"/>
      <c r="BB316" s="283"/>
      <c r="BC316" s="283"/>
      <c r="BD316" s="283"/>
      <c r="BE316" s="283"/>
      <c r="BF316" s="283"/>
      <c r="BG316" s="283"/>
      <c r="BH316" s="283"/>
      <c r="BI316" s="283"/>
      <c r="BJ316" s="283"/>
      <c r="BK316" s="283"/>
      <c r="BL316" s="283"/>
      <c r="BM316" s="283"/>
      <c r="BN316" s="283"/>
      <c r="BO316" s="283"/>
      <c r="BP316" s="283"/>
      <c r="BQ316" s="283"/>
      <c r="BR316" s="283"/>
      <c r="BS316" s="283"/>
      <c r="BT316" s="283"/>
      <c r="BU316" s="283"/>
    </row>
    <row r="317" spans="1:73" s="297" customFormat="1" ht="15.75" customHeight="1" thickBot="1">
      <c r="A317" s="298"/>
      <c r="B317" s="298"/>
      <c r="C317" s="301"/>
      <c r="D317" s="301"/>
      <c r="E317" s="283"/>
      <c r="F317" s="703"/>
      <c r="G317" s="283"/>
      <c r="H317" s="283"/>
      <c r="I317" s="283"/>
      <c r="J317" s="283"/>
      <c r="K317" s="283"/>
      <c r="L317" s="283"/>
      <c r="M317" s="283"/>
      <c r="N317" s="283"/>
      <c r="O317" s="283"/>
      <c r="P317" s="283"/>
      <c r="Q317" s="283"/>
      <c r="R317" s="283"/>
      <c r="S317" s="283"/>
      <c r="T317" s="283"/>
      <c r="U317" s="283"/>
      <c r="V317" s="283"/>
      <c r="W317" s="283"/>
      <c r="X317" s="283"/>
      <c r="Y317" s="283"/>
      <c r="Z317" s="283"/>
      <c r="AA317" s="283"/>
      <c r="AB317" s="283"/>
      <c r="AC317" s="283"/>
      <c r="AD317" s="283"/>
      <c r="AE317" s="283"/>
      <c r="AF317" s="283"/>
      <c r="AG317" s="283"/>
      <c r="AH317" s="283"/>
      <c r="AI317" s="283"/>
      <c r="AJ317" s="283"/>
      <c r="AK317" s="283"/>
      <c r="AL317" s="283"/>
      <c r="AM317" s="283"/>
      <c r="AN317" s="283"/>
      <c r="AO317" s="283"/>
      <c r="AP317" s="283"/>
      <c r="AQ317" s="283"/>
      <c r="AR317" s="283"/>
      <c r="AS317" s="283"/>
      <c r="AT317" s="283"/>
      <c r="AU317" s="283"/>
      <c r="AV317" s="283"/>
      <c r="AW317" s="283"/>
      <c r="AX317" s="283"/>
      <c r="AY317" s="283"/>
      <c r="AZ317" s="283"/>
      <c r="BA317" s="283"/>
      <c r="BB317" s="283"/>
      <c r="BC317" s="283"/>
      <c r="BD317" s="283"/>
      <c r="BE317" s="283"/>
      <c r="BF317" s="283"/>
      <c r="BG317" s="283"/>
      <c r="BH317" s="283"/>
      <c r="BI317" s="283"/>
      <c r="BJ317" s="283"/>
      <c r="BK317" s="283"/>
      <c r="BL317" s="283"/>
      <c r="BM317" s="283"/>
      <c r="BN317" s="283"/>
      <c r="BO317" s="283"/>
      <c r="BP317" s="283"/>
      <c r="BQ317" s="283"/>
      <c r="BR317" s="283"/>
      <c r="BS317" s="283"/>
      <c r="BT317" s="283"/>
      <c r="BU317" s="283"/>
    </row>
    <row r="318" spans="1:73" s="297" customFormat="1" ht="15.75" customHeight="1" thickBot="1">
      <c r="A318" s="298"/>
      <c r="B318" s="298"/>
      <c r="C318" s="301"/>
      <c r="D318" s="301"/>
      <c r="E318" s="283"/>
      <c r="F318" s="703"/>
      <c r="G318" s="283"/>
      <c r="H318" s="283"/>
      <c r="I318" s="283"/>
      <c r="J318" s="283"/>
      <c r="K318" s="283"/>
      <c r="L318" s="283"/>
      <c r="M318" s="283"/>
      <c r="N318" s="283"/>
      <c r="O318" s="283"/>
      <c r="P318" s="283"/>
      <c r="Q318" s="283"/>
      <c r="R318" s="283"/>
      <c r="S318" s="283"/>
      <c r="T318" s="283"/>
      <c r="U318" s="283"/>
      <c r="V318" s="283"/>
      <c r="W318" s="283"/>
      <c r="X318" s="283"/>
      <c r="Y318" s="283"/>
      <c r="Z318" s="283"/>
      <c r="AA318" s="283"/>
      <c r="AB318" s="283"/>
      <c r="AC318" s="283"/>
      <c r="AD318" s="283"/>
      <c r="AE318" s="283"/>
      <c r="AF318" s="283"/>
      <c r="AG318" s="283"/>
      <c r="AH318" s="283"/>
      <c r="AI318" s="283"/>
      <c r="AJ318" s="283"/>
      <c r="AK318" s="283"/>
      <c r="AL318" s="283"/>
      <c r="AM318" s="283"/>
      <c r="AN318" s="283"/>
      <c r="AO318" s="283"/>
      <c r="AP318" s="283"/>
      <c r="AQ318" s="283"/>
      <c r="AR318" s="283"/>
      <c r="AS318" s="283"/>
      <c r="AT318" s="283"/>
      <c r="AU318" s="283"/>
      <c r="AV318" s="283"/>
      <c r="AW318" s="283"/>
      <c r="AX318" s="283"/>
      <c r="AY318" s="283"/>
      <c r="AZ318" s="283"/>
      <c r="BA318" s="283"/>
      <c r="BB318" s="283"/>
      <c r="BC318" s="283"/>
      <c r="BD318" s="283"/>
      <c r="BE318" s="283"/>
      <c r="BF318" s="283"/>
      <c r="BG318" s="283"/>
      <c r="BH318" s="283"/>
      <c r="BI318" s="283"/>
      <c r="BJ318" s="283"/>
      <c r="BK318" s="283"/>
      <c r="BL318" s="283"/>
      <c r="BM318" s="283"/>
      <c r="BN318" s="283"/>
      <c r="BO318" s="283"/>
      <c r="BP318" s="283"/>
      <c r="BQ318" s="283"/>
      <c r="BR318" s="283"/>
      <c r="BS318" s="283"/>
      <c r="BT318" s="283"/>
      <c r="BU318" s="283"/>
    </row>
    <row r="319" spans="1:73" s="297" customFormat="1" ht="15.75" customHeight="1" thickBot="1">
      <c r="A319" s="298"/>
      <c r="B319" s="298"/>
      <c r="C319" s="301"/>
      <c r="D319" s="301"/>
      <c r="E319" s="283"/>
      <c r="F319" s="703"/>
      <c r="G319" s="283"/>
      <c r="H319" s="283"/>
      <c r="I319" s="283"/>
      <c r="J319" s="283"/>
      <c r="K319" s="283"/>
      <c r="L319" s="283"/>
      <c r="M319" s="283"/>
      <c r="N319" s="283"/>
      <c r="O319" s="283"/>
      <c r="P319" s="283"/>
      <c r="Q319" s="283"/>
      <c r="R319" s="283"/>
      <c r="S319" s="283"/>
      <c r="T319" s="283"/>
      <c r="U319" s="283"/>
      <c r="V319" s="283"/>
      <c r="W319" s="283"/>
      <c r="X319" s="283"/>
      <c r="Y319" s="283"/>
      <c r="Z319" s="283"/>
      <c r="AA319" s="283"/>
      <c r="AB319" s="283"/>
      <c r="AC319" s="283"/>
      <c r="AD319" s="283"/>
      <c r="AE319" s="283"/>
      <c r="AF319" s="283"/>
      <c r="AG319" s="283"/>
      <c r="AH319" s="283"/>
      <c r="AI319" s="283"/>
      <c r="AJ319" s="283"/>
      <c r="AK319" s="283"/>
      <c r="AL319" s="283"/>
      <c r="AM319" s="283"/>
      <c r="AN319" s="283"/>
      <c r="AO319" s="283"/>
      <c r="AP319" s="283"/>
      <c r="AQ319" s="283"/>
      <c r="AR319" s="283"/>
      <c r="AS319" s="283"/>
      <c r="AT319" s="283"/>
      <c r="AU319" s="283"/>
      <c r="AV319" s="283"/>
      <c r="AW319" s="283"/>
      <c r="AX319" s="283"/>
      <c r="AY319" s="283"/>
      <c r="AZ319" s="283"/>
      <c r="BA319" s="283"/>
      <c r="BB319" s="283"/>
      <c r="BC319" s="283"/>
      <c r="BD319" s="283"/>
      <c r="BE319" s="283"/>
      <c r="BF319" s="283"/>
      <c r="BG319" s="283"/>
      <c r="BH319" s="283"/>
      <c r="BI319" s="283"/>
      <c r="BJ319" s="283"/>
      <c r="BK319" s="283"/>
      <c r="BL319" s="283"/>
      <c r="BM319" s="283"/>
      <c r="BN319" s="283"/>
      <c r="BO319" s="283"/>
      <c r="BP319" s="283"/>
      <c r="BQ319" s="283"/>
      <c r="BR319" s="283"/>
      <c r="BS319" s="283"/>
      <c r="BT319" s="283"/>
      <c r="BU319" s="283"/>
    </row>
    <row r="320" spans="1:73" s="297" customFormat="1" ht="15.75" customHeight="1" thickBot="1">
      <c r="A320" s="298"/>
      <c r="B320" s="298"/>
      <c r="C320" s="301"/>
      <c r="D320" s="301"/>
      <c r="E320" s="283"/>
      <c r="F320" s="703"/>
      <c r="G320" s="283"/>
      <c r="H320" s="283"/>
      <c r="I320" s="283"/>
      <c r="J320" s="283"/>
      <c r="K320" s="283"/>
      <c r="L320" s="283"/>
      <c r="M320" s="283"/>
      <c r="N320" s="283"/>
      <c r="O320" s="283"/>
      <c r="P320" s="283"/>
      <c r="Q320" s="283"/>
      <c r="R320" s="283"/>
      <c r="S320" s="283"/>
      <c r="T320" s="283"/>
      <c r="U320" s="283"/>
      <c r="V320" s="283"/>
      <c r="W320" s="283"/>
      <c r="X320" s="283"/>
      <c r="Y320" s="283"/>
      <c r="Z320" s="283"/>
      <c r="AA320" s="283"/>
      <c r="AB320" s="283"/>
      <c r="AC320" s="283"/>
      <c r="AD320" s="283"/>
      <c r="AE320" s="283"/>
      <c r="AF320" s="283"/>
      <c r="AG320" s="283"/>
      <c r="AH320" s="283"/>
      <c r="AI320" s="283"/>
      <c r="AJ320" s="283"/>
      <c r="AK320" s="283"/>
      <c r="AL320" s="283"/>
      <c r="AM320" s="283"/>
      <c r="AN320" s="283"/>
      <c r="AO320" s="283"/>
      <c r="AP320" s="283"/>
      <c r="AQ320" s="283"/>
      <c r="AR320" s="283"/>
      <c r="AS320" s="283"/>
      <c r="AT320" s="283"/>
      <c r="AU320" s="283"/>
      <c r="AV320" s="283"/>
      <c r="AW320" s="283"/>
      <c r="AX320" s="283"/>
      <c r="AY320" s="283"/>
      <c r="AZ320" s="283"/>
      <c r="BA320" s="283"/>
      <c r="BB320" s="283"/>
      <c r="BC320" s="283"/>
      <c r="BD320" s="283"/>
      <c r="BE320" s="283"/>
      <c r="BF320" s="283"/>
      <c r="BG320" s="283"/>
      <c r="BH320" s="283"/>
      <c r="BI320" s="283"/>
      <c r="BJ320" s="283"/>
      <c r="BK320" s="283"/>
      <c r="BL320" s="283"/>
      <c r="BM320" s="283"/>
      <c r="BN320" s="283"/>
      <c r="BO320" s="283"/>
      <c r="BP320" s="283"/>
      <c r="BQ320" s="283"/>
      <c r="BR320" s="283"/>
      <c r="BS320" s="283"/>
      <c r="BT320" s="283"/>
      <c r="BU320" s="283"/>
    </row>
    <row r="321" spans="1:73" s="297" customFormat="1" ht="15.75" customHeight="1" thickBot="1">
      <c r="A321" s="298"/>
      <c r="B321" s="298"/>
      <c r="C321" s="301"/>
      <c r="D321" s="301"/>
      <c r="E321" s="283"/>
      <c r="F321" s="703"/>
      <c r="G321" s="283"/>
      <c r="H321" s="283"/>
      <c r="I321" s="283"/>
      <c r="J321" s="283"/>
      <c r="K321" s="283"/>
      <c r="L321" s="283"/>
      <c r="M321" s="283"/>
      <c r="N321" s="283"/>
      <c r="O321" s="283"/>
      <c r="P321" s="283"/>
      <c r="Q321" s="283"/>
      <c r="R321" s="283"/>
      <c r="S321" s="283"/>
      <c r="T321" s="283"/>
      <c r="U321" s="283"/>
      <c r="V321" s="283"/>
      <c r="W321" s="283"/>
      <c r="X321" s="283"/>
      <c r="Y321" s="283"/>
      <c r="Z321" s="283"/>
      <c r="AA321" s="283"/>
      <c r="AB321" s="283"/>
      <c r="AC321" s="283"/>
      <c r="AD321" s="283"/>
      <c r="AE321" s="283"/>
      <c r="AF321" s="283"/>
      <c r="AG321" s="283"/>
      <c r="AH321" s="283"/>
      <c r="AI321" s="283"/>
      <c r="AJ321" s="283"/>
      <c r="AK321" s="283"/>
      <c r="AL321" s="283"/>
      <c r="AM321" s="283"/>
      <c r="AN321" s="283"/>
      <c r="AO321" s="283"/>
      <c r="AP321" s="283"/>
      <c r="AQ321" s="283"/>
      <c r="AR321" s="283"/>
      <c r="AS321" s="283"/>
      <c r="AT321" s="283"/>
      <c r="AU321" s="283"/>
      <c r="AV321" s="283"/>
      <c r="AW321" s="283"/>
      <c r="AX321" s="283"/>
      <c r="AY321" s="283"/>
      <c r="AZ321" s="283"/>
      <c r="BA321" s="283"/>
      <c r="BB321" s="283"/>
      <c r="BC321" s="283"/>
      <c r="BD321" s="283"/>
      <c r="BE321" s="283"/>
      <c r="BF321" s="283"/>
      <c r="BG321" s="283"/>
      <c r="BH321" s="283"/>
      <c r="BI321" s="283"/>
      <c r="BJ321" s="283"/>
      <c r="BK321" s="283"/>
      <c r="BL321" s="283"/>
      <c r="BM321" s="283"/>
      <c r="BN321" s="283"/>
      <c r="BO321" s="283"/>
      <c r="BP321" s="283"/>
      <c r="BQ321" s="283"/>
      <c r="BR321" s="283"/>
      <c r="BS321" s="283"/>
      <c r="BT321" s="283"/>
      <c r="BU321" s="283"/>
    </row>
    <row r="322" spans="1:73" s="297" customFormat="1" ht="15.75" customHeight="1" thickBot="1">
      <c r="A322" s="298"/>
      <c r="B322" s="298"/>
      <c r="C322" s="301"/>
      <c r="D322" s="301"/>
      <c r="E322" s="283"/>
      <c r="F322" s="703"/>
      <c r="G322" s="283"/>
      <c r="H322" s="283"/>
      <c r="I322" s="283"/>
      <c r="J322" s="283"/>
      <c r="K322" s="283"/>
      <c r="L322" s="283"/>
      <c r="M322" s="283"/>
      <c r="N322" s="283"/>
      <c r="O322" s="283"/>
      <c r="P322" s="283"/>
      <c r="Q322" s="283"/>
      <c r="R322" s="283"/>
      <c r="S322" s="283"/>
      <c r="T322" s="283"/>
      <c r="U322" s="283"/>
      <c r="V322" s="283"/>
      <c r="W322" s="283"/>
      <c r="X322" s="283"/>
      <c r="Y322" s="283"/>
      <c r="Z322" s="283"/>
      <c r="AA322" s="283"/>
      <c r="AB322" s="283"/>
      <c r="AC322" s="283"/>
      <c r="AD322" s="283"/>
      <c r="AE322" s="283"/>
      <c r="AF322" s="283"/>
      <c r="AG322" s="283"/>
      <c r="AH322" s="283"/>
      <c r="AI322" s="283"/>
      <c r="AJ322" s="283"/>
      <c r="AK322" s="283"/>
      <c r="AL322" s="283"/>
      <c r="AM322" s="283"/>
      <c r="AN322" s="283"/>
      <c r="AO322" s="283"/>
      <c r="AP322" s="283"/>
      <c r="AQ322" s="283"/>
      <c r="AR322" s="283"/>
      <c r="AS322" s="283"/>
      <c r="AT322" s="283"/>
      <c r="AU322" s="283"/>
      <c r="AV322" s="283"/>
      <c r="AW322" s="283"/>
      <c r="AX322" s="283"/>
      <c r="AY322" s="283"/>
      <c r="AZ322" s="283"/>
      <c r="BA322" s="283"/>
      <c r="BB322" s="283"/>
      <c r="BC322" s="283"/>
      <c r="BD322" s="283"/>
      <c r="BE322" s="283"/>
      <c r="BF322" s="283"/>
      <c r="BG322" s="283"/>
      <c r="BH322" s="283"/>
      <c r="BI322" s="283"/>
      <c r="BJ322" s="283"/>
      <c r="BK322" s="283"/>
      <c r="BL322" s="283"/>
      <c r="BM322" s="283"/>
      <c r="BN322" s="283"/>
      <c r="BO322" s="283"/>
      <c r="BP322" s="283"/>
      <c r="BQ322" s="283"/>
      <c r="BR322" s="283"/>
      <c r="BS322" s="283"/>
      <c r="BT322" s="283"/>
      <c r="BU322" s="283"/>
    </row>
    <row r="323" spans="1:73" s="297" customFormat="1" ht="15.75" customHeight="1" thickBot="1">
      <c r="A323" s="298"/>
      <c r="B323" s="298"/>
      <c r="C323" s="301"/>
      <c r="D323" s="301"/>
      <c r="E323" s="283"/>
      <c r="F323" s="703"/>
      <c r="G323" s="283"/>
      <c r="H323" s="283"/>
      <c r="I323" s="283"/>
      <c r="J323" s="283"/>
      <c r="K323" s="283"/>
      <c r="L323" s="283"/>
      <c r="M323" s="283"/>
      <c r="N323" s="283"/>
      <c r="O323" s="283"/>
      <c r="P323" s="283"/>
      <c r="Q323" s="283"/>
      <c r="R323" s="283"/>
      <c r="S323" s="283"/>
      <c r="T323" s="283"/>
      <c r="U323" s="283"/>
      <c r="V323" s="283"/>
      <c r="W323" s="283"/>
      <c r="X323" s="283"/>
      <c r="Y323" s="283"/>
      <c r="Z323" s="283"/>
      <c r="AA323" s="283"/>
      <c r="AB323" s="283"/>
      <c r="AC323" s="283"/>
      <c r="AD323" s="283"/>
      <c r="AE323" s="283"/>
      <c r="AF323" s="283"/>
      <c r="AG323" s="283"/>
      <c r="AH323" s="283"/>
      <c r="AI323" s="283"/>
      <c r="AJ323" s="283"/>
      <c r="AK323" s="283"/>
      <c r="AL323" s="283"/>
      <c r="AM323" s="283"/>
      <c r="AN323" s="283"/>
      <c r="AO323" s="283"/>
      <c r="AP323" s="283"/>
      <c r="AQ323" s="283"/>
      <c r="AR323" s="283"/>
      <c r="AS323" s="283"/>
      <c r="AT323" s="283"/>
      <c r="AU323" s="283"/>
      <c r="AV323" s="283"/>
      <c r="AW323" s="283"/>
      <c r="AX323" s="283"/>
      <c r="AY323" s="283"/>
      <c r="AZ323" s="283"/>
      <c r="BA323" s="283"/>
      <c r="BB323" s="283"/>
      <c r="BC323" s="283"/>
      <c r="BD323" s="283"/>
      <c r="BE323" s="283"/>
      <c r="BF323" s="283"/>
      <c r="BG323" s="283"/>
      <c r="BH323" s="283"/>
      <c r="BI323" s="283"/>
      <c r="BJ323" s="283"/>
      <c r="BK323" s="283"/>
      <c r="BL323" s="283"/>
      <c r="BM323" s="283"/>
      <c r="BN323" s="283"/>
      <c r="BO323" s="283"/>
      <c r="BP323" s="283"/>
      <c r="BQ323" s="283"/>
      <c r="BR323" s="283"/>
      <c r="BS323" s="283"/>
      <c r="BT323" s="283"/>
      <c r="BU323" s="283"/>
    </row>
    <row r="324" spans="1:73" s="297" customFormat="1" ht="15.75" customHeight="1" thickBot="1">
      <c r="A324" s="298"/>
      <c r="B324" s="298"/>
      <c r="C324" s="301"/>
      <c r="D324" s="301"/>
      <c r="E324" s="283"/>
      <c r="F324" s="703"/>
      <c r="G324" s="283"/>
      <c r="H324" s="283"/>
      <c r="I324" s="283"/>
      <c r="J324" s="283"/>
      <c r="K324" s="283"/>
      <c r="L324" s="283"/>
      <c r="M324" s="283"/>
      <c r="N324" s="283"/>
      <c r="O324" s="283"/>
      <c r="P324" s="283"/>
      <c r="Q324" s="283"/>
      <c r="R324" s="283"/>
      <c r="S324" s="283"/>
      <c r="T324" s="283"/>
      <c r="U324" s="283"/>
      <c r="V324" s="283"/>
      <c r="W324" s="283"/>
      <c r="X324" s="283"/>
      <c r="Y324" s="283"/>
      <c r="Z324" s="283"/>
      <c r="AA324" s="283"/>
      <c r="AB324" s="283"/>
      <c r="AC324" s="283"/>
      <c r="AD324" s="283"/>
      <c r="AE324" s="283"/>
      <c r="AF324" s="283"/>
      <c r="AG324" s="283"/>
      <c r="AH324" s="283"/>
      <c r="AI324" s="283"/>
      <c r="AJ324" s="283"/>
      <c r="AK324" s="283"/>
      <c r="AL324" s="283"/>
      <c r="AM324" s="283"/>
      <c r="AN324" s="283"/>
      <c r="AO324" s="283"/>
      <c r="AP324" s="283"/>
      <c r="AQ324" s="283"/>
      <c r="AR324" s="283"/>
      <c r="AS324" s="283"/>
      <c r="AT324" s="283"/>
      <c r="AU324" s="283"/>
      <c r="AV324" s="283"/>
      <c r="AW324" s="283"/>
      <c r="AX324" s="283"/>
      <c r="AY324" s="283"/>
      <c r="AZ324" s="283"/>
      <c r="BA324" s="283"/>
      <c r="BB324" s="283"/>
      <c r="BC324" s="283"/>
      <c r="BD324" s="283"/>
      <c r="BE324" s="283"/>
      <c r="BF324" s="283"/>
      <c r="BG324" s="283"/>
      <c r="BH324" s="283"/>
      <c r="BI324" s="283"/>
      <c r="BJ324" s="283"/>
      <c r="BK324" s="283"/>
      <c r="BL324" s="283"/>
      <c r="BM324" s="283"/>
      <c r="BN324" s="283"/>
      <c r="BO324" s="283"/>
      <c r="BP324" s="283"/>
      <c r="BQ324" s="283"/>
      <c r="BR324" s="283"/>
      <c r="BS324" s="283"/>
      <c r="BT324" s="283"/>
      <c r="BU324" s="283"/>
    </row>
    <row r="325" spans="1:73" s="297" customFormat="1" ht="15.75" customHeight="1" thickBot="1">
      <c r="A325" s="298"/>
      <c r="B325" s="298"/>
      <c r="C325" s="301"/>
      <c r="D325" s="301"/>
      <c r="E325" s="283"/>
      <c r="F325" s="703"/>
      <c r="G325" s="283"/>
      <c r="H325" s="283"/>
      <c r="I325" s="283"/>
      <c r="J325" s="283"/>
      <c r="K325" s="283"/>
      <c r="L325" s="283"/>
      <c r="M325" s="283"/>
      <c r="N325" s="283"/>
      <c r="O325" s="283"/>
      <c r="P325" s="283"/>
      <c r="Q325" s="283"/>
      <c r="R325" s="283"/>
      <c r="S325" s="283"/>
      <c r="T325" s="283"/>
      <c r="U325" s="283"/>
      <c r="V325" s="283"/>
      <c r="W325" s="283"/>
      <c r="X325" s="283"/>
      <c r="Y325" s="283"/>
      <c r="Z325" s="283"/>
      <c r="AA325" s="283"/>
      <c r="AB325" s="283"/>
      <c r="AC325" s="283"/>
      <c r="AD325" s="283"/>
      <c r="AE325" s="283"/>
      <c r="AF325" s="283"/>
      <c r="AG325" s="283"/>
      <c r="AH325" s="283"/>
      <c r="AI325" s="283"/>
      <c r="AJ325" s="283"/>
      <c r="AK325" s="283"/>
      <c r="AL325" s="283"/>
      <c r="AM325" s="283"/>
      <c r="AN325" s="283"/>
      <c r="AO325" s="283"/>
      <c r="AP325" s="283"/>
      <c r="AQ325" s="283"/>
      <c r="AR325" s="283"/>
      <c r="AS325" s="283"/>
      <c r="AT325" s="283"/>
      <c r="AU325" s="283"/>
      <c r="AV325" s="283"/>
      <c r="AW325" s="283"/>
      <c r="AX325" s="283"/>
      <c r="AY325" s="283"/>
      <c r="AZ325" s="283"/>
      <c r="BA325" s="283"/>
      <c r="BB325" s="283"/>
      <c r="BC325" s="283"/>
      <c r="BD325" s="283"/>
      <c r="BE325" s="283"/>
      <c r="BF325" s="283"/>
      <c r="BG325" s="283"/>
      <c r="BH325" s="283"/>
      <c r="BI325" s="283"/>
      <c r="BJ325" s="283"/>
      <c r="BK325" s="283"/>
      <c r="BL325" s="283"/>
      <c r="BM325" s="283"/>
      <c r="BN325" s="283"/>
      <c r="BO325" s="283"/>
      <c r="BP325" s="283"/>
      <c r="BQ325" s="283"/>
      <c r="BR325" s="283"/>
      <c r="BS325" s="283"/>
      <c r="BT325" s="283"/>
      <c r="BU325" s="283"/>
    </row>
    <row r="326" spans="1:73" s="297" customFormat="1" ht="15.75" customHeight="1" thickBot="1">
      <c r="A326" s="298"/>
      <c r="B326" s="298"/>
      <c r="C326" s="301"/>
      <c r="D326" s="301"/>
      <c r="E326" s="283"/>
      <c r="F326" s="703"/>
      <c r="G326" s="283"/>
      <c r="H326" s="283"/>
      <c r="I326" s="283"/>
      <c r="J326" s="283"/>
      <c r="K326" s="283"/>
      <c r="L326" s="283"/>
      <c r="M326" s="283"/>
      <c r="N326" s="283"/>
      <c r="O326" s="283"/>
      <c r="P326" s="283"/>
      <c r="Q326" s="283"/>
      <c r="R326" s="283"/>
      <c r="S326" s="283"/>
      <c r="T326" s="283"/>
      <c r="U326" s="283"/>
      <c r="V326" s="283"/>
      <c r="W326" s="283"/>
      <c r="X326" s="283"/>
      <c r="Y326" s="283"/>
      <c r="Z326" s="283"/>
      <c r="AA326" s="283"/>
      <c r="AB326" s="283"/>
      <c r="AC326" s="283"/>
      <c r="AD326" s="283"/>
      <c r="AE326" s="283"/>
      <c r="AF326" s="283"/>
      <c r="AG326" s="283"/>
      <c r="AH326" s="283"/>
      <c r="AI326" s="283"/>
      <c r="AJ326" s="283"/>
      <c r="AK326" s="283"/>
      <c r="AL326" s="283"/>
      <c r="AM326" s="283"/>
      <c r="AN326" s="283"/>
      <c r="AO326" s="283"/>
      <c r="AP326" s="283"/>
      <c r="AQ326" s="283"/>
      <c r="AR326" s="283"/>
      <c r="AS326" s="283"/>
      <c r="AT326" s="283"/>
      <c r="AU326" s="283"/>
      <c r="AV326" s="283"/>
      <c r="AW326" s="283"/>
      <c r="AX326" s="283"/>
      <c r="AY326" s="283"/>
      <c r="AZ326" s="283"/>
      <c r="BA326" s="283"/>
      <c r="BB326" s="283"/>
      <c r="BC326" s="283"/>
      <c r="BD326" s="283"/>
      <c r="BE326" s="283"/>
      <c r="BF326" s="283"/>
      <c r="BG326" s="283"/>
      <c r="BH326" s="283"/>
      <c r="BI326" s="283"/>
      <c r="BJ326" s="283"/>
      <c r="BK326" s="283"/>
      <c r="BL326" s="283"/>
      <c r="BM326" s="283"/>
      <c r="BN326" s="283"/>
      <c r="BO326" s="283"/>
      <c r="BP326" s="283"/>
      <c r="BQ326" s="283"/>
      <c r="BR326" s="283"/>
      <c r="BS326" s="283"/>
      <c r="BT326" s="283"/>
      <c r="BU326" s="283"/>
    </row>
    <row r="327" spans="1:73" s="297" customFormat="1" ht="15.75" customHeight="1" thickBot="1">
      <c r="A327" s="298"/>
      <c r="B327" s="298"/>
      <c r="C327" s="301"/>
      <c r="D327" s="301"/>
      <c r="E327" s="283"/>
      <c r="F327" s="703"/>
      <c r="G327" s="283"/>
      <c r="H327" s="283"/>
      <c r="I327" s="283"/>
      <c r="J327" s="283"/>
      <c r="K327" s="283"/>
      <c r="L327" s="283"/>
      <c r="M327" s="283"/>
      <c r="N327" s="283"/>
      <c r="O327" s="283"/>
      <c r="P327" s="283"/>
      <c r="Q327" s="283"/>
      <c r="R327" s="283"/>
      <c r="S327" s="283"/>
      <c r="T327" s="283"/>
      <c r="U327" s="283"/>
      <c r="V327" s="283"/>
      <c r="W327" s="283"/>
      <c r="X327" s="283"/>
      <c r="Y327" s="283"/>
      <c r="Z327" s="283"/>
      <c r="AA327" s="283"/>
      <c r="AB327" s="283"/>
      <c r="AC327" s="283"/>
      <c r="AD327" s="283"/>
      <c r="AE327" s="283"/>
      <c r="AF327" s="283"/>
      <c r="AG327" s="283"/>
      <c r="AH327" s="283"/>
      <c r="AI327" s="283"/>
      <c r="AJ327" s="283"/>
      <c r="AK327" s="283"/>
      <c r="AL327" s="283"/>
      <c r="AM327" s="283"/>
      <c r="AN327" s="283"/>
      <c r="AO327" s="283"/>
      <c r="AP327" s="283"/>
      <c r="AQ327" s="283"/>
      <c r="AR327" s="283"/>
      <c r="AS327" s="283"/>
      <c r="AT327" s="283"/>
      <c r="AU327" s="283"/>
      <c r="AV327" s="283"/>
      <c r="AW327" s="283"/>
      <c r="AX327" s="283"/>
      <c r="AY327" s="283"/>
      <c r="AZ327" s="283"/>
      <c r="BA327" s="283"/>
      <c r="BB327" s="283"/>
      <c r="BC327" s="283"/>
      <c r="BD327" s="283"/>
      <c r="BE327" s="283"/>
      <c r="BF327" s="283"/>
      <c r="BG327" s="283"/>
      <c r="BH327" s="283"/>
      <c r="BI327" s="283"/>
      <c r="BJ327" s="283"/>
      <c r="BK327" s="283"/>
      <c r="BL327" s="283"/>
      <c r="BM327" s="283"/>
      <c r="BN327" s="283"/>
      <c r="BO327" s="283"/>
      <c r="BP327" s="283"/>
      <c r="BQ327" s="283"/>
      <c r="BR327" s="283"/>
      <c r="BS327" s="283"/>
      <c r="BT327" s="283"/>
      <c r="BU327" s="283"/>
    </row>
    <row r="328" spans="1:73" s="297" customFormat="1" ht="15.75" customHeight="1" thickBot="1">
      <c r="A328" s="298"/>
      <c r="B328" s="298"/>
      <c r="C328" s="301"/>
      <c r="D328" s="301"/>
      <c r="E328" s="283"/>
      <c r="F328" s="703"/>
      <c r="G328" s="283"/>
      <c r="H328" s="283"/>
      <c r="I328" s="283"/>
      <c r="J328" s="283"/>
      <c r="K328" s="283"/>
      <c r="L328" s="283"/>
      <c r="M328" s="283"/>
      <c r="N328" s="283"/>
      <c r="O328" s="283"/>
      <c r="P328" s="283"/>
      <c r="Q328" s="283"/>
      <c r="R328" s="283"/>
      <c r="S328" s="283"/>
      <c r="T328" s="283"/>
      <c r="U328" s="283"/>
      <c r="V328" s="283"/>
      <c r="W328" s="283"/>
      <c r="X328" s="283"/>
      <c r="Y328" s="283"/>
      <c r="Z328" s="283"/>
      <c r="AA328" s="283"/>
      <c r="AB328" s="283"/>
      <c r="AC328" s="283"/>
      <c r="AD328" s="283"/>
      <c r="AE328" s="283"/>
      <c r="AF328" s="283"/>
      <c r="AG328" s="283"/>
      <c r="AH328" s="283"/>
      <c r="AI328" s="283"/>
      <c r="AJ328" s="283"/>
      <c r="AK328" s="283"/>
      <c r="AL328" s="283"/>
      <c r="AM328" s="283"/>
      <c r="AN328" s="283"/>
      <c r="AO328" s="283"/>
      <c r="AP328" s="283"/>
      <c r="AQ328" s="283"/>
      <c r="AR328" s="283"/>
      <c r="AS328" s="283"/>
      <c r="AT328" s="283"/>
      <c r="AU328" s="283"/>
      <c r="AV328" s="283"/>
      <c r="AW328" s="283"/>
      <c r="AX328" s="283"/>
      <c r="AY328" s="283"/>
      <c r="AZ328" s="283"/>
      <c r="BA328" s="283"/>
      <c r="BB328" s="283"/>
      <c r="BC328" s="283"/>
      <c r="BD328" s="283"/>
      <c r="BE328" s="283"/>
      <c r="BF328" s="283"/>
      <c r="BG328" s="283"/>
      <c r="BH328" s="283"/>
      <c r="BI328" s="283"/>
      <c r="BJ328" s="283"/>
      <c r="BK328" s="283"/>
      <c r="BL328" s="283"/>
      <c r="BM328" s="283"/>
      <c r="BN328" s="283"/>
      <c r="BO328" s="283"/>
      <c r="BP328" s="283"/>
      <c r="BQ328" s="283"/>
      <c r="BR328" s="283"/>
      <c r="BS328" s="283"/>
      <c r="BT328" s="283"/>
      <c r="BU328" s="283"/>
    </row>
    <row r="329" spans="1:73" s="297" customFormat="1" ht="15.75" customHeight="1" thickBot="1">
      <c r="A329" s="298"/>
      <c r="B329" s="298"/>
      <c r="C329" s="301"/>
      <c r="D329" s="301"/>
      <c r="E329" s="283"/>
      <c r="F329" s="703"/>
      <c r="G329" s="283"/>
      <c r="H329" s="283"/>
      <c r="I329" s="283"/>
      <c r="J329" s="283"/>
      <c r="K329" s="283"/>
      <c r="L329" s="283"/>
      <c r="M329" s="283"/>
      <c r="N329" s="283"/>
      <c r="O329" s="283"/>
      <c r="P329" s="283"/>
      <c r="Q329" s="283"/>
      <c r="R329" s="283"/>
      <c r="S329" s="283"/>
      <c r="T329" s="283"/>
      <c r="U329" s="283"/>
      <c r="V329" s="283"/>
      <c r="W329" s="283"/>
      <c r="X329" s="283"/>
      <c r="Y329" s="283"/>
      <c r="Z329" s="283"/>
      <c r="AA329" s="283"/>
      <c r="AB329" s="283"/>
      <c r="AC329" s="283"/>
      <c r="AD329" s="283"/>
      <c r="AE329" s="283"/>
      <c r="AF329" s="283"/>
      <c r="AG329" s="283"/>
      <c r="AH329" s="283"/>
      <c r="AI329" s="283"/>
      <c r="AJ329" s="283"/>
      <c r="AK329" s="283"/>
      <c r="AL329" s="283"/>
      <c r="AM329" s="283"/>
      <c r="AN329" s="283"/>
      <c r="AO329" s="283"/>
      <c r="AP329" s="283"/>
      <c r="AQ329" s="283"/>
      <c r="AR329" s="283"/>
      <c r="AS329" s="283"/>
      <c r="AT329" s="283"/>
      <c r="AU329" s="283"/>
      <c r="AV329" s="283"/>
      <c r="AW329" s="283"/>
      <c r="AX329" s="283"/>
      <c r="AY329" s="283"/>
      <c r="AZ329" s="283"/>
      <c r="BA329" s="283"/>
      <c r="BB329" s="283"/>
      <c r="BC329" s="283"/>
      <c r="BD329" s="283"/>
      <c r="BE329" s="283"/>
      <c r="BF329" s="283"/>
      <c r="BG329" s="283"/>
      <c r="BH329" s="283"/>
      <c r="BI329" s="283"/>
      <c r="BJ329" s="283"/>
      <c r="BK329" s="283"/>
      <c r="BL329" s="283"/>
      <c r="BM329" s="283"/>
      <c r="BN329" s="283"/>
      <c r="BO329" s="283"/>
      <c r="BP329" s="283"/>
      <c r="BQ329" s="283"/>
      <c r="BR329" s="283"/>
      <c r="BS329" s="283"/>
      <c r="BT329" s="283"/>
      <c r="BU329" s="283"/>
    </row>
    <row r="330" spans="1:73" s="297" customFormat="1" ht="15.75" customHeight="1" thickBot="1">
      <c r="A330" s="298"/>
      <c r="B330" s="298"/>
      <c r="C330" s="301"/>
      <c r="D330" s="301"/>
      <c r="E330" s="283"/>
      <c r="F330" s="703"/>
      <c r="G330" s="283"/>
      <c r="H330" s="283"/>
      <c r="I330" s="283"/>
      <c r="J330" s="283"/>
      <c r="K330" s="283"/>
      <c r="L330" s="283"/>
      <c r="M330" s="283"/>
      <c r="N330" s="283"/>
      <c r="O330" s="283"/>
      <c r="P330" s="283"/>
      <c r="Q330" s="283"/>
      <c r="R330" s="283"/>
      <c r="S330" s="283"/>
      <c r="T330" s="283"/>
      <c r="U330" s="283"/>
      <c r="V330" s="283"/>
      <c r="W330" s="283"/>
      <c r="X330" s="283"/>
      <c r="Y330" s="283"/>
      <c r="Z330" s="283"/>
      <c r="AA330" s="283"/>
      <c r="AB330" s="283"/>
      <c r="AC330" s="283"/>
      <c r="AD330" s="283"/>
      <c r="AE330" s="283"/>
      <c r="AF330" s="283"/>
      <c r="AG330" s="283"/>
      <c r="AH330" s="283"/>
      <c r="AI330" s="283"/>
      <c r="AJ330" s="283"/>
      <c r="AK330" s="283"/>
      <c r="AL330" s="283"/>
      <c r="AM330" s="283"/>
      <c r="AN330" s="283"/>
      <c r="AO330" s="283"/>
      <c r="AP330" s="283"/>
      <c r="AQ330" s="283"/>
      <c r="AR330" s="283"/>
      <c r="AS330" s="283"/>
      <c r="AT330" s="283"/>
      <c r="AU330" s="283"/>
      <c r="AV330" s="283"/>
      <c r="AW330" s="283"/>
      <c r="AX330" s="283"/>
      <c r="AY330" s="283"/>
      <c r="AZ330" s="283"/>
      <c r="BA330" s="283"/>
      <c r="BB330" s="283"/>
      <c r="BC330" s="283"/>
      <c r="BD330" s="283"/>
      <c r="BE330" s="283"/>
      <c r="BF330" s="283"/>
      <c r="BG330" s="283"/>
      <c r="BH330" s="283"/>
      <c r="BI330" s="283"/>
      <c r="BJ330" s="283"/>
      <c r="BK330" s="283"/>
      <c r="BL330" s="283"/>
      <c r="BM330" s="283"/>
      <c r="BN330" s="283"/>
      <c r="BO330" s="283"/>
      <c r="BP330" s="283"/>
      <c r="BQ330" s="283"/>
      <c r="BR330" s="283"/>
      <c r="BS330" s="283"/>
      <c r="BT330" s="283"/>
      <c r="BU330" s="283"/>
    </row>
    <row r="331" spans="1:73" s="297" customFormat="1" ht="15.75" customHeight="1" thickBot="1">
      <c r="A331" s="298"/>
      <c r="B331" s="298"/>
      <c r="C331" s="301"/>
      <c r="D331" s="301"/>
      <c r="E331" s="283"/>
      <c r="F331" s="703"/>
      <c r="G331" s="283"/>
      <c r="H331" s="283"/>
      <c r="I331" s="283"/>
      <c r="J331" s="283"/>
      <c r="K331" s="283"/>
      <c r="L331" s="283"/>
      <c r="M331" s="283"/>
      <c r="N331" s="283"/>
      <c r="O331" s="283"/>
      <c r="P331" s="283"/>
      <c r="Q331" s="283"/>
      <c r="R331" s="283"/>
      <c r="S331" s="283"/>
      <c r="T331" s="283"/>
      <c r="U331" s="283"/>
      <c r="V331" s="283"/>
      <c r="W331" s="283"/>
      <c r="X331" s="283"/>
      <c r="Y331" s="283"/>
      <c r="Z331" s="283"/>
      <c r="AA331" s="283"/>
      <c r="AB331" s="283"/>
      <c r="AC331" s="283"/>
      <c r="AD331" s="283"/>
      <c r="AE331" s="283"/>
      <c r="AF331" s="283"/>
      <c r="AG331" s="283"/>
      <c r="AH331" s="283"/>
      <c r="AI331" s="283"/>
      <c r="AJ331" s="283"/>
      <c r="AK331" s="283"/>
      <c r="AL331" s="283"/>
      <c r="AM331" s="283"/>
      <c r="AN331" s="283"/>
      <c r="AO331" s="283"/>
      <c r="AP331" s="283"/>
      <c r="AQ331" s="283"/>
      <c r="AR331" s="283"/>
      <c r="AS331" s="283"/>
      <c r="AT331" s="283"/>
      <c r="AU331" s="283"/>
      <c r="AV331" s="283"/>
      <c r="AW331" s="283"/>
      <c r="AX331" s="283"/>
      <c r="AY331" s="283"/>
      <c r="AZ331" s="283"/>
      <c r="BA331" s="283"/>
      <c r="BB331" s="283"/>
      <c r="BC331" s="283"/>
      <c r="BD331" s="283"/>
      <c r="BE331" s="283"/>
      <c r="BF331" s="283"/>
      <c r="BG331" s="283"/>
      <c r="BH331" s="283"/>
      <c r="BI331" s="283"/>
      <c r="BJ331" s="283"/>
      <c r="BK331" s="283"/>
      <c r="BL331" s="283"/>
      <c r="BM331" s="283"/>
      <c r="BN331" s="283"/>
      <c r="BO331" s="283"/>
      <c r="BP331" s="283"/>
      <c r="BQ331" s="283"/>
      <c r="BR331" s="283"/>
      <c r="BS331" s="283"/>
      <c r="BT331" s="283"/>
      <c r="BU331" s="283"/>
    </row>
    <row r="332" spans="1:73" s="297" customFormat="1" ht="15.75" customHeight="1" thickBot="1">
      <c r="A332" s="298"/>
      <c r="B332" s="298"/>
      <c r="C332" s="301"/>
      <c r="D332" s="301"/>
      <c r="E332" s="283"/>
      <c r="F332" s="703"/>
      <c r="G332" s="283"/>
      <c r="H332" s="283"/>
      <c r="I332" s="283"/>
      <c r="J332" s="283"/>
      <c r="K332" s="283"/>
      <c r="L332" s="283"/>
      <c r="M332" s="283"/>
      <c r="N332" s="283"/>
      <c r="O332" s="283"/>
      <c r="P332" s="283"/>
      <c r="Q332" s="283"/>
      <c r="R332" s="283"/>
      <c r="S332" s="283"/>
      <c r="T332" s="283"/>
      <c r="U332" s="283"/>
      <c r="V332" s="283"/>
      <c r="W332" s="283"/>
      <c r="X332" s="283"/>
      <c r="Y332" s="283"/>
      <c r="Z332" s="283"/>
      <c r="AA332" s="283"/>
      <c r="AB332" s="283"/>
      <c r="AC332" s="283"/>
      <c r="AD332" s="283"/>
      <c r="AE332" s="283"/>
      <c r="AF332" s="283"/>
      <c r="AG332" s="283"/>
      <c r="AH332" s="283"/>
      <c r="AI332" s="283"/>
      <c r="AJ332" s="283"/>
      <c r="AK332" s="283"/>
      <c r="AL332" s="283"/>
      <c r="AM332" s="283"/>
      <c r="AN332" s="283"/>
      <c r="AO332" s="283"/>
      <c r="AP332" s="283"/>
      <c r="AQ332" s="283"/>
      <c r="AR332" s="283"/>
      <c r="AS332" s="283"/>
      <c r="AT332" s="283"/>
      <c r="AU332" s="283"/>
      <c r="AV332" s="283"/>
      <c r="AW332" s="283"/>
      <c r="AX332" s="283"/>
      <c r="AY332" s="283"/>
      <c r="AZ332" s="283"/>
      <c r="BA332" s="283"/>
      <c r="BB332" s="283"/>
      <c r="BC332" s="283"/>
      <c r="BD332" s="283"/>
      <c r="BE332" s="283"/>
      <c r="BF332" s="283"/>
      <c r="BG332" s="283"/>
      <c r="BH332" s="283"/>
      <c r="BI332" s="283"/>
      <c r="BJ332" s="283"/>
      <c r="BK332" s="283"/>
      <c r="BL332" s="283"/>
      <c r="BM332" s="283"/>
      <c r="BN332" s="283"/>
      <c r="BO332" s="283"/>
      <c r="BP332" s="283"/>
      <c r="BQ332" s="283"/>
      <c r="BR332" s="283"/>
      <c r="BS332" s="283"/>
      <c r="BT332" s="283"/>
      <c r="BU332" s="283"/>
    </row>
    <row r="333" spans="1:73" s="297" customFormat="1" ht="15.75" customHeight="1" thickBot="1">
      <c r="A333" s="298"/>
      <c r="B333" s="298"/>
      <c r="C333" s="301"/>
      <c r="D333" s="301"/>
      <c r="E333" s="283"/>
      <c r="F333" s="703"/>
      <c r="G333" s="283"/>
      <c r="H333" s="283"/>
      <c r="I333" s="283"/>
      <c r="J333" s="283"/>
      <c r="K333" s="283"/>
      <c r="L333" s="283"/>
      <c r="M333" s="283"/>
      <c r="N333" s="283"/>
      <c r="O333" s="283"/>
      <c r="P333" s="283"/>
      <c r="Q333" s="283"/>
      <c r="R333" s="283"/>
      <c r="S333" s="283"/>
      <c r="T333" s="283"/>
      <c r="U333" s="283"/>
      <c r="V333" s="283"/>
      <c r="W333" s="283"/>
      <c r="X333" s="283"/>
      <c r="Y333" s="283"/>
      <c r="Z333" s="283"/>
      <c r="AA333" s="283"/>
      <c r="AB333" s="283"/>
      <c r="AC333" s="283"/>
      <c r="AD333" s="283"/>
      <c r="AE333" s="283"/>
      <c r="AF333" s="283"/>
      <c r="AG333" s="283"/>
      <c r="AH333" s="283"/>
      <c r="AI333" s="283"/>
      <c r="AJ333" s="283"/>
      <c r="AK333" s="283"/>
      <c r="AL333" s="283"/>
      <c r="AM333" s="283"/>
      <c r="AN333" s="283"/>
      <c r="AO333" s="283"/>
      <c r="AP333" s="283"/>
      <c r="AQ333" s="283"/>
      <c r="AR333" s="283"/>
      <c r="AS333" s="283"/>
      <c r="AT333" s="283"/>
      <c r="AU333" s="283"/>
      <c r="AV333" s="283"/>
      <c r="AW333" s="283"/>
      <c r="AX333" s="283"/>
      <c r="AY333" s="283"/>
      <c r="AZ333" s="283"/>
      <c r="BA333" s="283"/>
      <c r="BB333" s="283"/>
      <c r="BC333" s="283"/>
      <c r="BD333" s="283"/>
      <c r="BE333" s="283"/>
      <c r="BF333" s="283"/>
      <c r="BG333" s="283"/>
      <c r="BH333" s="283"/>
      <c r="BI333" s="283"/>
      <c r="BJ333" s="283"/>
      <c r="BK333" s="283"/>
      <c r="BL333" s="283"/>
      <c r="BM333" s="283"/>
      <c r="BN333" s="283"/>
      <c r="BO333" s="283"/>
      <c r="BP333" s="283"/>
      <c r="BQ333" s="283"/>
      <c r="BR333" s="283"/>
      <c r="BS333" s="283"/>
      <c r="BT333" s="283"/>
      <c r="BU333" s="283"/>
    </row>
    <row r="334" spans="1:73" s="297" customFormat="1" ht="15.75" customHeight="1" thickBot="1">
      <c r="A334" s="298"/>
      <c r="B334" s="298"/>
      <c r="C334" s="301"/>
      <c r="D334" s="301"/>
      <c r="E334" s="283"/>
      <c r="F334" s="703"/>
      <c r="G334" s="283"/>
      <c r="H334" s="283"/>
      <c r="I334" s="283"/>
      <c r="J334" s="283"/>
      <c r="K334" s="283"/>
      <c r="L334" s="283"/>
      <c r="M334" s="283"/>
      <c r="N334" s="283"/>
      <c r="O334" s="283"/>
      <c r="P334" s="283"/>
      <c r="Q334" s="283"/>
      <c r="R334" s="283"/>
      <c r="S334" s="283"/>
      <c r="T334" s="283"/>
      <c r="U334" s="283"/>
      <c r="V334" s="283"/>
      <c r="W334" s="283"/>
      <c r="X334" s="283"/>
      <c r="Y334" s="283"/>
      <c r="Z334" s="283"/>
      <c r="AA334" s="283"/>
      <c r="AB334" s="283"/>
      <c r="AC334" s="283"/>
      <c r="AD334" s="283"/>
      <c r="AE334" s="283"/>
      <c r="AF334" s="283"/>
      <c r="AG334" s="283"/>
      <c r="AH334" s="283"/>
      <c r="AI334" s="283"/>
      <c r="AJ334" s="283"/>
      <c r="AK334" s="283"/>
      <c r="AL334" s="283"/>
      <c r="AM334" s="283"/>
      <c r="AN334" s="283"/>
      <c r="AO334" s="283"/>
      <c r="AP334" s="283"/>
      <c r="AQ334" s="283"/>
      <c r="AR334" s="283"/>
      <c r="AS334" s="283"/>
      <c r="AT334" s="283"/>
      <c r="AU334" s="283"/>
      <c r="AV334" s="283"/>
      <c r="AW334" s="283"/>
      <c r="AX334" s="283"/>
      <c r="AY334" s="283"/>
      <c r="AZ334" s="283"/>
      <c r="BA334" s="283"/>
      <c r="BB334" s="283"/>
      <c r="BC334" s="283"/>
      <c r="BD334" s="283"/>
      <c r="BE334" s="283"/>
      <c r="BF334" s="283"/>
      <c r="BG334" s="283"/>
      <c r="BH334" s="283"/>
      <c r="BI334" s="283"/>
      <c r="BJ334" s="283"/>
      <c r="BK334" s="283"/>
      <c r="BL334" s="283"/>
      <c r="BM334" s="283"/>
      <c r="BN334" s="283"/>
      <c r="BO334" s="283"/>
      <c r="BP334" s="283"/>
      <c r="BQ334" s="283"/>
      <c r="BR334" s="283"/>
      <c r="BS334" s="283"/>
      <c r="BT334" s="283"/>
      <c r="BU334" s="283"/>
    </row>
    <row r="335" spans="1:73" s="297" customFormat="1" ht="15.75" customHeight="1" thickBot="1">
      <c r="A335" s="298"/>
      <c r="B335" s="298"/>
      <c r="C335" s="301"/>
      <c r="D335" s="301"/>
      <c r="E335" s="283"/>
      <c r="F335" s="703"/>
      <c r="G335" s="283"/>
      <c r="H335" s="283"/>
      <c r="I335" s="283"/>
      <c r="J335" s="283"/>
      <c r="K335" s="283"/>
      <c r="L335" s="283"/>
      <c r="M335" s="283"/>
      <c r="N335" s="283"/>
      <c r="O335" s="283"/>
      <c r="P335" s="283"/>
      <c r="Q335" s="283"/>
      <c r="R335" s="283"/>
      <c r="S335" s="283"/>
      <c r="T335" s="283"/>
      <c r="U335" s="283"/>
      <c r="V335" s="283"/>
      <c r="W335" s="283"/>
      <c r="X335" s="283"/>
      <c r="Y335" s="283"/>
      <c r="Z335" s="283"/>
      <c r="AA335" s="283"/>
      <c r="AB335" s="283"/>
      <c r="AC335" s="283"/>
      <c r="AD335" s="283"/>
      <c r="AE335" s="283"/>
      <c r="AF335" s="283"/>
      <c r="AG335" s="283"/>
      <c r="AH335" s="283"/>
      <c r="AI335" s="283"/>
      <c r="AJ335" s="283"/>
      <c r="AK335" s="283"/>
      <c r="AL335" s="283"/>
      <c r="AM335" s="283"/>
      <c r="AN335" s="283"/>
      <c r="AO335" s="283"/>
      <c r="AP335" s="283"/>
      <c r="AQ335" s="283"/>
      <c r="AR335" s="283"/>
      <c r="AS335" s="283"/>
      <c r="AT335" s="283"/>
      <c r="AU335" s="283"/>
      <c r="AV335" s="283"/>
      <c r="AW335" s="283"/>
      <c r="AX335" s="283"/>
      <c r="AY335" s="283"/>
      <c r="AZ335" s="283"/>
      <c r="BA335" s="283"/>
      <c r="BB335" s="283"/>
      <c r="BC335" s="283"/>
      <c r="BD335" s="283"/>
      <c r="BE335" s="283"/>
      <c r="BF335" s="283"/>
      <c r="BG335" s="283"/>
      <c r="BH335" s="283"/>
      <c r="BI335" s="283"/>
      <c r="BJ335" s="283"/>
      <c r="BK335" s="283"/>
      <c r="BL335" s="283"/>
      <c r="BM335" s="283"/>
      <c r="BN335" s="283"/>
      <c r="BO335" s="283"/>
      <c r="BP335" s="283"/>
      <c r="BQ335" s="283"/>
      <c r="BR335" s="283"/>
      <c r="BS335" s="283"/>
      <c r="BT335" s="283"/>
      <c r="BU335" s="283"/>
    </row>
    <row r="336" spans="1:73" s="297" customFormat="1" ht="15.75" customHeight="1" thickBot="1">
      <c r="A336" s="298"/>
      <c r="B336" s="298"/>
      <c r="C336" s="301"/>
      <c r="D336" s="301"/>
      <c r="E336" s="283"/>
      <c r="F336" s="703"/>
      <c r="G336" s="283"/>
      <c r="H336" s="283"/>
      <c r="I336" s="283"/>
      <c r="J336" s="283"/>
      <c r="K336" s="283"/>
      <c r="L336" s="283"/>
      <c r="M336" s="283"/>
      <c r="N336" s="283"/>
      <c r="O336" s="283"/>
      <c r="P336" s="283"/>
      <c r="Q336" s="283"/>
      <c r="R336" s="283"/>
      <c r="S336" s="283"/>
      <c r="T336" s="283"/>
      <c r="U336" s="283"/>
      <c r="V336" s="283"/>
      <c r="W336" s="283"/>
      <c r="X336" s="283"/>
      <c r="Y336" s="283"/>
      <c r="Z336" s="283"/>
      <c r="AA336" s="283"/>
      <c r="AB336" s="283"/>
      <c r="AC336" s="283"/>
      <c r="AD336" s="283"/>
      <c r="AE336" s="283"/>
      <c r="AF336" s="283"/>
      <c r="AG336" s="283"/>
      <c r="AH336" s="283"/>
      <c r="AI336" s="283"/>
      <c r="AJ336" s="283"/>
      <c r="AK336" s="283"/>
      <c r="AL336" s="283"/>
      <c r="AM336" s="283"/>
      <c r="AN336" s="283"/>
      <c r="AO336" s="283"/>
      <c r="AP336" s="283"/>
      <c r="AQ336" s="283"/>
      <c r="AR336" s="283"/>
      <c r="AS336" s="283"/>
      <c r="AT336" s="283"/>
      <c r="AU336" s="283"/>
      <c r="AV336" s="283"/>
      <c r="AW336" s="283"/>
      <c r="AX336" s="283"/>
      <c r="AY336" s="283"/>
      <c r="AZ336" s="283"/>
      <c r="BA336" s="283"/>
      <c r="BB336" s="283"/>
      <c r="BC336" s="283"/>
      <c r="BD336" s="283"/>
      <c r="BE336" s="283"/>
      <c r="BF336" s="283"/>
      <c r="BG336" s="283"/>
      <c r="BH336" s="283"/>
      <c r="BI336" s="283"/>
      <c r="BJ336" s="283"/>
      <c r="BK336" s="283"/>
      <c r="BL336" s="283"/>
      <c r="BM336" s="283"/>
      <c r="BN336" s="283"/>
      <c r="BO336" s="283"/>
      <c r="BP336" s="283"/>
      <c r="BQ336" s="283"/>
      <c r="BR336" s="283"/>
      <c r="BS336" s="283"/>
      <c r="BT336" s="283"/>
      <c r="BU336" s="283"/>
    </row>
    <row r="337" spans="1:73" s="297" customFormat="1" ht="15.75" customHeight="1" thickBot="1">
      <c r="A337" s="298"/>
      <c r="B337" s="298"/>
      <c r="C337" s="301"/>
      <c r="D337" s="301"/>
      <c r="E337" s="283"/>
      <c r="F337" s="703"/>
      <c r="G337" s="283"/>
      <c r="H337" s="283"/>
      <c r="I337" s="283"/>
      <c r="J337" s="283"/>
      <c r="K337" s="283"/>
      <c r="L337" s="283"/>
      <c r="M337" s="283"/>
      <c r="N337" s="283"/>
      <c r="O337" s="283"/>
      <c r="P337" s="283"/>
      <c r="Q337" s="283"/>
      <c r="R337" s="283"/>
      <c r="S337" s="283"/>
      <c r="T337" s="283"/>
      <c r="U337" s="283"/>
      <c r="V337" s="283"/>
      <c r="W337" s="283"/>
      <c r="X337" s="283"/>
      <c r="Y337" s="283"/>
      <c r="Z337" s="283"/>
      <c r="AA337" s="283"/>
      <c r="AB337" s="283"/>
      <c r="AC337" s="283"/>
      <c r="AD337" s="283"/>
      <c r="AE337" s="283"/>
      <c r="AF337" s="283"/>
      <c r="AG337" s="283"/>
      <c r="AH337" s="283"/>
      <c r="AI337" s="283"/>
      <c r="AJ337" s="283"/>
      <c r="AK337" s="283"/>
      <c r="AL337" s="283"/>
      <c r="AM337" s="283"/>
      <c r="AN337" s="283"/>
      <c r="AO337" s="283"/>
      <c r="AP337" s="283"/>
      <c r="AQ337" s="283"/>
      <c r="AR337" s="283"/>
      <c r="AS337" s="283"/>
      <c r="AT337" s="283"/>
      <c r="AU337" s="283"/>
      <c r="AV337" s="283"/>
      <c r="AW337" s="283"/>
      <c r="AX337" s="283"/>
      <c r="AY337" s="283"/>
      <c r="AZ337" s="283"/>
      <c r="BA337" s="283"/>
      <c r="BB337" s="283"/>
      <c r="BC337" s="283"/>
      <c r="BD337" s="283"/>
      <c r="BE337" s="283"/>
      <c r="BF337" s="283"/>
      <c r="BG337" s="283"/>
      <c r="BH337" s="283"/>
      <c r="BI337" s="283"/>
      <c r="BJ337" s="283"/>
      <c r="BK337" s="283"/>
      <c r="BL337" s="283"/>
      <c r="BM337" s="283"/>
      <c r="BN337" s="283"/>
      <c r="BO337" s="283"/>
      <c r="BP337" s="283"/>
      <c r="BQ337" s="283"/>
      <c r="BR337" s="283"/>
      <c r="BS337" s="283"/>
      <c r="BT337" s="283"/>
      <c r="BU337" s="283"/>
    </row>
    <row r="338" spans="1:73" s="297" customFormat="1" ht="15.75" customHeight="1" thickBot="1">
      <c r="A338" s="298"/>
      <c r="B338" s="298"/>
      <c r="C338" s="301"/>
      <c r="D338" s="301"/>
      <c r="E338" s="283"/>
      <c r="F338" s="703"/>
      <c r="G338" s="283"/>
      <c r="H338" s="283"/>
      <c r="I338" s="283"/>
      <c r="J338" s="283"/>
      <c r="K338" s="283"/>
      <c r="L338" s="283"/>
      <c r="M338" s="283"/>
      <c r="N338" s="283"/>
      <c r="O338" s="283"/>
      <c r="P338" s="283"/>
      <c r="Q338" s="283"/>
      <c r="R338" s="283"/>
      <c r="S338" s="283"/>
      <c r="T338" s="283"/>
      <c r="U338" s="283"/>
      <c r="V338" s="283"/>
      <c r="W338" s="283"/>
      <c r="X338" s="283"/>
      <c r="Y338" s="283"/>
      <c r="Z338" s="283"/>
      <c r="AA338" s="283"/>
      <c r="AB338" s="283"/>
      <c r="AC338" s="283"/>
      <c r="AD338" s="283"/>
      <c r="AE338" s="283"/>
      <c r="AF338" s="283"/>
      <c r="AG338" s="283"/>
      <c r="AH338" s="283"/>
      <c r="AI338" s="283"/>
      <c r="AJ338" s="283"/>
      <c r="AK338" s="283"/>
      <c r="AL338" s="283"/>
      <c r="AM338" s="283"/>
      <c r="AN338" s="283"/>
      <c r="AO338" s="283"/>
      <c r="AP338" s="283"/>
      <c r="AQ338" s="283"/>
      <c r="AR338" s="283"/>
      <c r="AS338" s="283"/>
      <c r="AT338" s="283"/>
      <c r="AU338" s="283"/>
      <c r="AV338" s="283"/>
      <c r="AW338" s="283"/>
      <c r="AX338" s="283"/>
      <c r="AY338" s="283"/>
      <c r="AZ338" s="283"/>
      <c r="BA338" s="283"/>
      <c r="BB338" s="283"/>
      <c r="BC338" s="283"/>
      <c r="BD338" s="283"/>
      <c r="BE338" s="283"/>
      <c r="BF338" s="283"/>
      <c r="BG338" s="283"/>
      <c r="BH338" s="283"/>
      <c r="BI338" s="283"/>
      <c r="BJ338" s="283"/>
      <c r="BK338" s="283"/>
      <c r="BL338" s="283"/>
      <c r="BM338" s="283"/>
      <c r="BN338" s="283"/>
      <c r="BO338" s="283"/>
      <c r="BP338" s="283"/>
      <c r="BQ338" s="283"/>
      <c r="BR338" s="283"/>
      <c r="BS338" s="283"/>
      <c r="BT338" s="283"/>
      <c r="BU338" s="283"/>
    </row>
    <row r="339" spans="1:73" s="297" customFormat="1" ht="15.75" customHeight="1" thickBot="1">
      <c r="A339" s="298"/>
      <c r="B339" s="298"/>
      <c r="C339" s="301"/>
      <c r="D339" s="301"/>
      <c r="E339" s="283"/>
      <c r="F339" s="703"/>
      <c r="G339" s="283"/>
      <c r="H339" s="283"/>
      <c r="I339" s="283"/>
      <c r="J339" s="283"/>
      <c r="K339" s="283"/>
      <c r="L339" s="283"/>
      <c r="M339" s="283"/>
      <c r="N339" s="283"/>
      <c r="O339" s="283"/>
      <c r="P339" s="283"/>
      <c r="Q339" s="283"/>
      <c r="R339" s="283"/>
      <c r="S339" s="283"/>
      <c r="T339" s="283"/>
      <c r="U339" s="283"/>
      <c r="V339" s="283"/>
      <c r="W339" s="283"/>
      <c r="X339" s="283"/>
      <c r="Y339" s="283"/>
      <c r="Z339" s="283"/>
      <c r="AA339" s="283"/>
      <c r="AB339" s="283"/>
      <c r="AC339" s="283"/>
      <c r="AD339" s="283"/>
      <c r="AE339" s="283"/>
      <c r="AF339" s="283"/>
      <c r="AG339" s="283"/>
      <c r="AH339" s="283"/>
      <c r="AI339" s="283"/>
      <c r="AJ339" s="283"/>
      <c r="AK339" s="283"/>
      <c r="AL339" s="283"/>
      <c r="AM339" s="283"/>
      <c r="AN339" s="283"/>
      <c r="AO339" s="283"/>
      <c r="AP339" s="283"/>
      <c r="AQ339" s="283"/>
      <c r="AR339" s="283"/>
      <c r="AS339" s="283"/>
      <c r="AT339" s="283"/>
      <c r="AU339" s="283"/>
      <c r="AV339" s="283"/>
      <c r="AW339" s="283"/>
      <c r="AX339" s="283"/>
      <c r="AY339" s="283"/>
      <c r="AZ339" s="283"/>
      <c r="BA339" s="283"/>
      <c r="BB339" s="283"/>
      <c r="BC339" s="283"/>
      <c r="BD339" s="283"/>
      <c r="BE339" s="283"/>
      <c r="BF339" s="283"/>
      <c r="BG339" s="283"/>
      <c r="BH339" s="283"/>
      <c r="BI339" s="283"/>
      <c r="BJ339" s="283"/>
      <c r="BK339" s="283"/>
      <c r="BL339" s="283"/>
      <c r="BM339" s="283"/>
      <c r="BN339" s="283"/>
      <c r="BO339" s="283"/>
      <c r="BP339" s="283"/>
      <c r="BQ339" s="283"/>
      <c r="BR339" s="283"/>
      <c r="BS339" s="283"/>
      <c r="BT339" s="283"/>
      <c r="BU339" s="283"/>
    </row>
    <row r="340" spans="1:73" s="297" customFormat="1" ht="15.75" customHeight="1" thickBot="1">
      <c r="A340" s="298"/>
      <c r="B340" s="298"/>
      <c r="C340" s="301"/>
      <c r="D340" s="301"/>
      <c r="E340" s="283"/>
      <c r="F340" s="703"/>
      <c r="G340" s="283"/>
      <c r="H340" s="283"/>
      <c r="I340" s="283"/>
      <c r="J340" s="283"/>
      <c r="K340" s="283"/>
      <c r="L340" s="283"/>
      <c r="M340" s="283"/>
      <c r="N340" s="283"/>
      <c r="O340" s="283"/>
      <c r="P340" s="283"/>
      <c r="Q340" s="283"/>
      <c r="R340" s="283"/>
      <c r="S340" s="283"/>
      <c r="T340" s="283"/>
      <c r="U340" s="283"/>
      <c r="V340" s="283"/>
      <c r="W340" s="283"/>
      <c r="X340" s="283"/>
      <c r="Y340" s="283"/>
      <c r="Z340" s="283"/>
      <c r="AA340" s="283"/>
      <c r="AB340" s="283"/>
      <c r="AC340" s="283"/>
      <c r="AD340" s="283"/>
      <c r="AE340" s="283"/>
      <c r="AF340" s="283"/>
      <c r="AG340" s="283"/>
      <c r="AH340" s="283"/>
      <c r="AI340" s="283"/>
      <c r="AJ340" s="283"/>
      <c r="AK340" s="283"/>
      <c r="AL340" s="283"/>
      <c r="AM340" s="283"/>
      <c r="AN340" s="283"/>
      <c r="AO340" s="283"/>
      <c r="AP340" s="283"/>
      <c r="AQ340" s="283"/>
      <c r="AR340" s="283"/>
      <c r="AS340" s="283"/>
      <c r="AT340" s="283"/>
      <c r="AU340" s="283"/>
      <c r="AV340" s="283"/>
      <c r="AW340" s="283"/>
      <c r="AX340" s="283"/>
      <c r="AY340" s="283"/>
      <c r="AZ340" s="283"/>
      <c r="BA340" s="283"/>
      <c r="BB340" s="283"/>
      <c r="BC340" s="283"/>
      <c r="BD340" s="283"/>
      <c r="BE340" s="283"/>
      <c r="BF340" s="283"/>
      <c r="BG340" s="283"/>
      <c r="BH340" s="283"/>
      <c r="BI340" s="283"/>
      <c r="BJ340" s="283"/>
      <c r="BK340" s="283"/>
      <c r="BL340" s="283"/>
      <c r="BM340" s="283"/>
      <c r="BN340" s="283"/>
      <c r="BO340" s="283"/>
      <c r="BP340" s="283"/>
      <c r="BQ340" s="283"/>
      <c r="BR340" s="283"/>
      <c r="BS340" s="283"/>
      <c r="BT340" s="283"/>
      <c r="BU340" s="283"/>
    </row>
    <row r="341" spans="1:73" s="559" customFormat="1" ht="15.75" customHeight="1" thickBot="1">
      <c r="A341" s="557"/>
      <c r="B341" s="557"/>
      <c r="C341" s="558"/>
      <c r="D341" s="558"/>
      <c r="E341" s="134"/>
      <c r="F341" s="712"/>
      <c r="G341" s="283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  <c r="AA341" s="134"/>
      <c r="AB341" s="134"/>
      <c r="AC341" s="134"/>
      <c r="AD341" s="134"/>
      <c r="AE341" s="134"/>
      <c r="AF341" s="134"/>
      <c r="AG341" s="134"/>
      <c r="AH341" s="134"/>
      <c r="AI341" s="134"/>
      <c r="AJ341" s="134"/>
      <c r="AK341" s="134"/>
      <c r="AL341" s="134"/>
      <c r="AM341" s="134"/>
      <c r="AN341" s="134"/>
      <c r="AO341" s="134"/>
      <c r="AP341" s="134"/>
      <c r="AQ341" s="134"/>
      <c r="AR341" s="134"/>
      <c r="AS341" s="134"/>
      <c r="AT341" s="134"/>
      <c r="AU341" s="134"/>
      <c r="AV341" s="134"/>
      <c r="AW341" s="134"/>
      <c r="AX341" s="134"/>
      <c r="AY341" s="134"/>
      <c r="AZ341" s="134"/>
      <c r="BA341" s="134"/>
      <c r="BB341" s="134"/>
      <c r="BC341" s="134"/>
      <c r="BD341" s="134"/>
      <c r="BE341" s="134"/>
      <c r="BF341" s="134"/>
      <c r="BG341" s="134"/>
      <c r="BH341" s="134"/>
      <c r="BI341" s="134"/>
      <c r="BJ341" s="134"/>
      <c r="BK341" s="134"/>
      <c r="BL341" s="134"/>
      <c r="BM341" s="134"/>
      <c r="BN341" s="134"/>
      <c r="BO341" s="134"/>
      <c r="BP341" s="134"/>
      <c r="BQ341" s="134"/>
      <c r="BR341" s="134"/>
      <c r="BS341" s="134"/>
      <c r="BT341" s="134"/>
      <c r="BU341" s="134"/>
    </row>
    <row r="342" spans="1:73" s="559" customFormat="1" ht="15.75" customHeight="1" thickBot="1">
      <c r="A342" s="557"/>
      <c r="B342" s="557"/>
      <c r="C342" s="558"/>
      <c r="D342" s="558"/>
      <c r="E342" s="134"/>
      <c r="F342" s="712"/>
      <c r="G342" s="283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  <c r="AA342" s="134"/>
      <c r="AB342" s="134"/>
      <c r="AC342" s="134"/>
      <c r="AD342" s="134"/>
      <c r="AE342" s="134"/>
      <c r="AF342" s="134"/>
      <c r="AG342" s="134"/>
      <c r="AH342" s="134"/>
      <c r="AI342" s="134"/>
      <c r="AJ342" s="134"/>
      <c r="AK342" s="134"/>
      <c r="AL342" s="134"/>
      <c r="AM342" s="134"/>
      <c r="AN342" s="134"/>
      <c r="AO342" s="134"/>
      <c r="AP342" s="134"/>
      <c r="AQ342" s="134"/>
      <c r="AR342" s="134"/>
      <c r="AS342" s="134"/>
      <c r="AT342" s="134"/>
      <c r="AU342" s="134"/>
      <c r="AV342" s="134"/>
      <c r="AW342" s="134"/>
      <c r="AX342" s="134"/>
      <c r="AY342" s="134"/>
      <c r="AZ342" s="134"/>
      <c r="BA342" s="134"/>
      <c r="BB342" s="134"/>
      <c r="BC342" s="134"/>
      <c r="BD342" s="134"/>
      <c r="BE342" s="134"/>
      <c r="BF342" s="134"/>
      <c r="BG342" s="134"/>
      <c r="BH342" s="134"/>
      <c r="BI342" s="134"/>
      <c r="BJ342" s="134"/>
      <c r="BK342" s="134"/>
      <c r="BL342" s="134"/>
      <c r="BM342" s="134"/>
      <c r="BN342" s="134"/>
      <c r="BO342" s="134"/>
      <c r="BP342" s="134"/>
      <c r="BQ342" s="134"/>
      <c r="BR342" s="134"/>
      <c r="BS342" s="134"/>
      <c r="BT342" s="134"/>
      <c r="BU342" s="134"/>
    </row>
    <row r="343" spans="1:73" s="559" customFormat="1" ht="15.75" customHeight="1" thickBot="1">
      <c r="A343" s="557"/>
      <c r="B343" s="557"/>
      <c r="C343" s="558"/>
      <c r="D343" s="558"/>
      <c r="E343" s="134"/>
      <c r="F343" s="712"/>
      <c r="G343" s="283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  <c r="AA343" s="134"/>
      <c r="AB343" s="134"/>
      <c r="AC343" s="134"/>
      <c r="AD343" s="134"/>
      <c r="AE343" s="134"/>
      <c r="AF343" s="134"/>
      <c r="AG343" s="134"/>
      <c r="AH343" s="134"/>
      <c r="AI343" s="134"/>
      <c r="AJ343" s="134"/>
      <c r="AK343" s="134"/>
      <c r="AL343" s="134"/>
      <c r="AM343" s="134"/>
      <c r="AN343" s="134"/>
      <c r="AO343" s="134"/>
      <c r="AP343" s="134"/>
      <c r="AQ343" s="134"/>
      <c r="AR343" s="134"/>
      <c r="AS343" s="134"/>
      <c r="AT343" s="134"/>
      <c r="AU343" s="134"/>
      <c r="AV343" s="134"/>
      <c r="AW343" s="134"/>
      <c r="AX343" s="134"/>
      <c r="AY343" s="134"/>
      <c r="AZ343" s="134"/>
      <c r="BA343" s="134"/>
      <c r="BB343" s="134"/>
      <c r="BC343" s="134"/>
      <c r="BD343" s="134"/>
      <c r="BE343" s="134"/>
      <c r="BF343" s="134"/>
      <c r="BG343" s="134"/>
      <c r="BH343" s="134"/>
      <c r="BI343" s="134"/>
      <c r="BJ343" s="134"/>
      <c r="BK343" s="134"/>
      <c r="BL343" s="134"/>
      <c r="BM343" s="134"/>
      <c r="BN343" s="134"/>
      <c r="BO343" s="134"/>
      <c r="BP343" s="134"/>
      <c r="BQ343" s="134"/>
      <c r="BR343" s="134"/>
      <c r="BS343" s="134"/>
      <c r="BT343" s="134"/>
      <c r="BU343" s="134"/>
    </row>
    <row r="344" spans="1:73" s="559" customFormat="1" ht="15.75" customHeight="1" thickBot="1">
      <c r="A344" s="557"/>
      <c r="B344" s="557"/>
      <c r="C344" s="558"/>
      <c r="D344" s="558"/>
      <c r="E344" s="134"/>
      <c r="F344" s="712"/>
      <c r="G344" s="283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  <c r="AA344" s="134"/>
      <c r="AB344" s="134"/>
      <c r="AC344" s="134"/>
      <c r="AD344" s="134"/>
      <c r="AE344" s="134"/>
      <c r="AF344" s="134"/>
      <c r="AG344" s="134"/>
      <c r="AH344" s="134"/>
      <c r="AI344" s="134"/>
      <c r="AJ344" s="134"/>
      <c r="AK344" s="134"/>
      <c r="AL344" s="134"/>
      <c r="AM344" s="134"/>
      <c r="AN344" s="134"/>
      <c r="AO344" s="134"/>
      <c r="AP344" s="134"/>
      <c r="AQ344" s="134"/>
      <c r="AR344" s="134"/>
      <c r="AS344" s="134"/>
      <c r="AT344" s="134"/>
      <c r="AU344" s="134"/>
      <c r="AV344" s="134"/>
      <c r="AW344" s="134"/>
      <c r="AX344" s="134"/>
      <c r="AY344" s="134"/>
      <c r="AZ344" s="134"/>
      <c r="BA344" s="134"/>
      <c r="BB344" s="134"/>
      <c r="BC344" s="134"/>
      <c r="BD344" s="134"/>
      <c r="BE344" s="134"/>
      <c r="BF344" s="134"/>
      <c r="BG344" s="134"/>
      <c r="BH344" s="134"/>
      <c r="BI344" s="134"/>
      <c r="BJ344" s="134"/>
      <c r="BK344" s="134"/>
      <c r="BL344" s="134"/>
      <c r="BM344" s="134"/>
      <c r="BN344" s="134"/>
      <c r="BO344" s="134"/>
      <c r="BP344" s="134"/>
      <c r="BQ344" s="134"/>
      <c r="BR344" s="134"/>
      <c r="BS344" s="134"/>
      <c r="BT344" s="134"/>
      <c r="BU344" s="134"/>
    </row>
    <row r="345" spans="1:73" s="559" customFormat="1" ht="15.75" customHeight="1" thickBot="1">
      <c r="A345" s="557"/>
      <c r="B345" s="557"/>
      <c r="C345" s="558"/>
      <c r="D345" s="558"/>
      <c r="E345" s="134"/>
      <c r="F345" s="712"/>
      <c r="G345" s="283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  <c r="AA345" s="134"/>
      <c r="AB345" s="134"/>
      <c r="AC345" s="134"/>
      <c r="AD345" s="134"/>
      <c r="AE345" s="134"/>
      <c r="AF345" s="134"/>
      <c r="AG345" s="134"/>
      <c r="AH345" s="134"/>
      <c r="AI345" s="134"/>
      <c r="AJ345" s="134"/>
      <c r="AK345" s="134"/>
      <c r="AL345" s="134"/>
      <c r="AM345" s="134"/>
      <c r="AN345" s="134"/>
      <c r="AO345" s="134"/>
      <c r="AP345" s="134"/>
      <c r="AQ345" s="134"/>
      <c r="AR345" s="134"/>
      <c r="AS345" s="134"/>
      <c r="AT345" s="134"/>
      <c r="AU345" s="134"/>
      <c r="AV345" s="134"/>
      <c r="AW345" s="134"/>
      <c r="AX345" s="134"/>
      <c r="AY345" s="134"/>
      <c r="AZ345" s="134"/>
      <c r="BA345" s="134"/>
      <c r="BB345" s="134"/>
      <c r="BC345" s="134"/>
      <c r="BD345" s="134"/>
      <c r="BE345" s="134"/>
      <c r="BF345" s="134"/>
      <c r="BG345" s="134"/>
      <c r="BH345" s="134"/>
      <c r="BI345" s="134"/>
      <c r="BJ345" s="134"/>
      <c r="BK345" s="134"/>
      <c r="BL345" s="134"/>
      <c r="BM345" s="134"/>
      <c r="BN345" s="134"/>
      <c r="BO345" s="134"/>
      <c r="BP345" s="134"/>
      <c r="BQ345" s="134"/>
      <c r="BR345" s="134"/>
      <c r="BS345" s="134"/>
      <c r="BT345" s="134"/>
      <c r="BU345" s="134"/>
    </row>
    <row r="346" spans="1:73" s="559" customFormat="1" ht="15.75" customHeight="1" thickBot="1">
      <c r="A346" s="557"/>
      <c r="B346" s="557"/>
      <c r="C346" s="558"/>
      <c r="D346" s="558"/>
      <c r="E346" s="134"/>
      <c r="F346" s="712"/>
      <c r="G346" s="283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  <c r="AA346" s="134"/>
      <c r="AB346" s="134"/>
      <c r="AC346" s="134"/>
      <c r="AD346" s="134"/>
      <c r="AE346" s="134"/>
      <c r="AF346" s="134"/>
      <c r="AG346" s="134"/>
      <c r="AH346" s="134"/>
      <c r="AI346" s="134"/>
      <c r="AJ346" s="134"/>
      <c r="AK346" s="134"/>
      <c r="AL346" s="134"/>
      <c r="AM346" s="134"/>
      <c r="AN346" s="134"/>
      <c r="AO346" s="134"/>
      <c r="AP346" s="134"/>
      <c r="AQ346" s="134"/>
      <c r="AR346" s="134"/>
      <c r="AS346" s="134"/>
      <c r="AT346" s="134"/>
      <c r="AU346" s="134"/>
      <c r="AV346" s="134"/>
      <c r="AW346" s="134"/>
      <c r="AX346" s="134"/>
      <c r="AY346" s="134"/>
      <c r="AZ346" s="134"/>
      <c r="BA346" s="134"/>
      <c r="BB346" s="134"/>
      <c r="BC346" s="134"/>
      <c r="BD346" s="134"/>
      <c r="BE346" s="134"/>
      <c r="BF346" s="134"/>
      <c r="BG346" s="134"/>
      <c r="BH346" s="134"/>
      <c r="BI346" s="134"/>
      <c r="BJ346" s="134"/>
      <c r="BK346" s="134"/>
      <c r="BL346" s="134"/>
      <c r="BM346" s="134"/>
      <c r="BN346" s="134"/>
      <c r="BO346" s="134"/>
      <c r="BP346" s="134"/>
      <c r="BQ346" s="134"/>
      <c r="BR346" s="134"/>
      <c r="BS346" s="134"/>
      <c r="BT346" s="134"/>
      <c r="BU346" s="134"/>
    </row>
    <row r="347" spans="1:73" s="559" customFormat="1" ht="15.75" customHeight="1" thickBot="1">
      <c r="A347" s="557"/>
      <c r="B347" s="557"/>
      <c r="C347" s="558"/>
      <c r="D347" s="558"/>
      <c r="F347" s="713"/>
      <c r="G347" s="297"/>
    </row>
    <row r="348" spans="1:73" s="559" customFormat="1" ht="15.75" customHeight="1" thickBot="1">
      <c r="A348" s="557"/>
      <c r="B348" s="557"/>
      <c r="C348" s="558"/>
      <c r="D348" s="558"/>
      <c r="F348" s="713"/>
      <c r="G348" s="297"/>
    </row>
    <row r="349" spans="1:73" s="559" customFormat="1" ht="15.75" customHeight="1" thickBot="1">
      <c r="A349" s="557"/>
      <c r="B349" s="557"/>
      <c r="C349" s="558"/>
      <c r="D349" s="558"/>
      <c r="F349" s="713"/>
      <c r="G349" s="297"/>
    </row>
    <row r="350" spans="1:73" s="559" customFormat="1" ht="15.75" customHeight="1" thickBot="1">
      <c r="A350" s="557"/>
      <c r="B350" s="557"/>
      <c r="C350" s="558"/>
      <c r="D350" s="558"/>
      <c r="F350" s="713"/>
      <c r="G350" s="297"/>
    </row>
    <row r="351" spans="1:73" s="559" customFormat="1" ht="15.75" customHeight="1" thickBot="1">
      <c r="A351" s="557"/>
      <c r="B351" s="557"/>
      <c r="C351" s="558"/>
      <c r="D351" s="558"/>
      <c r="F351" s="713"/>
      <c r="G351" s="297"/>
    </row>
    <row r="352" spans="1:73" s="559" customFormat="1" ht="15.75" customHeight="1" thickBot="1">
      <c r="A352" s="557"/>
      <c r="B352" s="557"/>
      <c r="C352" s="558"/>
      <c r="D352" s="558"/>
      <c r="F352" s="713"/>
      <c r="G352" s="297"/>
    </row>
    <row r="353" spans="1:7" s="559" customFormat="1" ht="15.75" customHeight="1" thickBot="1">
      <c r="A353" s="557"/>
      <c r="B353" s="557"/>
      <c r="C353" s="558"/>
      <c r="D353" s="558"/>
      <c r="F353" s="713"/>
      <c r="G353" s="297"/>
    </row>
    <row r="354" spans="1:7" s="559" customFormat="1" ht="15.75" customHeight="1" thickBot="1">
      <c r="A354" s="557"/>
      <c r="B354" s="557"/>
      <c r="C354" s="558"/>
      <c r="D354" s="558"/>
      <c r="F354" s="713"/>
      <c r="G354" s="297"/>
    </row>
    <row r="355" spans="1:7" s="559" customFormat="1" ht="15.75" customHeight="1" thickBot="1">
      <c r="A355" s="557"/>
      <c r="B355" s="557"/>
      <c r="C355" s="558"/>
      <c r="D355" s="558"/>
      <c r="F355" s="713"/>
      <c r="G355" s="297"/>
    </row>
    <row r="356" spans="1:7" s="559" customFormat="1" ht="15.75" customHeight="1" thickBot="1">
      <c r="A356" s="557"/>
      <c r="B356" s="557"/>
      <c r="C356" s="558"/>
      <c r="D356" s="558"/>
      <c r="F356" s="713"/>
      <c r="G356" s="297"/>
    </row>
    <row r="357" spans="1:7" s="559" customFormat="1" ht="15.75" customHeight="1" thickBot="1">
      <c r="A357" s="557"/>
      <c r="B357" s="557"/>
      <c r="C357" s="558"/>
      <c r="D357" s="558"/>
      <c r="F357" s="713"/>
      <c r="G357" s="297"/>
    </row>
    <row r="358" spans="1:7" s="559" customFormat="1" ht="15.75" customHeight="1" thickBot="1">
      <c r="A358" s="557"/>
      <c r="B358" s="557"/>
      <c r="C358" s="558"/>
      <c r="D358" s="558"/>
      <c r="F358" s="713"/>
      <c r="G358" s="297"/>
    </row>
    <row r="359" spans="1:7" s="559" customFormat="1" ht="15.75" customHeight="1" thickBot="1">
      <c r="A359" s="557"/>
      <c r="B359" s="557"/>
      <c r="C359" s="558"/>
      <c r="D359" s="558"/>
      <c r="F359" s="713"/>
      <c r="G359" s="297"/>
    </row>
    <row r="360" spans="1:7" s="559" customFormat="1" ht="15.75" customHeight="1" thickBot="1">
      <c r="A360" s="557"/>
      <c r="B360" s="557"/>
      <c r="C360" s="558"/>
      <c r="D360" s="558"/>
      <c r="F360" s="713"/>
      <c r="G360" s="297"/>
    </row>
    <row r="361" spans="1:7" s="559" customFormat="1" ht="15.75" customHeight="1" thickBot="1">
      <c r="A361" s="557"/>
      <c r="B361" s="557"/>
      <c r="C361" s="558"/>
      <c r="D361" s="558"/>
      <c r="F361" s="713"/>
      <c r="G361" s="297"/>
    </row>
    <row r="362" spans="1:7" s="559" customFormat="1" ht="15.75" customHeight="1" thickBot="1">
      <c r="A362" s="557"/>
      <c r="B362" s="557"/>
      <c r="C362" s="558"/>
      <c r="D362" s="558"/>
      <c r="F362" s="713"/>
      <c r="G362" s="297"/>
    </row>
    <row r="363" spans="1:7" s="559" customFormat="1" ht="15.75" customHeight="1" thickBot="1">
      <c r="A363" s="557"/>
      <c r="B363" s="557"/>
      <c r="C363" s="558"/>
      <c r="D363" s="558"/>
      <c r="F363" s="713"/>
      <c r="G363" s="297"/>
    </row>
    <row r="364" spans="1:7" s="559" customFormat="1" ht="15.75" customHeight="1" thickBot="1">
      <c r="A364" s="557"/>
      <c r="B364" s="557"/>
      <c r="C364" s="558"/>
      <c r="D364" s="558"/>
      <c r="F364" s="713"/>
      <c r="G364" s="297"/>
    </row>
    <row r="365" spans="1:7" s="559" customFormat="1" ht="15.75" customHeight="1" thickBot="1">
      <c r="A365" s="557"/>
      <c r="B365" s="557"/>
      <c r="C365" s="558"/>
      <c r="D365" s="558"/>
      <c r="F365" s="713"/>
      <c r="G365" s="297"/>
    </row>
    <row r="366" spans="1:7" s="559" customFormat="1" ht="15.75" customHeight="1" thickBot="1">
      <c r="A366" s="557"/>
      <c r="B366" s="557"/>
      <c r="C366" s="558"/>
      <c r="D366" s="558"/>
      <c r="F366" s="713"/>
      <c r="G366" s="297"/>
    </row>
    <row r="367" spans="1:7" s="559" customFormat="1" ht="15.75" customHeight="1" thickBot="1">
      <c r="A367" s="557"/>
      <c r="B367" s="557"/>
      <c r="C367" s="558"/>
      <c r="D367" s="558"/>
      <c r="F367" s="713"/>
      <c r="G367" s="297"/>
    </row>
    <row r="368" spans="1:7" s="559" customFormat="1" ht="15.75" customHeight="1" thickBot="1">
      <c r="A368" s="557"/>
      <c r="B368" s="557"/>
      <c r="C368" s="558"/>
      <c r="D368" s="558"/>
      <c r="F368" s="713"/>
      <c r="G368" s="297"/>
    </row>
    <row r="369" spans="1:42" s="559" customFormat="1" ht="15.75" customHeight="1" thickBot="1">
      <c r="A369" s="557"/>
      <c r="B369" s="557"/>
      <c r="C369" s="558"/>
      <c r="D369" s="558"/>
      <c r="F369" s="713"/>
      <c r="G369" s="297"/>
    </row>
    <row r="370" spans="1:42" s="559" customFormat="1" ht="15.75" customHeight="1" thickBot="1">
      <c r="A370" s="557"/>
      <c r="B370" s="557"/>
      <c r="C370" s="558"/>
      <c r="D370" s="558"/>
      <c r="F370" s="713"/>
      <c r="G370" s="297"/>
    </row>
    <row r="371" spans="1:42" s="559" customFormat="1" ht="15.75" customHeight="1" thickBot="1">
      <c r="A371" s="557"/>
      <c r="B371" s="557"/>
      <c r="C371" s="558"/>
      <c r="D371" s="558"/>
      <c r="F371" s="713"/>
      <c r="G371" s="297"/>
    </row>
    <row r="372" spans="1:42" s="559" customFormat="1" ht="15.75" customHeight="1" thickBot="1">
      <c r="A372" s="557"/>
      <c r="B372" s="557"/>
      <c r="C372" s="558"/>
      <c r="D372" s="558"/>
      <c r="F372" s="713"/>
      <c r="G372" s="297"/>
    </row>
    <row r="373" spans="1:42" s="559" customFormat="1" ht="15.75" customHeight="1" thickBot="1">
      <c r="A373" s="557"/>
      <c r="B373" s="557"/>
      <c r="C373" s="558"/>
      <c r="D373" s="558"/>
      <c r="F373" s="713"/>
      <c r="G373" s="297"/>
    </row>
    <row r="374" spans="1:42" s="559" customFormat="1" ht="15.75" customHeight="1" thickBot="1">
      <c r="A374" s="557"/>
      <c r="B374" s="557"/>
      <c r="C374" s="558"/>
      <c r="D374" s="558"/>
      <c r="F374" s="713"/>
      <c r="G374" s="297"/>
    </row>
    <row r="375" spans="1:42" s="559" customFormat="1" ht="15.75" customHeight="1" thickBot="1">
      <c r="A375" s="557"/>
      <c r="B375" s="557"/>
      <c r="C375" s="558"/>
      <c r="D375" s="558"/>
      <c r="F375" s="713"/>
      <c r="G375" s="297"/>
    </row>
    <row r="376" spans="1:42" s="559" customFormat="1" ht="15.75" customHeight="1" thickBot="1">
      <c r="A376" s="557"/>
      <c r="B376" s="557"/>
      <c r="C376" s="558"/>
      <c r="D376" s="558"/>
      <c r="F376" s="713"/>
      <c r="G376" s="297"/>
    </row>
    <row r="377" spans="1:42" s="559" customFormat="1" ht="15.75" customHeight="1" thickBot="1">
      <c r="A377" s="557"/>
      <c r="B377" s="557"/>
      <c r="C377" s="558"/>
      <c r="D377" s="558"/>
      <c r="F377" s="713"/>
      <c r="G377" s="297"/>
    </row>
    <row r="378" spans="1:42" s="559" customFormat="1" ht="15.75" customHeight="1" thickBot="1">
      <c r="A378" s="557"/>
      <c r="B378" s="557"/>
      <c r="C378" s="558"/>
      <c r="D378" s="558"/>
      <c r="F378" s="713"/>
      <c r="G378" s="297"/>
    </row>
    <row r="379" spans="1:42" s="559" customFormat="1" ht="15.75" customHeight="1" thickBot="1">
      <c r="A379" s="557"/>
      <c r="B379" s="557"/>
      <c r="C379" s="558"/>
      <c r="D379" s="558"/>
      <c r="F379" s="713"/>
      <c r="G379" s="297"/>
    </row>
    <row r="380" spans="1:42" s="559" customFormat="1" ht="15.75" customHeight="1" thickBot="1">
      <c r="A380" s="557"/>
      <c r="B380" s="557"/>
      <c r="C380" s="558"/>
      <c r="D380" s="558"/>
      <c r="F380" s="713"/>
      <c r="G380" s="297"/>
    </row>
    <row r="381" spans="1:42" thickBot="1">
      <c r="A381" s="312"/>
      <c r="B381" s="312"/>
      <c r="C381" s="305"/>
      <c r="D381" s="307"/>
      <c r="E381" s="307"/>
      <c r="F381" s="561"/>
      <c r="AO381" s="310"/>
      <c r="AP381" s="311"/>
    </row>
    <row r="382" spans="1:42" thickBot="1">
      <c r="A382" s="312"/>
      <c r="B382" s="312"/>
      <c r="C382" s="305"/>
      <c r="D382" s="307"/>
      <c r="E382" s="307"/>
      <c r="F382" s="561"/>
      <c r="AO382" s="310"/>
      <c r="AP382" s="311"/>
    </row>
    <row r="383" spans="1:42" thickBot="1">
      <c r="A383" s="312"/>
      <c r="B383" s="312"/>
      <c r="C383" s="305"/>
      <c r="D383" s="307"/>
      <c r="E383" s="307"/>
      <c r="F383" s="561"/>
      <c r="AO383" s="310"/>
      <c r="AP383" s="311"/>
    </row>
    <row r="384" spans="1:42" thickBot="1">
      <c r="A384" s="312"/>
      <c r="B384" s="312"/>
      <c r="C384" s="305"/>
      <c r="D384" s="307"/>
      <c r="E384" s="307"/>
      <c r="F384" s="561"/>
      <c r="AO384" s="310"/>
      <c r="AP384" s="311"/>
    </row>
    <row r="385" spans="1:42" thickBot="1">
      <c r="A385" s="312"/>
      <c r="B385" s="312"/>
      <c r="C385" s="305"/>
      <c r="D385" s="307"/>
      <c r="E385" s="307"/>
      <c r="F385" s="561"/>
      <c r="AO385" s="310"/>
      <c r="AP385" s="311"/>
    </row>
    <row r="386" spans="1:42" thickBot="1">
      <c r="A386" s="312"/>
      <c r="B386" s="312"/>
      <c r="C386" s="305"/>
      <c r="D386" s="307"/>
      <c r="E386" s="307"/>
      <c r="F386" s="561"/>
      <c r="AO386" s="310"/>
      <c r="AP386" s="311"/>
    </row>
    <row r="387" spans="1:42" thickBot="1">
      <c r="A387" s="312"/>
      <c r="B387" s="312"/>
      <c r="C387" s="305"/>
      <c r="D387" s="307"/>
      <c r="E387" s="307"/>
      <c r="F387" s="561"/>
      <c r="AO387" s="310"/>
      <c r="AP387" s="311"/>
    </row>
    <row r="388" spans="1:42" thickBot="1">
      <c r="A388" s="312"/>
      <c r="B388" s="312"/>
      <c r="C388" s="305"/>
      <c r="D388" s="307"/>
      <c r="E388" s="307"/>
      <c r="F388" s="561"/>
      <c r="AO388" s="310"/>
      <c r="AP388" s="311"/>
    </row>
    <row r="389" spans="1:42" thickBot="1">
      <c r="A389" s="312"/>
      <c r="B389" s="312"/>
      <c r="C389" s="305"/>
      <c r="D389" s="307"/>
      <c r="E389" s="307"/>
      <c r="F389" s="561"/>
      <c r="AO389" s="310"/>
      <c r="AP389" s="311"/>
    </row>
    <row r="390" spans="1:42" thickBot="1">
      <c r="A390" s="312"/>
      <c r="B390" s="312"/>
      <c r="C390" s="305"/>
      <c r="D390" s="307"/>
      <c r="E390" s="307"/>
      <c r="F390" s="561"/>
      <c r="AO390" s="310"/>
      <c r="AP390" s="311"/>
    </row>
    <row r="391" spans="1:42" thickBot="1">
      <c r="A391" s="312"/>
      <c r="B391" s="312"/>
      <c r="C391" s="305"/>
      <c r="D391" s="307"/>
      <c r="E391" s="307"/>
      <c r="F391" s="561"/>
      <c r="AO391" s="310"/>
      <c r="AP391" s="311"/>
    </row>
    <row r="392" spans="1:42" thickBot="1">
      <c r="A392" s="312"/>
      <c r="B392" s="312"/>
      <c r="C392" s="305"/>
      <c r="D392" s="307"/>
      <c r="E392" s="307"/>
      <c r="F392" s="561"/>
      <c r="AO392" s="310"/>
      <c r="AP392" s="311"/>
    </row>
    <row r="393" spans="1:42" thickBot="1">
      <c r="A393" s="312"/>
      <c r="B393" s="312"/>
      <c r="C393" s="305"/>
      <c r="D393" s="307"/>
      <c r="E393" s="307"/>
      <c r="F393" s="561"/>
      <c r="AO393" s="310"/>
      <c r="AP393" s="311"/>
    </row>
    <row r="394" spans="1:42" thickBot="1">
      <c r="A394" s="312"/>
      <c r="B394" s="312"/>
      <c r="C394" s="305"/>
      <c r="D394" s="307"/>
      <c r="E394" s="307"/>
      <c r="F394" s="561"/>
      <c r="AO394" s="310"/>
      <c r="AP394" s="311"/>
    </row>
    <row r="395" spans="1:42" thickBot="1">
      <c r="A395" s="312"/>
      <c r="B395" s="312"/>
      <c r="C395" s="305"/>
      <c r="D395" s="307"/>
      <c r="E395" s="307"/>
      <c r="F395" s="561"/>
      <c r="AO395" s="310"/>
      <c r="AP395" s="311"/>
    </row>
    <row r="396" spans="1:42" thickBot="1">
      <c r="A396" s="312"/>
      <c r="B396" s="312"/>
      <c r="C396" s="305"/>
      <c r="D396" s="307"/>
      <c r="E396" s="307"/>
      <c r="F396" s="561"/>
      <c r="AO396" s="310"/>
      <c r="AP396" s="311"/>
    </row>
    <row r="397" spans="1:42" thickBot="1">
      <c r="A397" s="312"/>
      <c r="B397" s="312"/>
      <c r="C397" s="305"/>
      <c r="D397" s="307"/>
      <c r="E397" s="307"/>
      <c r="F397" s="561"/>
      <c r="AO397" s="310"/>
      <c r="AP397" s="311"/>
    </row>
    <row r="398" spans="1:42" thickBot="1">
      <c r="A398" s="312"/>
      <c r="B398" s="312"/>
      <c r="C398" s="305"/>
      <c r="D398" s="305"/>
      <c r="E398" s="305"/>
      <c r="F398" s="560"/>
    </row>
    <row r="399" spans="1:42" thickBot="1">
      <c r="A399" s="312"/>
      <c r="B399" s="312"/>
      <c r="C399" s="305"/>
      <c r="D399" s="305"/>
      <c r="E399" s="305"/>
      <c r="F399" s="560"/>
    </row>
    <row r="400" spans="1:42" thickBot="1">
      <c r="A400" s="312"/>
      <c r="B400" s="312"/>
      <c r="C400" s="305"/>
      <c r="D400" s="305"/>
      <c r="E400" s="305"/>
      <c r="F400" s="560"/>
    </row>
    <row r="401" spans="1:6" thickBot="1">
      <c r="A401" s="312"/>
      <c r="B401" s="312"/>
      <c r="C401" s="305"/>
      <c r="D401" s="305"/>
      <c r="E401" s="305"/>
      <c r="F401" s="560"/>
    </row>
    <row r="402" spans="1:6" thickBot="1">
      <c r="A402" s="312"/>
      <c r="B402" s="312"/>
      <c r="C402" s="305"/>
      <c r="D402" s="305"/>
      <c r="E402" s="305"/>
      <c r="F402" s="560"/>
    </row>
    <row r="403" spans="1:6" thickBot="1">
      <c r="A403" s="312"/>
      <c r="B403" s="312"/>
      <c r="C403" s="305"/>
      <c r="D403" s="305"/>
      <c r="E403" s="305"/>
      <c r="F403" s="560"/>
    </row>
    <row r="404" spans="1:6" thickBot="1">
      <c r="A404" s="312"/>
      <c r="B404" s="312"/>
      <c r="C404" s="305"/>
      <c r="D404" s="305"/>
      <c r="E404" s="305"/>
      <c r="F404" s="560"/>
    </row>
    <row r="405" spans="1:6" thickBot="1">
      <c r="A405" s="312"/>
      <c r="B405" s="312"/>
      <c r="C405" s="305"/>
      <c r="D405" s="305"/>
      <c r="E405" s="305"/>
      <c r="F405" s="560"/>
    </row>
    <row r="406" spans="1:6" thickBot="1">
      <c r="A406" s="312"/>
      <c r="B406" s="312"/>
      <c r="C406" s="305"/>
      <c r="D406" s="305"/>
      <c r="E406" s="305"/>
      <c r="F406" s="560"/>
    </row>
    <row r="407" spans="1:6" thickBot="1">
      <c r="A407" s="312"/>
      <c r="B407" s="312"/>
      <c r="C407" s="305"/>
      <c r="D407" s="305"/>
      <c r="E407" s="305"/>
      <c r="F407" s="560"/>
    </row>
    <row r="408" spans="1:6" thickBot="1">
      <c r="A408" s="312"/>
      <c r="B408" s="312"/>
      <c r="C408" s="305"/>
      <c r="D408" s="305"/>
      <c r="E408" s="305"/>
      <c r="F408" s="560"/>
    </row>
    <row r="409" spans="1:6" thickBot="1">
      <c r="A409" s="312"/>
      <c r="B409" s="312"/>
      <c r="C409" s="305"/>
      <c r="D409" s="305"/>
      <c r="E409" s="305"/>
      <c r="F409" s="560"/>
    </row>
    <row r="410" spans="1:6" thickBot="1">
      <c r="A410" s="312"/>
      <c r="B410" s="312"/>
      <c r="C410" s="305"/>
      <c r="D410" s="305"/>
      <c r="E410" s="305"/>
      <c r="F410" s="560"/>
    </row>
    <row r="411" spans="1:6" thickBot="1">
      <c r="A411" s="312"/>
      <c r="B411" s="312"/>
      <c r="C411" s="305"/>
      <c r="D411" s="305"/>
      <c r="E411" s="305"/>
      <c r="F411" s="560"/>
    </row>
    <row r="412" spans="1:6" thickBot="1">
      <c r="A412" s="312"/>
      <c r="B412" s="312"/>
      <c r="C412" s="305"/>
      <c r="D412" s="305"/>
      <c r="E412" s="305"/>
      <c r="F412" s="560"/>
    </row>
    <row r="413" spans="1:6" thickBot="1">
      <c r="A413" s="312"/>
      <c r="B413" s="312"/>
      <c r="C413" s="305"/>
      <c r="D413" s="305"/>
      <c r="E413" s="305"/>
      <c r="F413" s="560"/>
    </row>
    <row r="414" spans="1:6" thickBot="1">
      <c r="A414" s="312"/>
      <c r="B414" s="312"/>
      <c r="C414" s="305"/>
      <c r="D414" s="305"/>
      <c r="E414" s="305"/>
      <c r="F414" s="560"/>
    </row>
    <row r="415" spans="1:6" thickBot="1">
      <c r="A415" s="312"/>
      <c r="B415" s="312"/>
      <c r="C415" s="305"/>
      <c r="D415" s="305"/>
      <c r="E415" s="305"/>
      <c r="F415" s="560"/>
    </row>
    <row r="416" spans="1:6" thickBot="1">
      <c r="A416" s="312"/>
      <c r="B416" s="312"/>
      <c r="C416" s="305"/>
      <c r="D416" s="305"/>
      <c r="E416" s="305"/>
      <c r="F416" s="560"/>
    </row>
    <row r="417" spans="1:6" thickBot="1">
      <c r="A417" s="312"/>
      <c r="B417" s="312"/>
      <c r="C417" s="305"/>
      <c r="D417" s="305"/>
      <c r="E417" s="305"/>
      <c r="F417" s="560"/>
    </row>
    <row r="418" spans="1:6" thickBot="1">
      <c r="A418" s="312"/>
      <c r="B418" s="312"/>
      <c r="C418" s="305"/>
      <c r="D418" s="305"/>
      <c r="E418" s="305"/>
      <c r="F418" s="560"/>
    </row>
    <row r="419" spans="1:6" thickBot="1">
      <c r="A419" s="312"/>
      <c r="B419" s="312"/>
      <c r="C419" s="305"/>
      <c r="D419" s="305"/>
      <c r="E419" s="305"/>
      <c r="F419" s="560"/>
    </row>
    <row r="420" spans="1:6" thickBot="1">
      <c r="A420" s="312"/>
      <c r="B420" s="312"/>
      <c r="C420" s="305"/>
      <c r="D420" s="305"/>
      <c r="E420" s="305"/>
      <c r="F420" s="560"/>
    </row>
    <row r="421" spans="1:6" thickBot="1">
      <c r="A421" s="312"/>
      <c r="B421" s="312"/>
      <c r="C421" s="305"/>
      <c r="D421" s="305"/>
      <c r="E421" s="305"/>
      <c r="F421" s="560"/>
    </row>
    <row r="422" spans="1:6" thickBot="1">
      <c r="A422" s="312"/>
      <c r="B422" s="312"/>
      <c r="C422" s="305"/>
      <c r="D422" s="305"/>
      <c r="E422" s="305"/>
      <c r="F422" s="560"/>
    </row>
    <row r="423" spans="1:6" thickBot="1">
      <c r="A423" s="312"/>
      <c r="B423" s="312"/>
      <c r="C423" s="305"/>
      <c r="D423" s="305"/>
      <c r="E423" s="305"/>
      <c r="F423" s="560"/>
    </row>
    <row r="424" spans="1:6" thickBot="1">
      <c r="A424" s="312"/>
      <c r="B424" s="312"/>
      <c r="C424" s="305"/>
      <c r="D424" s="305"/>
      <c r="E424" s="305"/>
      <c r="F424" s="560"/>
    </row>
    <row r="425" spans="1:6" thickBot="1">
      <c r="A425" s="312"/>
      <c r="B425" s="312"/>
      <c r="C425" s="305"/>
      <c r="D425" s="305"/>
      <c r="E425" s="305"/>
      <c r="F425" s="560"/>
    </row>
    <row r="426" spans="1:6" thickBot="1">
      <c r="A426" s="312"/>
      <c r="B426" s="312"/>
      <c r="C426" s="305"/>
      <c r="D426" s="305"/>
      <c r="E426" s="305"/>
      <c r="F426" s="560"/>
    </row>
    <row r="427" spans="1:6" thickBot="1">
      <c r="A427" s="312"/>
      <c r="B427" s="312"/>
      <c r="C427" s="305"/>
      <c r="D427" s="305"/>
      <c r="E427" s="305"/>
      <c r="F427" s="560"/>
    </row>
    <row r="428" spans="1:6" thickBot="1">
      <c r="A428" s="312"/>
      <c r="B428" s="312"/>
      <c r="C428" s="305"/>
      <c r="D428" s="305"/>
      <c r="E428" s="305"/>
      <c r="F428" s="560"/>
    </row>
    <row r="429" spans="1:6" thickBot="1">
      <c r="A429" s="312"/>
      <c r="B429" s="312"/>
      <c r="C429" s="305"/>
      <c r="D429" s="305"/>
      <c r="E429" s="305"/>
      <c r="F429" s="560"/>
    </row>
    <row r="430" spans="1:6" thickBot="1">
      <c r="A430" s="312"/>
      <c r="B430" s="312"/>
      <c r="C430" s="305"/>
      <c r="D430" s="305"/>
      <c r="E430" s="305"/>
      <c r="F430" s="560"/>
    </row>
    <row r="431" spans="1:6" thickBot="1">
      <c r="A431" s="312"/>
      <c r="B431" s="312"/>
      <c r="C431" s="305"/>
      <c r="D431" s="305"/>
      <c r="E431" s="305"/>
      <c r="F431" s="560"/>
    </row>
    <row r="432" spans="1:6" thickBot="1">
      <c r="A432" s="312"/>
      <c r="B432" s="312"/>
      <c r="C432" s="305"/>
      <c r="D432" s="305"/>
      <c r="E432" s="305"/>
      <c r="F432" s="560"/>
    </row>
    <row r="433" spans="1:6" thickBot="1">
      <c r="A433" s="312"/>
      <c r="B433" s="312"/>
      <c r="C433" s="305"/>
      <c r="D433" s="305"/>
      <c r="E433" s="305"/>
      <c r="F433" s="560"/>
    </row>
    <row r="434" spans="1:6" thickBot="1">
      <c r="A434" s="312"/>
      <c r="B434" s="312"/>
      <c r="C434" s="305"/>
      <c r="D434" s="305"/>
      <c r="E434" s="305"/>
      <c r="F434" s="560"/>
    </row>
    <row r="435" spans="1:6" thickBot="1">
      <c r="A435" s="312"/>
      <c r="B435" s="312"/>
      <c r="C435" s="305"/>
      <c r="D435" s="305"/>
      <c r="E435" s="305"/>
      <c r="F435" s="560"/>
    </row>
    <row r="436" spans="1:6" thickBot="1">
      <c r="A436" s="312"/>
      <c r="B436" s="312"/>
      <c r="C436" s="305"/>
      <c r="D436" s="305"/>
      <c r="E436" s="305"/>
      <c r="F436" s="560"/>
    </row>
    <row r="437" spans="1:6" thickBot="1">
      <c r="A437" s="312"/>
      <c r="B437" s="312"/>
      <c r="C437" s="305"/>
      <c r="D437" s="305"/>
      <c r="E437" s="305"/>
      <c r="F437" s="560"/>
    </row>
    <row r="438" spans="1:6" thickBot="1">
      <c r="A438" s="312"/>
      <c r="B438" s="312"/>
      <c r="C438" s="305"/>
      <c r="D438" s="305"/>
      <c r="E438" s="305"/>
      <c r="F438" s="560"/>
    </row>
    <row r="439" spans="1:6" thickBot="1">
      <c r="A439" s="312"/>
      <c r="B439" s="312"/>
      <c r="C439" s="305"/>
      <c r="D439" s="305"/>
      <c r="E439" s="305"/>
      <c r="F439" s="560"/>
    </row>
    <row r="440" spans="1:6" thickBot="1">
      <c r="A440" s="312"/>
      <c r="B440" s="312"/>
      <c r="C440" s="305"/>
      <c r="D440" s="305"/>
      <c r="E440" s="305"/>
      <c r="F440" s="560"/>
    </row>
    <row r="441" spans="1:6" thickBot="1">
      <c r="A441" s="312"/>
      <c r="B441" s="312"/>
      <c r="C441" s="305"/>
      <c r="D441" s="305"/>
      <c r="E441" s="305"/>
      <c r="F441" s="560"/>
    </row>
    <row r="442" spans="1:6" thickBot="1">
      <c r="A442" s="312"/>
      <c r="B442" s="312"/>
      <c r="C442" s="305"/>
      <c r="D442" s="305"/>
      <c r="E442" s="305"/>
      <c r="F442" s="560"/>
    </row>
    <row r="443" spans="1:6" thickBot="1">
      <c r="A443" s="312"/>
      <c r="B443" s="312"/>
      <c r="C443" s="305"/>
      <c r="D443" s="305"/>
      <c r="E443" s="305"/>
      <c r="F443" s="560"/>
    </row>
    <row r="444" spans="1:6" thickBot="1">
      <c r="A444" s="312"/>
      <c r="B444" s="312"/>
      <c r="C444" s="305"/>
      <c r="D444" s="305"/>
      <c r="E444" s="305"/>
      <c r="F444" s="560"/>
    </row>
    <row r="445" spans="1:6" thickBot="1">
      <c r="A445" s="312"/>
      <c r="B445" s="312"/>
      <c r="C445" s="305"/>
      <c r="D445" s="305"/>
      <c r="E445" s="305"/>
      <c r="F445" s="560"/>
    </row>
    <row r="446" spans="1:6" thickBot="1">
      <c r="A446" s="312"/>
      <c r="B446" s="312"/>
      <c r="C446" s="305"/>
      <c r="D446" s="305"/>
      <c r="E446" s="305"/>
      <c r="F446" s="560"/>
    </row>
    <row r="447" spans="1:6" thickBot="1">
      <c r="A447" s="312"/>
      <c r="B447" s="312"/>
      <c r="C447" s="305"/>
      <c r="D447" s="305"/>
      <c r="E447" s="305"/>
      <c r="F447" s="560"/>
    </row>
    <row r="448" spans="1:6" thickBot="1">
      <c r="A448" s="312"/>
      <c r="B448" s="312"/>
      <c r="C448" s="305"/>
      <c r="D448" s="305"/>
      <c r="E448" s="305"/>
      <c r="F448" s="560"/>
    </row>
    <row r="449" spans="1:6" thickBot="1">
      <c r="A449" s="312"/>
      <c r="B449" s="312"/>
      <c r="C449" s="305"/>
      <c r="D449" s="305"/>
      <c r="E449" s="305"/>
      <c r="F449" s="560"/>
    </row>
    <row r="450" spans="1:6" thickBot="1">
      <c r="A450" s="312"/>
      <c r="B450" s="312"/>
      <c r="C450" s="305"/>
      <c r="D450" s="305"/>
      <c r="E450" s="305"/>
      <c r="F450" s="560"/>
    </row>
    <row r="451" spans="1:6" thickBot="1">
      <c r="A451" s="312"/>
      <c r="B451" s="312"/>
      <c r="C451" s="305"/>
      <c r="D451" s="305"/>
      <c r="E451" s="305"/>
      <c r="F451" s="560"/>
    </row>
    <row r="452" spans="1:6" thickBot="1">
      <c r="A452" s="312"/>
      <c r="B452" s="312"/>
      <c r="C452" s="305"/>
      <c r="D452" s="305"/>
      <c r="E452" s="305"/>
      <c r="F452" s="560"/>
    </row>
    <row r="453" spans="1:6" thickBot="1">
      <c r="A453" s="312"/>
      <c r="B453" s="312"/>
      <c r="C453" s="305"/>
      <c r="D453" s="305"/>
      <c r="E453" s="305"/>
      <c r="F453" s="560"/>
    </row>
    <row r="454" spans="1:6" thickBot="1">
      <c r="A454" s="312"/>
      <c r="B454" s="312"/>
      <c r="C454" s="305"/>
      <c r="D454" s="305"/>
      <c r="E454" s="305"/>
      <c r="F454" s="560"/>
    </row>
    <row r="455" spans="1:6" thickBot="1">
      <c r="A455" s="312"/>
      <c r="B455" s="312"/>
      <c r="C455" s="305"/>
      <c r="D455" s="305"/>
      <c r="E455" s="305"/>
      <c r="F455" s="560"/>
    </row>
    <row r="456" spans="1:6" thickBot="1">
      <c r="A456" s="312"/>
      <c r="B456" s="312"/>
      <c r="C456" s="305"/>
      <c r="D456" s="305"/>
      <c r="E456" s="305"/>
      <c r="F456" s="560"/>
    </row>
    <row r="457" spans="1:6" thickBot="1">
      <c r="A457" s="312"/>
      <c r="B457" s="312"/>
      <c r="C457" s="305"/>
      <c r="D457" s="305"/>
      <c r="E457" s="305"/>
      <c r="F457" s="560"/>
    </row>
    <row r="458" spans="1:6" thickBot="1">
      <c r="A458" s="312"/>
      <c r="B458" s="312"/>
      <c r="C458" s="305"/>
      <c r="D458" s="305"/>
      <c r="E458" s="305"/>
      <c r="F458" s="560"/>
    </row>
    <row r="459" spans="1:6" thickBot="1">
      <c r="A459" s="312"/>
      <c r="B459" s="312"/>
      <c r="C459" s="305"/>
      <c r="D459" s="305"/>
      <c r="E459" s="305"/>
      <c r="F459" s="560"/>
    </row>
    <row r="460" spans="1:6" thickBot="1">
      <c r="A460" s="312"/>
      <c r="B460" s="312"/>
      <c r="C460" s="305"/>
      <c r="D460" s="305"/>
      <c r="E460" s="305"/>
      <c r="F460" s="560"/>
    </row>
    <row r="461" spans="1:6" thickBot="1">
      <c r="A461" s="312"/>
      <c r="B461" s="312"/>
      <c r="C461" s="305"/>
      <c r="D461" s="305"/>
      <c r="E461" s="305"/>
      <c r="F461" s="560"/>
    </row>
    <row r="462" spans="1:6" thickBot="1">
      <c r="A462" s="312"/>
      <c r="B462" s="312"/>
      <c r="C462" s="305"/>
      <c r="D462" s="305"/>
      <c r="E462" s="305"/>
      <c r="F462" s="560"/>
    </row>
    <row r="463" spans="1:6" thickBot="1">
      <c r="A463" s="312"/>
      <c r="B463" s="312"/>
      <c r="C463" s="305"/>
      <c r="D463" s="305"/>
      <c r="E463" s="305"/>
      <c r="F463" s="560"/>
    </row>
    <row r="464" spans="1:6" thickBot="1">
      <c r="A464" s="312"/>
      <c r="B464" s="312"/>
      <c r="C464" s="305"/>
      <c r="D464" s="305"/>
      <c r="E464" s="305"/>
      <c r="F464" s="560"/>
    </row>
    <row r="465" spans="1:6" thickBot="1">
      <c r="A465" s="312"/>
      <c r="B465" s="312"/>
      <c r="C465" s="305"/>
      <c r="D465" s="305"/>
      <c r="E465" s="305"/>
      <c r="F465" s="560"/>
    </row>
    <row r="466" spans="1:6" thickBot="1">
      <c r="A466" s="312"/>
      <c r="B466" s="312"/>
      <c r="C466" s="305"/>
      <c r="D466" s="305"/>
      <c r="E466" s="305"/>
      <c r="F466" s="560"/>
    </row>
    <row r="467" spans="1:6" thickBot="1">
      <c r="A467" s="312"/>
      <c r="B467" s="312"/>
      <c r="C467" s="305"/>
      <c r="D467" s="305"/>
      <c r="E467" s="305"/>
      <c r="F467" s="560"/>
    </row>
    <row r="468" spans="1:6" thickBot="1">
      <c r="A468" s="312"/>
      <c r="B468" s="312"/>
      <c r="C468" s="305"/>
      <c r="D468" s="305"/>
      <c r="E468" s="305"/>
      <c r="F468" s="560"/>
    </row>
    <row r="469" spans="1:6" thickBot="1">
      <c r="A469" s="312"/>
      <c r="B469" s="312"/>
      <c r="C469" s="305"/>
      <c r="D469" s="305"/>
      <c r="E469" s="305"/>
      <c r="F469" s="560"/>
    </row>
    <row r="470" spans="1:6" thickBot="1">
      <c r="A470" s="312"/>
      <c r="B470" s="312"/>
      <c r="C470" s="305"/>
      <c r="D470" s="305"/>
      <c r="E470" s="305"/>
      <c r="F470" s="560"/>
    </row>
    <row r="471" spans="1:6" thickBot="1">
      <c r="A471" s="312"/>
      <c r="B471" s="312"/>
      <c r="C471" s="305"/>
      <c r="D471" s="305"/>
      <c r="E471" s="305"/>
      <c r="F471" s="560"/>
    </row>
    <row r="472" spans="1:6" thickBot="1">
      <c r="A472" s="312"/>
      <c r="B472" s="312"/>
      <c r="C472" s="305"/>
      <c r="D472" s="305"/>
      <c r="E472" s="305"/>
      <c r="F472" s="560"/>
    </row>
    <row r="473" spans="1:6" thickBot="1">
      <c r="A473" s="312"/>
      <c r="B473" s="312"/>
      <c r="C473" s="305"/>
      <c r="D473" s="305"/>
      <c r="E473" s="305"/>
      <c r="F473" s="560"/>
    </row>
    <row r="474" spans="1:6" thickBot="1">
      <c r="A474" s="312"/>
      <c r="B474" s="312"/>
      <c r="C474" s="305"/>
      <c r="D474" s="305"/>
      <c r="E474" s="305"/>
      <c r="F474" s="560"/>
    </row>
    <row r="475" spans="1:6" thickBot="1">
      <c r="A475" s="312"/>
      <c r="B475" s="312"/>
      <c r="C475" s="305"/>
      <c r="D475" s="305"/>
      <c r="E475" s="305"/>
      <c r="F475" s="560"/>
    </row>
    <row r="476" spans="1:6" thickBot="1">
      <c r="A476" s="312"/>
      <c r="B476" s="312"/>
      <c r="C476" s="305"/>
      <c r="D476" s="305"/>
      <c r="E476" s="305"/>
      <c r="F476" s="560"/>
    </row>
    <row r="477" spans="1:6" thickBot="1">
      <c r="A477" s="312"/>
      <c r="B477" s="312"/>
      <c r="C477" s="305"/>
      <c r="D477" s="305"/>
      <c r="E477" s="305"/>
      <c r="F477" s="560"/>
    </row>
    <row r="478" spans="1:6" thickBot="1">
      <c r="A478" s="312"/>
      <c r="B478" s="312"/>
      <c r="C478" s="305"/>
      <c r="D478" s="305"/>
      <c r="E478" s="305"/>
      <c r="F478" s="560"/>
    </row>
    <row r="479" spans="1:6" thickBot="1">
      <c r="A479" s="312"/>
      <c r="B479" s="312"/>
      <c r="C479" s="305"/>
      <c r="D479" s="305"/>
      <c r="E479" s="305"/>
      <c r="F479" s="560"/>
    </row>
    <row r="480" spans="1:6" thickBot="1">
      <c r="A480" s="312"/>
      <c r="B480" s="312"/>
      <c r="C480" s="305"/>
      <c r="D480" s="305"/>
      <c r="E480" s="305"/>
      <c r="F480" s="560"/>
    </row>
    <row r="481" spans="1:6" thickBot="1">
      <c r="A481" s="312"/>
      <c r="B481" s="312"/>
      <c r="C481" s="305"/>
      <c r="D481" s="305"/>
      <c r="E481" s="305"/>
      <c r="F481" s="560"/>
    </row>
    <row r="482" spans="1:6" thickBot="1">
      <c r="A482" s="312"/>
      <c r="B482" s="312"/>
      <c r="C482" s="305"/>
      <c r="D482" s="305"/>
      <c r="E482" s="305"/>
      <c r="F482" s="560"/>
    </row>
    <row r="483" spans="1:6" thickBot="1">
      <c r="A483" s="312"/>
      <c r="B483" s="312"/>
      <c r="C483" s="305"/>
      <c r="D483" s="305"/>
      <c r="E483" s="305"/>
      <c r="F483" s="560"/>
    </row>
    <row r="484" spans="1:6" thickBot="1">
      <c r="A484" s="312"/>
      <c r="B484" s="312"/>
      <c r="C484" s="305"/>
      <c r="D484" s="305"/>
      <c r="E484" s="305"/>
      <c r="F484" s="560"/>
    </row>
    <row r="485" spans="1:6" thickBot="1">
      <c r="A485" s="312"/>
      <c r="B485" s="312"/>
      <c r="C485" s="305"/>
      <c r="D485" s="305"/>
      <c r="E485" s="305"/>
      <c r="F485" s="560"/>
    </row>
    <row r="486" spans="1:6" thickBot="1">
      <c r="A486" s="312"/>
      <c r="B486" s="312"/>
      <c r="C486" s="305"/>
      <c r="D486" s="305"/>
      <c r="E486" s="305"/>
      <c r="F486" s="560"/>
    </row>
    <row r="487" spans="1:6" thickBot="1">
      <c r="A487" s="312"/>
      <c r="B487" s="312"/>
      <c r="C487" s="305"/>
      <c r="D487" s="305"/>
      <c r="E487" s="305"/>
      <c r="F487" s="560"/>
    </row>
    <row r="488" spans="1:6" thickBot="1">
      <c r="A488" s="312"/>
      <c r="B488" s="312"/>
      <c r="C488" s="305"/>
      <c r="D488" s="305"/>
      <c r="E488" s="305"/>
      <c r="F488" s="560"/>
    </row>
    <row r="489" spans="1:6" thickBot="1">
      <c r="A489" s="312"/>
      <c r="B489" s="312"/>
      <c r="C489" s="305"/>
      <c r="D489" s="305"/>
      <c r="E489" s="305"/>
      <c r="F489" s="560"/>
    </row>
    <row r="490" spans="1:6" thickBot="1">
      <c r="A490" s="312"/>
      <c r="B490" s="312"/>
      <c r="C490" s="305"/>
      <c r="D490" s="305"/>
      <c r="E490" s="305"/>
      <c r="F490" s="560"/>
    </row>
    <row r="491" spans="1:6" thickBot="1">
      <c r="A491" s="312"/>
      <c r="B491" s="312"/>
      <c r="C491" s="305"/>
      <c r="D491" s="305"/>
      <c r="E491" s="305"/>
      <c r="F491" s="560"/>
    </row>
    <row r="492" spans="1:6" thickBot="1">
      <c r="A492" s="312"/>
      <c r="B492" s="312"/>
      <c r="C492" s="305"/>
      <c r="D492" s="305"/>
      <c r="E492" s="305"/>
      <c r="F492" s="560"/>
    </row>
    <row r="493" spans="1:6" thickBot="1">
      <c r="A493" s="312"/>
      <c r="B493" s="312"/>
      <c r="C493" s="305"/>
      <c r="D493" s="305"/>
      <c r="E493" s="305"/>
      <c r="F493" s="560"/>
    </row>
    <row r="494" spans="1:6" thickBot="1">
      <c r="A494" s="312"/>
      <c r="B494" s="312"/>
      <c r="C494" s="305"/>
      <c r="D494" s="305"/>
      <c r="E494" s="305"/>
      <c r="F494" s="560"/>
    </row>
    <row r="495" spans="1:6" thickBot="1">
      <c r="A495" s="312"/>
      <c r="B495" s="312"/>
      <c r="C495" s="305"/>
      <c r="D495" s="305"/>
      <c r="E495" s="305"/>
      <c r="F495" s="560"/>
    </row>
    <row r="496" spans="1:6" thickBot="1">
      <c r="A496" s="312"/>
      <c r="B496" s="312"/>
      <c r="C496" s="305"/>
      <c r="D496" s="305"/>
      <c r="E496" s="305"/>
      <c r="F496" s="560"/>
    </row>
    <row r="497" spans="1:6" thickBot="1">
      <c r="A497" s="312"/>
      <c r="B497" s="312"/>
      <c r="C497" s="305"/>
      <c r="D497" s="305"/>
      <c r="E497" s="305"/>
      <c r="F497" s="560"/>
    </row>
    <row r="498" spans="1:6" thickBot="1">
      <c r="A498" s="312"/>
      <c r="B498" s="312"/>
      <c r="C498" s="305"/>
      <c r="D498" s="305"/>
      <c r="E498" s="305"/>
      <c r="F498" s="560"/>
    </row>
    <row r="499" spans="1:6" thickBot="1">
      <c r="A499" s="312"/>
      <c r="B499" s="312"/>
      <c r="C499" s="305"/>
      <c r="D499" s="305"/>
      <c r="E499" s="305"/>
      <c r="F499" s="560"/>
    </row>
    <row r="500" spans="1:6" thickBot="1">
      <c r="A500" s="312"/>
      <c r="B500" s="312"/>
      <c r="C500" s="305"/>
      <c r="D500" s="305"/>
      <c r="E500" s="305"/>
      <c r="F500" s="560"/>
    </row>
    <row r="501" spans="1:6" thickBot="1">
      <c r="A501" s="312"/>
      <c r="B501" s="312"/>
      <c r="C501" s="305"/>
      <c r="D501" s="305"/>
      <c r="E501" s="305"/>
      <c r="F501" s="560"/>
    </row>
    <row r="502" spans="1:6" thickBot="1">
      <c r="A502" s="312"/>
      <c r="B502" s="312"/>
      <c r="C502" s="305"/>
      <c r="D502" s="305"/>
      <c r="E502" s="305"/>
      <c r="F502" s="560"/>
    </row>
    <row r="503" spans="1:6" thickBot="1">
      <c r="A503" s="312"/>
      <c r="B503" s="312"/>
      <c r="C503" s="305"/>
      <c r="D503" s="305"/>
      <c r="E503" s="305"/>
      <c r="F503" s="560"/>
    </row>
    <row r="504" spans="1:6" thickBot="1">
      <c r="A504" s="312"/>
      <c r="B504" s="312"/>
      <c r="C504" s="305"/>
      <c r="D504" s="305"/>
      <c r="E504" s="305"/>
      <c r="F504" s="560"/>
    </row>
    <row r="505" spans="1:6" thickBot="1">
      <c r="A505" s="312"/>
      <c r="B505" s="312"/>
      <c r="C505" s="305"/>
      <c r="D505" s="305"/>
      <c r="E505" s="305"/>
      <c r="F505" s="560"/>
    </row>
    <row r="506" spans="1:6" thickBot="1">
      <c r="A506" s="312"/>
      <c r="B506" s="312"/>
      <c r="C506" s="305"/>
      <c r="D506" s="305"/>
      <c r="E506" s="305"/>
      <c r="F506" s="560"/>
    </row>
    <row r="507" spans="1:6" thickBot="1">
      <c r="A507" s="312"/>
      <c r="B507" s="312"/>
      <c r="C507" s="305"/>
      <c r="D507" s="305"/>
      <c r="E507" s="305"/>
      <c r="F507" s="560"/>
    </row>
    <row r="508" spans="1:6" thickBot="1">
      <c r="A508" s="312"/>
      <c r="B508" s="312"/>
      <c r="C508" s="305"/>
      <c r="D508" s="305"/>
      <c r="E508" s="305"/>
      <c r="F508" s="560"/>
    </row>
    <row r="509" spans="1:6" thickBot="1">
      <c r="A509" s="312"/>
      <c r="B509" s="312"/>
      <c r="C509" s="305"/>
      <c r="D509" s="305"/>
      <c r="E509" s="305"/>
      <c r="F509" s="560"/>
    </row>
    <row r="510" spans="1:6" thickBot="1">
      <c r="A510" s="312"/>
      <c r="B510" s="312"/>
      <c r="C510" s="305"/>
      <c r="D510" s="305"/>
      <c r="E510" s="305"/>
      <c r="F510" s="560"/>
    </row>
    <row r="511" spans="1:6" thickBot="1">
      <c r="A511" s="312"/>
      <c r="B511" s="312"/>
      <c r="C511" s="305"/>
      <c r="D511" s="305"/>
      <c r="E511" s="305"/>
      <c r="F511" s="560"/>
    </row>
    <row r="512" spans="1:6" thickBot="1">
      <c r="A512" s="312"/>
      <c r="B512" s="312"/>
      <c r="C512" s="305"/>
      <c r="D512" s="305"/>
      <c r="E512" s="305"/>
      <c r="F512" s="560"/>
    </row>
    <row r="513" spans="1:6" thickBot="1">
      <c r="A513" s="312"/>
      <c r="B513" s="312"/>
      <c r="C513" s="305"/>
      <c r="D513" s="305"/>
      <c r="E513" s="305"/>
      <c r="F513" s="560"/>
    </row>
    <row r="514" spans="1:6" thickBot="1">
      <c r="A514" s="312"/>
      <c r="B514" s="312"/>
      <c r="C514" s="305"/>
      <c r="D514" s="305"/>
      <c r="E514" s="305"/>
      <c r="F514" s="560"/>
    </row>
    <row r="515" spans="1:6" thickBot="1">
      <c r="A515" s="312"/>
      <c r="B515" s="312"/>
      <c r="C515" s="305"/>
      <c r="D515" s="305"/>
      <c r="E515" s="305"/>
      <c r="F515" s="560"/>
    </row>
    <row r="516" spans="1:6" thickBot="1">
      <c r="A516" s="312"/>
      <c r="B516" s="312"/>
      <c r="C516" s="305"/>
      <c r="D516" s="305"/>
      <c r="E516" s="305"/>
      <c r="F516" s="560"/>
    </row>
    <row r="517" spans="1:6" thickBot="1">
      <c r="A517" s="312"/>
      <c r="B517" s="312"/>
      <c r="C517" s="305"/>
      <c r="D517" s="305"/>
      <c r="E517" s="305"/>
      <c r="F517" s="560"/>
    </row>
    <row r="518" spans="1:6" thickBot="1">
      <c r="A518" s="312"/>
      <c r="B518" s="312"/>
      <c r="C518" s="305"/>
      <c r="D518" s="305"/>
      <c r="E518" s="305"/>
      <c r="F518" s="560"/>
    </row>
    <row r="519" spans="1:6" thickBot="1">
      <c r="A519" s="312"/>
      <c r="B519" s="312"/>
      <c r="C519" s="305"/>
      <c r="D519" s="305"/>
      <c r="E519" s="305"/>
      <c r="F519" s="560"/>
    </row>
    <row r="520" spans="1:6" thickBot="1">
      <c r="A520" s="312"/>
      <c r="B520" s="312"/>
      <c r="C520" s="305"/>
      <c r="D520" s="305"/>
      <c r="E520" s="305"/>
      <c r="F520" s="560"/>
    </row>
    <row r="521" spans="1:6" thickBot="1">
      <c r="A521" s="312"/>
      <c r="B521" s="312"/>
      <c r="C521" s="305"/>
      <c r="D521" s="305"/>
      <c r="E521" s="305"/>
      <c r="F521" s="560"/>
    </row>
    <row r="522" spans="1:6" thickBot="1">
      <c r="A522" s="312"/>
      <c r="B522" s="312"/>
      <c r="C522" s="305"/>
      <c r="D522" s="305"/>
      <c r="E522" s="305"/>
      <c r="F522" s="560"/>
    </row>
    <row r="523" spans="1:6" thickBot="1">
      <c r="A523" s="312"/>
      <c r="B523" s="312"/>
      <c r="C523" s="305"/>
      <c r="D523" s="305"/>
      <c r="E523" s="305"/>
      <c r="F523" s="560"/>
    </row>
    <row r="524" spans="1:6" thickBot="1">
      <c r="A524" s="312"/>
      <c r="B524" s="312"/>
      <c r="C524" s="305"/>
      <c r="D524" s="305"/>
      <c r="E524" s="305"/>
      <c r="F524" s="560"/>
    </row>
    <row r="525" spans="1:6" thickBot="1">
      <c r="A525" s="312"/>
      <c r="B525" s="312"/>
      <c r="C525" s="305"/>
      <c r="D525" s="305"/>
      <c r="E525" s="305"/>
      <c r="F525" s="560"/>
    </row>
    <row r="526" spans="1:6" thickBot="1">
      <c r="A526" s="312"/>
      <c r="B526" s="312"/>
      <c r="C526" s="305"/>
      <c r="D526" s="305"/>
      <c r="E526" s="305"/>
      <c r="F526" s="560"/>
    </row>
    <row r="527" spans="1:6" thickBot="1">
      <c r="A527" s="312"/>
      <c r="B527" s="312"/>
      <c r="C527" s="305"/>
      <c r="D527" s="305"/>
      <c r="E527" s="305"/>
      <c r="F527" s="560"/>
    </row>
    <row r="528" spans="1:6" thickBot="1">
      <c r="A528" s="312"/>
      <c r="B528" s="312"/>
      <c r="C528" s="305"/>
      <c r="D528" s="305"/>
      <c r="E528" s="305"/>
      <c r="F528" s="560"/>
    </row>
    <row r="529" spans="1:6" thickBot="1">
      <c r="A529" s="312"/>
      <c r="B529" s="312"/>
      <c r="C529" s="305"/>
      <c r="D529" s="305"/>
      <c r="E529" s="305"/>
      <c r="F529" s="560"/>
    </row>
    <row r="530" spans="1:6" thickBot="1">
      <c r="A530" s="312"/>
      <c r="B530" s="312"/>
      <c r="C530" s="305"/>
      <c r="D530" s="305"/>
      <c r="E530" s="305"/>
      <c r="F530" s="560"/>
    </row>
    <row r="531" spans="1:6" thickBot="1">
      <c r="A531" s="312"/>
      <c r="B531" s="312"/>
      <c r="C531" s="305"/>
      <c r="D531" s="305"/>
      <c r="E531" s="305"/>
      <c r="F531" s="560"/>
    </row>
    <row r="532" spans="1:6" thickBot="1">
      <c r="A532" s="312"/>
      <c r="B532" s="312"/>
      <c r="C532" s="305"/>
      <c r="D532" s="305"/>
      <c r="E532" s="305"/>
      <c r="F532" s="560"/>
    </row>
    <row r="533" spans="1:6" thickBot="1">
      <c r="A533" s="312"/>
      <c r="B533" s="312"/>
      <c r="C533" s="305"/>
      <c r="D533" s="305"/>
      <c r="E533" s="305"/>
      <c r="F533" s="560"/>
    </row>
    <row r="534" spans="1:6" thickBot="1">
      <c r="A534" s="312"/>
      <c r="B534" s="312"/>
      <c r="C534" s="305"/>
      <c r="D534" s="305"/>
      <c r="E534" s="305"/>
      <c r="F534" s="560"/>
    </row>
    <row r="535" spans="1:6" thickBot="1">
      <c r="A535" s="312"/>
      <c r="B535" s="312"/>
      <c r="C535" s="305"/>
      <c r="D535" s="305"/>
      <c r="E535" s="305"/>
      <c r="F535" s="560"/>
    </row>
    <row r="536" spans="1:6" thickBot="1">
      <c r="A536" s="312"/>
      <c r="B536" s="312"/>
      <c r="C536" s="305"/>
      <c r="D536" s="305"/>
      <c r="E536" s="305"/>
      <c r="F536" s="560"/>
    </row>
    <row r="537" spans="1:6" thickBot="1">
      <c r="A537" s="312"/>
      <c r="B537" s="312"/>
      <c r="C537" s="305"/>
      <c r="D537" s="305"/>
      <c r="E537" s="305"/>
      <c r="F537" s="560"/>
    </row>
    <row r="538" spans="1:6" thickBot="1">
      <c r="A538" s="312"/>
      <c r="B538" s="312"/>
      <c r="C538" s="305"/>
      <c r="D538" s="305"/>
      <c r="E538" s="305"/>
      <c r="F538" s="560"/>
    </row>
    <row r="539" spans="1:6" thickBot="1">
      <c r="A539" s="312"/>
      <c r="B539" s="312"/>
      <c r="C539" s="305"/>
      <c r="D539" s="305"/>
      <c r="E539" s="305"/>
      <c r="F539" s="560"/>
    </row>
    <row r="540" spans="1:6" thickBot="1">
      <c r="A540" s="312"/>
      <c r="B540" s="312"/>
      <c r="C540" s="305"/>
      <c r="D540" s="305"/>
      <c r="E540" s="305"/>
      <c r="F540" s="560"/>
    </row>
    <row r="541" spans="1:6" thickBot="1">
      <c r="A541" s="312"/>
      <c r="B541" s="312"/>
      <c r="C541" s="305"/>
      <c r="D541" s="305"/>
      <c r="E541" s="305"/>
      <c r="F541" s="560"/>
    </row>
    <row r="542" spans="1:6" thickBot="1">
      <c r="A542" s="312"/>
      <c r="B542" s="312"/>
      <c r="C542" s="305"/>
      <c r="D542" s="305"/>
      <c r="E542" s="305"/>
      <c r="F542" s="560"/>
    </row>
    <row r="543" spans="1:6" thickBot="1">
      <c r="A543" s="312"/>
      <c r="B543" s="312"/>
      <c r="C543" s="305"/>
      <c r="D543" s="305"/>
      <c r="E543" s="305"/>
      <c r="F543" s="560"/>
    </row>
    <row r="544" spans="1:6" thickBot="1">
      <c r="A544" s="312"/>
      <c r="B544" s="312"/>
      <c r="C544" s="305"/>
      <c r="D544" s="305"/>
      <c r="E544" s="305"/>
      <c r="F544" s="560"/>
    </row>
    <row r="545" spans="1:6" thickBot="1">
      <c r="A545" s="312"/>
      <c r="B545" s="312"/>
      <c r="C545" s="305"/>
      <c r="D545" s="305"/>
      <c r="E545" s="305"/>
      <c r="F545" s="560"/>
    </row>
    <row r="546" spans="1:6" thickBot="1">
      <c r="A546" s="312"/>
      <c r="B546" s="312"/>
      <c r="C546" s="305"/>
      <c r="D546" s="305"/>
      <c r="E546" s="305"/>
      <c r="F546" s="560"/>
    </row>
    <row r="547" spans="1:6" thickBot="1">
      <c r="A547" s="312"/>
      <c r="B547" s="312"/>
      <c r="C547" s="305"/>
      <c r="D547" s="305"/>
      <c r="E547" s="305"/>
      <c r="F547" s="560"/>
    </row>
    <row r="548" spans="1:6" thickBot="1">
      <c r="A548" s="312"/>
      <c r="B548" s="312"/>
      <c r="C548" s="305"/>
      <c r="D548" s="305"/>
      <c r="E548" s="305"/>
      <c r="F548" s="560"/>
    </row>
    <row r="549" spans="1:6" thickBot="1">
      <c r="A549" s="312"/>
      <c r="B549" s="312"/>
      <c r="C549" s="305"/>
      <c r="D549" s="305"/>
      <c r="E549" s="305"/>
      <c r="F549" s="560"/>
    </row>
    <row r="550" spans="1:6" thickBot="1">
      <c r="A550" s="312"/>
      <c r="B550" s="312"/>
      <c r="C550" s="305"/>
      <c r="D550" s="305"/>
      <c r="E550" s="305"/>
      <c r="F550" s="560"/>
    </row>
    <row r="551" spans="1:6" thickBot="1">
      <c r="A551" s="312"/>
      <c r="B551" s="312"/>
      <c r="C551" s="305"/>
      <c r="D551" s="305"/>
      <c r="E551" s="305"/>
      <c r="F551" s="560"/>
    </row>
    <row r="552" spans="1:6" thickBot="1">
      <c r="A552" s="312"/>
      <c r="B552" s="312"/>
      <c r="C552" s="305"/>
      <c r="D552" s="305"/>
      <c r="E552" s="305"/>
      <c r="F552" s="560"/>
    </row>
    <row r="553" spans="1:6" thickBot="1">
      <c r="A553" s="312"/>
      <c r="B553" s="312"/>
      <c r="C553" s="305"/>
      <c r="D553" s="305"/>
      <c r="E553" s="305"/>
      <c r="F553" s="560"/>
    </row>
    <row r="554" spans="1:6" thickBot="1">
      <c r="A554" s="312"/>
      <c r="B554" s="312"/>
      <c r="C554" s="305"/>
      <c r="D554" s="305"/>
      <c r="E554" s="305"/>
      <c r="F554" s="560"/>
    </row>
    <row r="555" spans="1:6" thickBot="1">
      <c r="A555" s="312"/>
      <c r="B555" s="312"/>
      <c r="C555" s="305"/>
      <c r="D555" s="305"/>
      <c r="E555" s="305"/>
      <c r="F555" s="560"/>
    </row>
    <row r="556" spans="1:6" thickBot="1">
      <c r="A556" s="312"/>
      <c r="B556" s="312"/>
      <c r="C556" s="305"/>
      <c r="D556" s="305"/>
      <c r="E556" s="305"/>
      <c r="F556" s="560"/>
    </row>
    <row r="557" spans="1:6" thickBot="1">
      <c r="A557" s="312"/>
      <c r="B557" s="312"/>
      <c r="C557" s="305"/>
      <c r="D557" s="305"/>
      <c r="E557" s="305"/>
      <c r="F557" s="560"/>
    </row>
    <row r="558" spans="1:6" thickBot="1">
      <c r="A558" s="312"/>
      <c r="B558" s="312"/>
      <c r="C558" s="305"/>
      <c r="D558" s="305"/>
      <c r="E558" s="305"/>
      <c r="F558" s="560"/>
    </row>
    <row r="559" spans="1:6" thickBot="1">
      <c r="A559" s="312"/>
      <c r="B559" s="312"/>
      <c r="C559" s="305"/>
      <c r="D559" s="305"/>
      <c r="E559" s="305"/>
      <c r="F559" s="560"/>
    </row>
    <row r="560" spans="1:6" thickBot="1">
      <c r="A560" s="312"/>
      <c r="B560" s="312"/>
      <c r="C560" s="305"/>
      <c r="D560" s="305"/>
      <c r="E560" s="305"/>
      <c r="F560" s="560"/>
    </row>
    <row r="561" spans="1:6" thickBot="1">
      <c r="A561" s="312"/>
      <c r="B561" s="312"/>
      <c r="C561" s="305"/>
      <c r="D561" s="305"/>
      <c r="E561" s="305"/>
      <c r="F561" s="560"/>
    </row>
    <row r="562" spans="1:6" thickBot="1">
      <c r="A562" s="312"/>
      <c r="B562" s="312"/>
      <c r="C562" s="305"/>
      <c r="D562" s="305"/>
      <c r="E562" s="305"/>
      <c r="F562" s="560"/>
    </row>
    <row r="563" spans="1:6" thickBot="1">
      <c r="A563" s="312"/>
      <c r="B563" s="312"/>
      <c r="C563" s="305"/>
      <c r="D563" s="305"/>
      <c r="E563" s="305"/>
      <c r="F563" s="560"/>
    </row>
    <row r="564" spans="1:6" thickBot="1">
      <c r="A564" s="312"/>
      <c r="B564" s="312"/>
      <c r="C564" s="305"/>
      <c r="D564" s="305"/>
      <c r="E564" s="305"/>
      <c r="F564" s="560"/>
    </row>
    <row r="565" spans="1:6" thickBot="1">
      <c r="A565" s="312"/>
      <c r="B565" s="312"/>
      <c r="C565" s="305"/>
      <c r="D565" s="305"/>
      <c r="E565" s="305"/>
      <c r="F565" s="560"/>
    </row>
    <row r="566" spans="1:6" thickBot="1">
      <c r="A566" s="312"/>
      <c r="B566" s="312"/>
      <c r="C566" s="305"/>
      <c r="D566" s="305"/>
      <c r="E566" s="305"/>
      <c r="F566" s="560"/>
    </row>
    <row r="567" spans="1:6" thickBot="1">
      <c r="A567" s="312"/>
      <c r="B567" s="312"/>
      <c r="C567" s="305"/>
      <c r="D567" s="305"/>
      <c r="E567" s="305"/>
      <c r="F567" s="560"/>
    </row>
    <row r="568" spans="1:6" thickBot="1">
      <c r="A568" s="312"/>
      <c r="B568" s="312"/>
      <c r="C568" s="305"/>
      <c r="D568" s="305"/>
      <c r="E568" s="305"/>
      <c r="F568" s="560"/>
    </row>
    <row r="569" spans="1:6" thickBot="1">
      <c r="A569" s="312"/>
      <c r="B569" s="312"/>
      <c r="C569" s="305"/>
      <c r="D569" s="305"/>
      <c r="E569" s="305"/>
      <c r="F569" s="560"/>
    </row>
    <row r="570" spans="1:6" thickBot="1">
      <c r="A570" s="312"/>
      <c r="B570" s="312"/>
      <c r="C570" s="305"/>
      <c r="D570" s="305"/>
      <c r="E570" s="305"/>
      <c r="F570" s="560"/>
    </row>
    <row r="571" spans="1:6" thickBot="1">
      <c r="A571" s="312"/>
      <c r="B571" s="312"/>
      <c r="C571" s="305"/>
      <c r="D571" s="305"/>
      <c r="E571" s="305"/>
      <c r="F571" s="560"/>
    </row>
    <row r="572" spans="1:6" thickBot="1">
      <c r="A572" s="312"/>
      <c r="B572" s="312"/>
      <c r="C572" s="305"/>
      <c r="D572" s="305"/>
      <c r="E572" s="305"/>
      <c r="F572" s="560"/>
    </row>
    <row r="573" spans="1:6" thickBot="1">
      <c r="A573" s="312"/>
      <c r="B573" s="312"/>
      <c r="C573" s="305"/>
      <c r="D573" s="305"/>
      <c r="E573" s="305"/>
      <c r="F573" s="560"/>
    </row>
    <row r="574" spans="1:6" thickBot="1">
      <c r="A574" s="312"/>
      <c r="B574" s="312"/>
      <c r="C574" s="305"/>
      <c r="D574" s="305"/>
      <c r="E574" s="305"/>
      <c r="F574" s="560"/>
    </row>
    <row r="575" spans="1:6" thickBot="1">
      <c r="A575" s="312"/>
      <c r="B575" s="312"/>
      <c r="C575" s="305"/>
      <c r="D575" s="305"/>
      <c r="E575" s="305"/>
      <c r="F575" s="560"/>
    </row>
    <row r="576" spans="1:6" thickBot="1">
      <c r="A576" s="312"/>
      <c r="B576" s="312"/>
      <c r="C576" s="305"/>
      <c r="D576" s="305"/>
      <c r="E576" s="305"/>
      <c r="F576" s="560"/>
    </row>
    <row r="577" spans="1:6" thickBot="1">
      <c r="A577" s="312"/>
      <c r="B577" s="312"/>
      <c r="C577" s="305"/>
      <c r="D577" s="305"/>
      <c r="E577" s="305"/>
      <c r="F577" s="560"/>
    </row>
    <row r="578" spans="1:6" thickBot="1">
      <c r="A578" s="312"/>
      <c r="B578" s="312"/>
      <c r="C578" s="305"/>
      <c r="D578" s="305"/>
      <c r="E578" s="305"/>
      <c r="F578" s="560"/>
    </row>
    <row r="579" spans="1:6" thickBot="1">
      <c r="A579" s="312"/>
      <c r="B579" s="312"/>
      <c r="C579" s="305"/>
      <c r="D579" s="305"/>
      <c r="E579" s="305"/>
      <c r="F579" s="560"/>
    </row>
    <row r="580" spans="1:6" thickBot="1">
      <c r="A580" s="312"/>
      <c r="B580" s="312"/>
      <c r="C580" s="305"/>
      <c r="D580" s="305"/>
      <c r="E580" s="305"/>
      <c r="F580" s="560"/>
    </row>
    <row r="581" spans="1:6" thickBot="1">
      <c r="A581" s="312"/>
      <c r="B581" s="312"/>
      <c r="C581" s="305"/>
      <c r="D581" s="305"/>
      <c r="E581" s="305"/>
      <c r="F581" s="560"/>
    </row>
    <row r="582" spans="1:6" thickBot="1">
      <c r="A582" s="312"/>
      <c r="B582" s="312"/>
      <c r="C582" s="305"/>
      <c r="D582" s="305"/>
      <c r="E582" s="305"/>
      <c r="F582" s="560"/>
    </row>
    <row r="583" spans="1:6" thickBot="1">
      <c r="A583" s="312"/>
      <c r="B583" s="312"/>
      <c r="C583" s="305"/>
      <c r="D583" s="305"/>
      <c r="E583" s="305"/>
      <c r="F583" s="560"/>
    </row>
    <row r="584" spans="1:6" thickBot="1">
      <c r="A584" s="312"/>
      <c r="B584" s="312"/>
      <c r="C584" s="305"/>
      <c r="D584" s="305"/>
      <c r="E584" s="305"/>
      <c r="F584" s="560"/>
    </row>
    <row r="585" spans="1:6" thickBot="1">
      <c r="A585" s="312"/>
      <c r="B585" s="312"/>
      <c r="C585" s="305"/>
      <c r="D585" s="305"/>
      <c r="E585" s="305"/>
      <c r="F585" s="560"/>
    </row>
    <row r="586" spans="1:6" thickBot="1">
      <c r="A586" s="312"/>
      <c r="B586" s="312"/>
      <c r="C586" s="305"/>
      <c r="D586" s="305"/>
      <c r="E586" s="305"/>
      <c r="F586" s="560"/>
    </row>
    <row r="587" spans="1:6" thickBot="1">
      <c r="A587" s="312"/>
      <c r="B587" s="312"/>
      <c r="C587" s="305"/>
      <c r="D587" s="305"/>
      <c r="E587" s="305"/>
      <c r="F587" s="560"/>
    </row>
    <row r="588" spans="1:6" thickBot="1">
      <c r="A588" s="312"/>
      <c r="B588" s="312"/>
      <c r="C588" s="305"/>
      <c r="D588" s="305"/>
      <c r="E588" s="305"/>
      <c r="F588" s="560"/>
    </row>
    <row r="589" spans="1:6" thickBot="1">
      <c r="A589" s="312"/>
      <c r="B589" s="312"/>
      <c r="C589" s="305"/>
      <c r="D589" s="305"/>
      <c r="E589" s="305"/>
      <c r="F589" s="560"/>
    </row>
    <row r="590" spans="1:6" thickBot="1">
      <c r="A590" s="312"/>
      <c r="B590" s="312"/>
      <c r="C590" s="305"/>
      <c r="D590" s="305"/>
      <c r="E590" s="305"/>
      <c r="F590" s="560"/>
    </row>
    <row r="591" spans="1:6" thickBot="1">
      <c r="A591" s="312"/>
      <c r="B591" s="312"/>
      <c r="C591" s="305"/>
      <c r="D591" s="305"/>
      <c r="E591" s="305"/>
      <c r="F591" s="560"/>
    </row>
    <row r="592" spans="1:6" thickBot="1">
      <c r="A592" s="312"/>
      <c r="B592" s="312"/>
      <c r="C592" s="305"/>
      <c r="D592" s="305"/>
      <c r="E592" s="305"/>
      <c r="F592" s="560"/>
    </row>
    <row r="593" spans="1:6" thickBot="1">
      <c r="A593" s="312"/>
      <c r="B593" s="312"/>
      <c r="C593" s="305"/>
      <c r="D593" s="305"/>
      <c r="E593" s="305"/>
      <c r="F593" s="560"/>
    </row>
    <row r="594" spans="1:6" thickBot="1">
      <c r="A594" s="312"/>
      <c r="B594" s="312"/>
      <c r="C594" s="305"/>
      <c r="D594" s="305"/>
      <c r="E594" s="305"/>
      <c r="F594" s="560"/>
    </row>
    <row r="595" spans="1:6" thickBot="1">
      <c r="A595" s="312"/>
      <c r="B595" s="312"/>
      <c r="C595" s="305"/>
      <c r="D595" s="305"/>
      <c r="E595" s="305"/>
      <c r="F595" s="560"/>
    </row>
    <row r="596" spans="1:6" thickBot="1">
      <c r="A596" s="312"/>
      <c r="B596" s="312"/>
      <c r="C596" s="305"/>
      <c r="D596" s="305"/>
      <c r="E596" s="305"/>
      <c r="F596" s="560"/>
    </row>
    <row r="597" spans="1:6" thickBot="1">
      <c r="A597" s="312"/>
      <c r="B597" s="312"/>
      <c r="C597" s="305"/>
      <c r="D597" s="305"/>
      <c r="E597" s="305"/>
      <c r="F597" s="560"/>
    </row>
    <row r="598" spans="1:6" thickBot="1">
      <c r="A598" s="312"/>
      <c r="B598" s="312"/>
      <c r="C598" s="305"/>
      <c r="D598" s="305"/>
      <c r="E598" s="305"/>
      <c r="F598" s="560"/>
    </row>
    <row r="599" spans="1:6" thickBot="1">
      <c r="A599" s="312"/>
      <c r="B599" s="312"/>
      <c r="C599" s="305"/>
      <c r="D599" s="305"/>
      <c r="E599" s="305"/>
      <c r="F599" s="560"/>
    </row>
    <row r="600" spans="1:6" thickBot="1">
      <c r="A600" s="312"/>
      <c r="B600" s="312"/>
      <c r="C600" s="305"/>
      <c r="D600" s="305"/>
      <c r="E600" s="305"/>
      <c r="F600" s="560"/>
    </row>
    <row r="601" spans="1:6" thickBot="1">
      <c r="A601" s="312"/>
      <c r="B601" s="312"/>
      <c r="C601" s="305"/>
      <c r="D601" s="305"/>
      <c r="E601" s="305"/>
      <c r="F601" s="560"/>
    </row>
    <row r="602" spans="1:6" thickBot="1">
      <c r="A602" s="312"/>
      <c r="B602" s="312"/>
      <c r="C602" s="305"/>
      <c r="D602" s="305"/>
      <c r="E602" s="305"/>
      <c r="F602" s="560"/>
    </row>
    <row r="603" spans="1:6" thickBot="1">
      <c r="A603" s="312"/>
      <c r="B603" s="312"/>
      <c r="C603" s="305"/>
      <c r="D603" s="305"/>
      <c r="E603" s="305"/>
      <c r="F603" s="560"/>
    </row>
    <row r="604" spans="1:6" thickBot="1">
      <c r="A604" s="312"/>
      <c r="B604" s="312"/>
      <c r="C604" s="305"/>
      <c r="D604" s="305"/>
      <c r="E604" s="305"/>
      <c r="F604" s="560"/>
    </row>
    <row r="605" spans="1:6" thickBot="1">
      <c r="A605" s="312"/>
      <c r="B605" s="312"/>
      <c r="C605" s="305"/>
      <c r="D605" s="305"/>
      <c r="E605" s="305"/>
      <c r="F605" s="560"/>
    </row>
    <row r="606" spans="1:6" thickBot="1">
      <c r="A606" s="312"/>
      <c r="B606" s="312"/>
      <c r="C606" s="305"/>
      <c r="D606" s="305"/>
      <c r="E606" s="305"/>
      <c r="F606" s="560"/>
    </row>
    <row r="607" spans="1:6" thickBot="1">
      <c r="A607" s="312"/>
      <c r="B607" s="312"/>
      <c r="C607" s="305"/>
      <c r="D607" s="305"/>
      <c r="E607" s="305"/>
      <c r="F607" s="560"/>
    </row>
    <row r="608" spans="1:6" thickBot="1">
      <c r="A608" s="312"/>
      <c r="B608" s="312"/>
      <c r="C608" s="305"/>
      <c r="D608" s="305"/>
      <c r="E608" s="305"/>
      <c r="F608" s="560"/>
    </row>
    <row r="609" spans="1:6" thickBot="1">
      <c r="A609" s="312"/>
      <c r="B609" s="312"/>
      <c r="C609" s="305"/>
      <c r="D609" s="305"/>
      <c r="E609" s="305"/>
      <c r="F609" s="560"/>
    </row>
    <row r="610" spans="1:6" thickBot="1">
      <c r="A610" s="312"/>
      <c r="B610" s="312"/>
      <c r="C610" s="305"/>
      <c r="D610" s="305"/>
      <c r="E610" s="305"/>
      <c r="F610" s="560"/>
    </row>
    <row r="611" spans="1:6" thickBot="1">
      <c r="A611" s="312"/>
      <c r="B611" s="312"/>
      <c r="C611" s="305"/>
      <c r="D611" s="305"/>
      <c r="E611" s="305"/>
      <c r="F611" s="560"/>
    </row>
    <row r="612" spans="1:6" thickBot="1">
      <c r="A612" s="312"/>
      <c r="B612" s="312"/>
      <c r="C612" s="305"/>
      <c r="D612" s="305"/>
      <c r="E612" s="305"/>
      <c r="F612" s="560"/>
    </row>
    <row r="613" spans="1:6" thickBot="1">
      <c r="A613" s="312"/>
      <c r="B613" s="312"/>
      <c r="C613" s="305"/>
      <c r="D613" s="305"/>
      <c r="E613" s="305"/>
      <c r="F613" s="560"/>
    </row>
    <row r="614" spans="1:6" thickBot="1">
      <c r="A614" s="312"/>
      <c r="B614" s="312"/>
      <c r="C614" s="305"/>
      <c r="D614" s="305"/>
      <c r="E614" s="305"/>
      <c r="F614" s="560"/>
    </row>
    <row r="615" spans="1:6" thickBot="1">
      <c r="A615" s="312"/>
      <c r="B615" s="312"/>
      <c r="C615" s="305"/>
      <c r="D615" s="305"/>
      <c r="E615" s="305"/>
      <c r="F615" s="560"/>
    </row>
    <row r="616" spans="1:6" thickBot="1">
      <c r="A616" s="312"/>
      <c r="B616" s="312"/>
      <c r="C616" s="305"/>
      <c r="D616" s="305"/>
      <c r="E616" s="305"/>
      <c r="F616" s="560"/>
    </row>
    <row r="617" spans="1:6" thickBot="1">
      <c r="A617" s="312"/>
      <c r="B617" s="312"/>
      <c r="C617" s="305"/>
      <c r="D617" s="305"/>
      <c r="E617" s="305"/>
      <c r="F617" s="560"/>
    </row>
    <row r="618" spans="1:6" thickBot="1">
      <c r="A618" s="312"/>
      <c r="B618" s="312"/>
      <c r="C618" s="305"/>
      <c r="D618" s="305"/>
      <c r="E618" s="305"/>
      <c r="F618" s="560"/>
    </row>
    <row r="619" spans="1:6" thickBot="1">
      <c r="A619" s="312"/>
      <c r="B619" s="312"/>
      <c r="C619" s="305"/>
      <c r="D619" s="305"/>
      <c r="E619" s="305"/>
      <c r="F619" s="560"/>
    </row>
    <row r="620" spans="1:6" thickBot="1">
      <c r="A620" s="312"/>
      <c r="B620" s="312"/>
      <c r="C620" s="305"/>
      <c r="D620" s="305"/>
      <c r="E620" s="305"/>
      <c r="F620" s="560"/>
    </row>
    <row r="621" spans="1:6" thickBot="1">
      <c r="A621" s="312"/>
      <c r="B621" s="312"/>
      <c r="C621" s="305"/>
      <c r="D621" s="305"/>
      <c r="E621" s="305"/>
      <c r="F621" s="560"/>
    </row>
    <row r="622" spans="1:6" thickBot="1">
      <c r="A622" s="312"/>
      <c r="B622" s="312"/>
      <c r="C622" s="305"/>
      <c r="D622" s="305"/>
      <c r="E622" s="305"/>
      <c r="F622" s="560"/>
    </row>
    <row r="623" spans="1:6" thickBot="1">
      <c r="A623" s="312"/>
      <c r="B623" s="312"/>
      <c r="C623" s="305"/>
      <c r="D623" s="305"/>
      <c r="E623" s="305"/>
      <c r="F623" s="560"/>
    </row>
    <row r="624" spans="1:6" thickBot="1">
      <c r="A624" s="312"/>
      <c r="B624" s="312"/>
      <c r="C624" s="305"/>
      <c r="D624" s="305"/>
      <c r="E624" s="305"/>
      <c r="F624" s="560"/>
    </row>
    <row r="625" ht="18.75"/>
    <row r="626" ht="18.75"/>
    <row r="627" ht="18.75"/>
    <row r="628" ht="18.75"/>
    <row r="629" ht="18.75"/>
    <row r="630" ht="18.75"/>
    <row r="631" ht="18.75"/>
    <row r="632" ht="18.75"/>
    <row r="633" ht="18.75"/>
    <row r="634" ht="18.75"/>
    <row r="635" ht="18.75"/>
    <row r="636" ht="18.75"/>
    <row r="637" ht="18.75"/>
    <row r="638" ht="18.75"/>
    <row r="639" ht="18.75"/>
    <row r="640" ht="18.75"/>
    <row r="641" ht="18.75"/>
    <row r="642" ht="18.75"/>
  </sheetData>
  <mergeCells count="13">
    <mergeCell ref="A3:F3"/>
    <mergeCell ref="A86:B86"/>
    <mergeCell ref="A85:B85"/>
    <mergeCell ref="A87:B87"/>
    <mergeCell ref="A110:B110"/>
    <mergeCell ref="A219:B219"/>
    <mergeCell ref="A228:B228"/>
    <mergeCell ref="A139:B139"/>
    <mergeCell ref="A120:B120"/>
    <mergeCell ref="A135:B135"/>
    <mergeCell ref="A155:B155"/>
    <mergeCell ref="A217:B217"/>
    <mergeCell ref="A218:B218"/>
  </mergeCells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  <rowBreaks count="6" manualBreakCount="6">
    <brk id="55" max="5" man="1"/>
    <brk id="103" max="5" man="1"/>
    <brk id="159" max="5" man="1"/>
    <brk id="206" max="5" man="1"/>
    <brk id="251" max="5" man="1"/>
    <brk id="270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H142"/>
  <sheetViews>
    <sheetView view="pageBreakPreview" zoomScaleSheetLayoutView="100" workbookViewId="0"/>
  </sheetViews>
  <sheetFormatPr defaultRowHeight="15"/>
  <cols>
    <col min="1" max="1" width="46.7109375" customWidth="1"/>
    <col min="2" max="2" width="13.5703125" customWidth="1"/>
    <col min="3" max="3" width="17.28515625" customWidth="1"/>
    <col min="4" max="4" width="13.85546875" customWidth="1"/>
    <col min="5" max="5" width="12" style="239" customWidth="1"/>
    <col min="6" max="8" width="13.5703125" customWidth="1"/>
    <col min="9" max="9" width="12" style="239" customWidth="1"/>
    <col min="10" max="12" width="14.28515625" customWidth="1"/>
    <col min="13" max="13" width="12" style="239" customWidth="1"/>
    <col min="14" max="16" width="12" customWidth="1"/>
    <col min="17" max="17" width="12" style="239" customWidth="1"/>
    <col min="18" max="20" width="12" customWidth="1"/>
    <col min="21" max="21" width="12" style="239" customWidth="1"/>
    <col min="22" max="24" width="12" customWidth="1"/>
    <col min="25" max="25" width="12" style="239" customWidth="1"/>
    <col min="26" max="26" width="14.42578125" customWidth="1"/>
    <col min="27" max="27" width="14.85546875" customWidth="1"/>
    <col min="28" max="28" width="12" customWidth="1"/>
    <col min="29" max="29" width="12" style="239" customWidth="1"/>
    <col min="30" max="32" width="12" customWidth="1"/>
    <col min="33" max="33" width="12" style="239" customWidth="1"/>
    <col min="34" max="36" width="15.5703125" customWidth="1"/>
    <col min="37" max="37" width="12" style="239" customWidth="1"/>
    <col min="38" max="40" width="15.5703125" customWidth="1"/>
    <col min="41" max="41" width="16.5703125" style="239" customWidth="1"/>
    <col min="42" max="44" width="15.7109375" customWidth="1"/>
    <col min="45" max="45" width="12" style="239" customWidth="1"/>
    <col min="46" max="48" width="13" customWidth="1"/>
  </cols>
  <sheetData>
    <row r="1" spans="1:86" s="125" customFormat="1" ht="16.5" customHeight="1">
      <c r="A1" s="815" t="s">
        <v>1039</v>
      </c>
      <c r="E1" s="219"/>
      <c r="I1" s="219"/>
      <c r="M1" s="219"/>
      <c r="Q1" s="219"/>
      <c r="U1" s="219"/>
      <c r="Y1" s="219" t="s">
        <v>390</v>
      </c>
      <c r="AC1" s="219"/>
      <c r="AG1" s="219"/>
      <c r="AK1" s="219"/>
      <c r="AO1" s="219"/>
      <c r="AS1" s="219" t="s">
        <v>391</v>
      </c>
    </row>
    <row r="2" spans="1:86" s="20" customFormat="1" ht="6.75" customHeight="1">
      <c r="A2" s="126"/>
      <c r="E2" s="220"/>
      <c r="I2" s="220"/>
      <c r="M2" s="220"/>
      <c r="Q2" s="220"/>
      <c r="U2" s="220"/>
      <c r="Y2" s="220"/>
      <c r="AC2" s="220"/>
      <c r="AG2" s="220"/>
      <c r="AK2" s="220"/>
      <c r="AO2" s="220"/>
      <c r="AS2" s="220"/>
    </row>
    <row r="3" spans="1:86" s="20" customFormat="1" ht="6.75" customHeight="1">
      <c r="A3" s="126"/>
      <c r="E3" s="220"/>
      <c r="I3" s="220"/>
      <c r="M3" s="220"/>
      <c r="Q3" s="220"/>
      <c r="U3" s="220"/>
      <c r="Y3" s="220"/>
      <c r="AC3" s="220"/>
      <c r="AG3" s="220"/>
      <c r="AK3" s="220"/>
      <c r="AO3" s="220"/>
      <c r="AS3" s="220"/>
    </row>
    <row r="4" spans="1:86" s="221" customFormat="1" ht="37.5" customHeight="1">
      <c r="A4" s="922" t="s">
        <v>829</v>
      </c>
      <c r="B4" s="922"/>
      <c r="C4" s="922"/>
      <c r="D4" s="922"/>
      <c r="E4" s="922"/>
      <c r="F4" s="922"/>
      <c r="G4" s="922"/>
      <c r="H4" s="922"/>
      <c r="I4" s="922"/>
      <c r="J4" s="922"/>
      <c r="K4" s="922"/>
      <c r="L4" s="922"/>
      <c r="M4" s="922"/>
      <c r="N4" s="922"/>
      <c r="O4" s="922"/>
      <c r="P4" s="922"/>
      <c r="Q4" s="922"/>
      <c r="R4" s="922"/>
      <c r="S4" s="922"/>
      <c r="T4" s="922"/>
      <c r="U4" s="922"/>
      <c r="V4" s="922"/>
      <c r="W4" s="922"/>
      <c r="X4" s="922"/>
      <c r="Y4" s="922"/>
      <c r="Z4" s="922" t="s">
        <v>829</v>
      </c>
      <c r="AA4" s="923"/>
      <c r="AB4" s="923"/>
      <c r="AC4" s="923"/>
      <c r="AD4" s="923"/>
      <c r="AE4" s="923"/>
      <c r="AF4" s="923"/>
      <c r="AG4" s="923"/>
      <c r="AH4" s="923"/>
      <c r="AI4" s="923"/>
      <c r="AJ4" s="923"/>
      <c r="AK4" s="923"/>
      <c r="AL4" s="923"/>
      <c r="AM4" s="923"/>
      <c r="AN4" s="923"/>
      <c r="AO4" s="923"/>
      <c r="AP4" s="923"/>
      <c r="AQ4" s="923"/>
      <c r="AR4" s="923"/>
      <c r="AS4" s="923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</row>
    <row r="5" spans="1:86" ht="15.75">
      <c r="A5" s="133"/>
      <c r="B5" s="133"/>
      <c r="C5" s="133"/>
      <c r="D5" s="133"/>
      <c r="E5" s="208"/>
      <c r="F5" s="133"/>
      <c r="G5" s="133"/>
      <c r="H5" s="133"/>
      <c r="I5" s="208"/>
      <c r="J5" s="133"/>
      <c r="K5" s="133"/>
      <c r="L5" s="133"/>
      <c r="M5" s="208"/>
      <c r="N5" s="133"/>
      <c r="O5" s="133"/>
      <c r="P5" s="133"/>
      <c r="Q5" s="208"/>
      <c r="R5" s="133"/>
      <c r="S5" s="133"/>
      <c r="T5" s="133"/>
      <c r="U5" s="208"/>
      <c r="V5" s="133"/>
      <c r="W5" s="133"/>
      <c r="X5" s="133"/>
      <c r="Y5" s="208"/>
      <c r="Z5" s="133"/>
      <c r="AA5" s="133"/>
      <c r="AB5" s="133"/>
      <c r="AC5" s="208"/>
      <c r="AD5" s="133"/>
      <c r="AE5" s="133"/>
      <c r="AF5" s="133"/>
      <c r="AG5" s="208"/>
      <c r="AH5" s="133"/>
      <c r="AI5" s="133"/>
      <c r="AJ5" s="133"/>
      <c r="AK5" s="208"/>
      <c r="AL5" s="133"/>
      <c r="AM5" s="133"/>
      <c r="AN5" s="133"/>
      <c r="AO5" s="208"/>
      <c r="AP5" s="133"/>
      <c r="AQ5" s="133"/>
      <c r="AR5" s="133"/>
      <c r="AS5" s="208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</row>
    <row r="6" spans="1:86" ht="16.5" thickBot="1">
      <c r="A6" s="133"/>
      <c r="B6" s="133"/>
      <c r="C6" s="133"/>
      <c r="D6" s="133"/>
      <c r="E6" s="208"/>
      <c r="F6" s="133"/>
      <c r="G6" s="133"/>
      <c r="H6" s="133"/>
      <c r="I6" s="208"/>
      <c r="J6" s="133"/>
      <c r="K6" s="133"/>
      <c r="L6" s="133"/>
      <c r="M6" s="208"/>
      <c r="N6" s="133"/>
      <c r="O6" s="133"/>
      <c r="P6" s="133"/>
      <c r="Q6" s="208"/>
      <c r="R6" s="133"/>
      <c r="S6" s="133"/>
      <c r="T6" s="133"/>
      <c r="U6" s="208"/>
      <c r="V6" s="133"/>
      <c r="W6" s="133"/>
      <c r="X6" s="133"/>
      <c r="Y6" s="208"/>
      <c r="Z6" s="133"/>
      <c r="AA6" s="133"/>
      <c r="AB6" s="133"/>
      <c r="AC6" s="208"/>
      <c r="AD6" s="133"/>
      <c r="AE6" s="133"/>
      <c r="AF6" s="133"/>
      <c r="AG6" s="208"/>
      <c r="AH6" s="133"/>
      <c r="AI6" s="133"/>
      <c r="AJ6" s="133"/>
      <c r="AK6" s="208"/>
      <c r="AL6" s="910"/>
      <c r="AM6" s="910"/>
      <c r="AN6" s="910"/>
      <c r="AO6" s="910"/>
      <c r="AP6" s="910"/>
      <c r="AQ6" s="50"/>
      <c r="AR6" s="50"/>
      <c r="AS6" s="47" t="s">
        <v>7</v>
      </c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</row>
    <row r="7" spans="1:86" s="137" customFormat="1" ht="13.5" customHeight="1" thickBot="1">
      <c r="A7" s="902" t="s">
        <v>365</v>
      </c>
      <c r="B7" s="899" t="s">
        <v>393</v>
      </c>
      <c r="C7" s="900"/>
      <c r="D7" s="900"/>
      <c r="E7" s="901"/>
      <c r="F7" s="899" t="s">
        <v>394</v>
      </c>
      <c r="G7" s="900"/>
      <c r="H7" s="900"/>
      <c r="I7" s="901"/>
      <c r="J7" s="899" t="s">
        <v>395</v>
      </c>
      <c r="K7" s="900"/>
      <c r="L7" s="900"/>
      <c r="M7" s="901"/>
      <c r="N7" s="899" t="s">
        <v>396</v>
      </c>
      <c r="O7" s="900"/>
      <c r="P7" s="900"/>
      <c r="Q7" s="901"/>
      <c r="R7" s="899" t="s">
        <v>397</v>
      </c>
      <c r="S7" s="900"/>
      <c r="T7" s="900"/>
      <c r="U7" s="901"/>
      <c r="V7" s="899" t="s">
        <v>398</v>
      </c>
      <c r="W7" s="900"/>
      <c r="X7" s="900"/>
      <c r="Y7" s="901"/>
      <c r="Z7" s="899" t="s">
        <v>399</v>
      </c>
      <c r="AA7" s="900"/>
      <c r="AB7" s="900"/>
      <c r="AC7" s="901"/>
      <c r="AD7" s="899" t="s">
        <v>400</v>
      </c>
      <c r="AE7" s="900"/>
      <c r="AF7" s="900"/>
      <c r="AG7" s="901"/>
      <c r="AH7" s="889">
        <v>3</v>
      </c>
      <c r="AI7" s="889"/>
      <c r="AJ7" s="889"/>
      <c r="AK7" s="889"/>
      <c r="AL7" s="889"/>
      <c r="AM7" s="889"/>
      <c r="AN7" s="889"/>
      <c r="AO7" s="889"/>
      <c r="AP7" s="889"/>
      <c r="AQ7" s="889"/>
      <c r="AR7" s="889"/>
      <c r="AS7" s="889"/>
      <c r="AT7" s="209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</row>
    <row r="8" spans="1:86" s="139" customFormat="1" ht="29.25" customHeight="1" thickBot="1">
      <c r="A8" s="903"/>
      <c r="B8" s="890" t="s">
        <v>403</v>
      </c>
      <c r="C8" s="891"/>
      <c r="D8" s="891"/>
      <c r="E8" s="892"/>
      <c r="F8" s="890" t="s">
        <v>404</v>
      </c>
      <c r="G8" s="891"/>
      <c r="H8" s="891"/>
      <c r="I8" s="892"/>
      <c r="J8" s="890" t="s">
        <v>405</v>
      </c>
      <c r="K8" s="891"/>
      <c r="L8" s="891"/>
      <c r="M8" s="892"/>
      <c r="N8" s="890" t="s">
        <v>406</v>
      </c>
      <c r="O8" s="891"/>
      <c r="P8" s="891"/>
      <c r="Q8" s="892"/>
      <c r="R8" s="890" t="s">
        <v>407</v>
      </c>
      <c r="S8" s="891"/>
      <c r="T8" s="891"/>
      <c r="U8" s="892"/>
      <c r="V8" s="890" t="s">
        <v>408</v>
      </c>
      <c r="W8" s="891"/>
      <c r="X8" s="891"/>
      <c r="Y8" s="892"/>
      <c r="Z8" s="890" t="s">
        <v>409</v>
      </c>
      <c r="AA8" s="891"/>
      <c r="AB8" s="891"/>
      <c r="AC8" s="892"/>
      <c r="AD8" s="890" t="s">
        <v>410</v>
      </c>
      <c r="AE8" s="891"/>
      <c r="AF8" s="891"/>
      <c r="AG8" s="892"/>
      <c r="AH8" s="888" t="s">
        <v>412</v>
      </c>
      <c r="AI8" s="888"/>
      <c r="AJ8" s="888"/>
      <c r="AK8" s="888"/>
      <c r="AL8" s="888"/>
      <c r="AM8" s="888"/>
      <c r="AN8" s="888"/>
      <c r="AO8" s="888"/>
      <c r="AP8" s="888"/>
      <c r="AQ8" s="888"/>
      <c r="AR8" s="888"/>
      <c r="AS8" s="888"/>
      <c r="AT8" s="210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</row>
    <row r="9" spans="1:86" s="139" customFormat="1" ht="12.75" hidden="1" customHeight="1">
      <c r="A9" s="903"/>
      <c r="B9" s="919"/>
      <c r="C9" s="920"/>
      <c r="D9" s="920"/>
      <c r="E9" s="921"/>
      <c r="F9" s="919"/>
      <c r="G9" s="920"/>
      <c r="H9" s="920"/>
      <c r="I9" s="921"/>
      <c r="J9" s="919"/>
      <c r="K9" s="920"/>
      <c r="L9" s="920"/>
      <c r="M9" s="921"/>
      <c r="N9" s="919"/>
      <c r="O9" s="920"/>
      <c r="P9" s="920"/>
      <c r="Q9" s="921"/>
      <c r="R9" s="919"/>
      <c r="S9" s="920"/>
      <c r="T9" s="920"/>
      <c r="U9" s="921"/>
      <c r="V9" s="919"/>
      <c r="W9" s="920"/>
      <c r="X9" s="920"/>
      <c r="Y9" s="921"/>
      <c r="Z9" s="919"/>
      <c r="AA9" s="920"/>
      <c r="AB9" s="920"/>
      <c r="AC9" s="921"/>
      <c r="AD9" s="919"/>
      <c r="AE9" s="920"/>
      <c r="AF9" s="920"/>
      <c r="AG9" s="921"/>
      <c r="AH9" s="888"/>
      <c r="AI9" s="888"/>
      <c r="AJ9" s="888"/>
      <c r="AK9" s="888"/>
      <c r="AL9" s="888"/>
      <c r="AM9" s="888"/>
      <c r="AN9" s="888"/>
      <c r="AO9" s="888"/>
      <c r="AP9" s="888"/>
      <c r="AQ9" s="888"/>
      <c r="AR9" s="888"/>
      <c r="AS9" s="888"/>
      <c r="AT9" s="210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</row>
    <row r="10" spans="1:86" s="139" customFormat="1" ht="24.75" customHeight="1" thickBot="1">
      <c r="A10" s="903"/>
      <c r="B10" s="893"/>
      <c r="C10" s="894"/>
      <c r="D10" s="894"/>
      <c r="E10" s="895"/>
      <c r="F10" s="893"/>
      <c r="G10" s="894"/>
      <c r="H10" s="894"/>
      <c r="I10" s="895"/>
      <c r="J10" s="893"/>
      <c r="K10" s="894"/>
      <c r="L10" s="894"/>
      <c r="M10" s="895"/>
      <c r="N10" s="893"/>
      <c r="O10" s="894"/>
      <c r="P10" s="894"/>
      <c r="Q10" s="895"/>
      <c r="R10" s="893"/>
      <c r="S10" s="894"/>
      <c r="T10" s="894"/>
      <c r="U10" s="895"/>
      <c r="V10" s="893"/>
      <c r="W10" s="894"/>
      <c r="X10" s="894"/>
      <c r="Y10" s="895"/>
      <c r="Z10" s="893"/>
      <c r="AA10" s="894"/>
      <c r="AB10" s="894"/>
      <c r="AC10" s="895"/>
      <c r="AD10" s="893"/>
      <c r="AE10" s="894"/>
      <c r="AF10" s="894"/>
      <c r="AG10" s="895"/>
      <c r="AH10" s="888" t="s">
        <v>341</v>
      </c>
      <c r="AI10" s="888"/>
      <c r="AJ10" s="888"/>
      <c r="AK10" s="888"/>
      <c r="AL10" s="888" t="s">
        <v>342</v>
      </c>
      <c r="AM10" s="888"/>
      <c r="AN10" s="888"/>
      <c r="AO10" s="888"/>
      <c r="AP10" s="888" t="s">
        <v>412</v>
      </c>
      <c r="AQ10" s="888"/>
      <c r="AR10" s="888"/>
      <c r="AS10" s="888"/>
      <c r="AT10" s="210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</row>
    <row r="11" spans="1:86" s="139" customFormat="1" ht="38.25" customHeight="1" thickBot="1">
      <c r="A11" s="904"/>
      <c r="B11" s="510" t="s">
        <v>343</v>
      </c>
      <c r="C11" s="510" t="s">
        <v>344</v>
      </c>
      <c r="D11" s="510" t="s">
        <v>285</v>
      </c>
      <c r="E11" s="212" t="s">
        <v>286</v>
      </c>
      <c r="F11" s="510" t="s">
        <v>343</v>
      </c>
      <c r="G11" s="510" t="s">
        <v>344</v>
      </c>
      <c r="H11" s="510" t="s">
        <v>285</v>
      </c>
      <c r="I11" s="212" t="s">
        <v>286</v>
      </c>
      <c r="J11" s="510" t="s">
        <v>343</v>
      </c>
      <c r="K11" s="510" t="s">
        <v>344</v>
      </c>
      <c r="L11" s="510" t="s">
        <v>285</v>
      </c>
      <c r="M11" s="212" t="s">
        <v>286</v>
      </c>
      <c r="N11" s="510" t="s">
        <v>343</v>
      </c>
      <c r="O11" s="510" t="s">
        <v>344</v>
      </c>
      <c r="P11" s="510" t="s">
        <v>285</v>
      </c>
      <c r="Q11" s="212" t="s">
        <v>286</v>
      </c>
      <c r="R11" s="510" t="s">
        <v>343</v>
      </c>
      <c r="S11" s="510" t="s">
        <v>344</v>
      </c>
      <c r="T11" s="510" t="s">
        <v>285</v>
      </c>
      <c r="U11" s="212" t="s">
        <v>286</v>
      </c>
      <c r="V11" s="510" t="s">
        <v>343</v>
      </c>
      <c r="W11" s="510" t="s">
        <v>344</v>
      </c>
      <c r="X11" s="510" t="s">
        <v>285</v>
      </c>
      <c r="Y11" s="212" t="s">
        <v>286</v>
      </c>
      <c r="Z11" s="510" t="s">
        <v>343</v>
      </c>
      <c r="AA11" s="510" t="s">
        <v>344</v>
      </c>
      <c r="AB11" s="510" t="s">
        <v>285</v>
      </c>
      <c r="AC11" s="212" t="s">
        <v>286</v>
      </c>
      <c r="AD11" s="510" t="s">
        <v>343</v>
      </c>
      <c r="AE11" s="510" t="s">
        <v>344</v>
      </c>
      <c r="AF11" s="510" t="s">
        <v>285</v>
      </c>
      <c r="AG11" s="212" t="s">
        <v>286</v>
      </c>
      <c r="AH11" s="510" t="s">
        <v>343</v>
      </c>
      <c r="AI11" s="510" t="s">
        <v>344</v>
      </c>
      <c r="AJ11" s="510" t="s">
        <v>285</v>
      </c>
      <c r="AK11" s="212" t="s">
        <v>286</v>
      </c>
      <c r="AL11" s="510" t="s">
        <v>343</v>
      </c>
      <c r="AM11" s="510" t="s">
        <v>344</v>
      </c>
      <c r="AN11" s="510" t="s">
        <v>285</v>
      </c>
      <c r="AO11" s="212" t="s">
        <v>286</v>
      </c>
      <c r="AP11" s="510" t="s">
        <v>343</v>
      </c>
      <c r="AQ11" s="510" t="s">
        <v>344</v>
      </c>
      <c r="AR11" s="510" t="s">
        <v>285</v>
      </c>
      <c r="AS11" s="212" t="s">
        <v>286</v>
      </c>
      <c r="AT11" s="210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</row>
    <row r="12" spans="1:86" s="145" customFormat="1" ht="39.950000000000003" customHeight="1">
      <c r="A12" s="141" t="s">
        <v>370</v>
      </c>
      <c r="B12" s="142"/>
      <c r="C12" s="142"/>
      <c r="D12" s="142"/>
      <c r="E12" s="213"/>
      <c r="F12" s="142"/>
      <c r="G12" s="142"/>
      <c r="H12" s="142"/>
      <c r="I12" s="213"/>
      <c r="J12" s="142"/>
      <c r="K12" s="142"/>
      <c r="L12" s="142"/>
      <c r="M12" s="213"/>
      <c r="N12" s="142"/>
      <c r="O12" s="142"/>
      <c r="P12" s="142"/>
      <c r="Q12" s="213"/>
      <c r="R12" s="142"/>
      <c r="S12" s="142"/>
      <c r="T12" s="142"/>
      <c r="U12" s="213"/>
      <c r="V12" s="142"/>
      <c r="W12" s="142"/>
      <c r="X12" s="142"/>
      <c r="Y12" s="213"/>
      <c r="Z12" s="142"/>
      <c r="AA12" s="142"/>
      <c r="AB12" s="142"/>
      <c r="AC12" s="213"/>
      <c r="AD12" s="142"/>
      <c r="AE12" s="142"/>
      <c r="AF12" s="142"/>
      <c r="AG12" s="213"/>
      <c r="AH12" s="142"/>
      <c r="AI12" s="142"/>
      <c r="AJ12" s="142"/>
      <c r="AK12" s="213"/>
      <c r="AL12" s="142"/>
      <c r="AM12" s="142"/>
      <c r="AN12" s="142"/>
      <c r="AO12" s="213"/>
      <c r="AP12" s="142"/>
      <c r="AQ12" s="142"/>
      <c r="AR12" s="142"/>
      <c r="AS12" s="213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</row>
    <row r="13" spans="1:86" s="145" customFormat="1" ht="39.950000000000003" customHeight="1">
      <c r="A13" s="146" t="s">
        <v>371</v>
      </c>
      <c r="B13" s="147">
        <v>412019000</v>
      </c>
      <c r="C13" s="147">
        <v>431238955</v>
      </c>
      <c r="D13" s="147">
        <v>431226150</v>
      </c>
      <c r="E13" s="148">
        <f>D13/C13</f>
        <v>0.99997030648587859</v>
      </c>
      <c r="F13" s="147">
        <v>80256000</v>
      </c>
      <c r="G13" s="147">
        <v>84871636</v>
      </c>
      <c r="H13" s="147">
        <v>84871636</v>
      </c>
      <c r="I13" s="148">
        <f>H13/G13</f>
        <v>1</v>
      </c>
      <c r="J13" s="147">
        <v>149360000</v>
      </c>
      <c r="K13" s="147">
        <v>132180588</v>
      </c>
      <c r="L13" s="147">
        <v>130255582</v>
      </c>
      <c r="M13" s="148">
        <f>L13/K13</f>
        <v>0.98543654534204372</v>
      </c>
      <c r="N13" s="166"/>
      <c r="O13" s="166"/>
      <c r="P13" s="147"/>
      <c r="Q13" s="148"/>
      <c r="R13" s="147"/>
      <c r="S13" s="147">
        <v>95000</v>
      </c>
      <c r="T13" s="147">
        <v>94727</v>
      </c>
      <c r="U13" s="148">
        <f>T13/S13</f>
        <v>0.99712631578947364</v>
      </c>
      <c r="V13" s="147"/>
      <c r="W13" s="147">
        <v>3564700</v>
      </c>
      <c r="X13" s="147">
        <v>3563681</v>
      </c>
      <c r="Y13" s="148">
        <f>X13/W13</f>
        <v>0.99971414144247761</v>
      </c>
      <c r="Z13" s="147"/>
      <c r="AA13" s="147"/>
      <c r="AB13" s="147"/>
      <c r="AC13" s="148"/>
      <c r="AD13" s="147"/>
      <c r="AE13" s="147"/>
      <c r="AF13" s="147"/>
      <c r="AG13" s="148"/>
      <c r="AH13" s="147">
        <f>SUM(B13+F13+J13+N13+R13)</f>
        <v>641635000</v>
      </c>
      <c r="AI13" s="147">
        <f t="shared" ref="AH13:AJ14" si="0">SUM(C13+G13+K13+O13+S13)</f>
        <v>648386179</v>
      </c>
      <c r="AJ13" s="147">
        <f t="shared" si="0"/>
        <v>646448095</v>
      </c>
      <c r="AK13" s="148">
        <f>AJ13/AI13</f>
        <v>0.99701091099290695</v>
      </c>
      <c r="AL13" s="147">
        <f t="shared" ref="AL13:AN14" si="1">SUM(V13+Z13+AD13)</f>
        <v>0</v>
      </c>
      <c r="AM13" s="147">
        <f t="shared" si="1"/>
        <v>3564700</v>
      </c>
      <c r="AN13" s="147">
        <f t="shared" si="1"/>
        <v>3563681</v>
      </c>
      <c r="AO13" s="148">
        <f>AN13/AM13</f>
        <v>0.99971414144247761</v>
      </c>
      <c r="AP13" s="147">
        <f t="shared" ref="AP13:AR14" si="2">SUM(AH13+AL13)</f>
        <v>641635000</v>
      </c>
      <c r="AQ13" s="147">
        <f t="shared" si="2"/>
        <v>651950879</v>
      </c>
      <c r="AR13" s="147">
        <f t="shared" si="2"/>
        <v>650011776</v>
      </c>
      <c r="AS13" s="148">
        <f>AR13/AQ13</f>
        <v>0.99702569156287613</v>
      </c>
      <c r="AT13" s="21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</row>
    <row r="14" spans="1:86" s="145" customFormat="1" ht="39.950000000000003" customHeight="1" thickBot="1">
      <c r="A14" s="151" t="s">
        <v>372</v>
      </c>
      <c r="B14" s="152"/>
      <c r="C14" s="152"/>
      <c r="D14" s="152"/>
      <c r="E14" s="181"/>
      <c r="F14" s="152"/>
      <c r="G14" s="152"/>
      <c r="H14" s="152"/>
      <c r="I14" s="181"/>
      <c r="J14" s="152"/>
      <c r="K14" s="152"/>
      <c r="L14" s="152"/>
      <c r="M14" s="181"/>
      <c r="N14" s="152"/>
      <c r="O14" s="152"/>
      <c r="P14" s="152"/>
      <c r="Q14" s="181"/>
      <c r="R14" s="152"/>
      <c r="S14" s="152"/>
      <c r="T14" s="152"/>
      <c r="U14" s="181"/>
      <c r="V14" s="152"/>
      <c r="W14" s="152"/>
      <c r="X14" s="152"/>
      <c r="Y14" s="181"/>
      <c r="Z14" s="152"/>
      <c r="AA14" s="152"/>
      <c r="AB14" s="152"/>
      <c r="AC14" s="181"/>
      <c r="AD14" s="152"/>
      <c r="AE14" s="152"/>
      <c r="AF14" s="152"/>
      <c r="AG14" s="181"/>
      <c r="AH14" s="147">
        <f t="shared" si="0"/>
        <v>0</v>
      </c>
      <c r="AI14" s="147">
        <f t="shared" si="0"/>
        <v>0</v>
      </c>
      <c r="AJ14" s="147">
        <f t="shared" si="0"/>
        <v>0</v>
      </c>
      <c r="AK14" s="181"/>
      <c r="AL14" s="147">
        <f t="shared" si="1"/>
        <v>0</v>
      </c>
      <c r="AM14" s="147">
        <f t="shared" si="1"/>
        <v>0</v>
      </c>
      <c r="AN14" s="147">
        <f t="shared" si="1"/>
        <v>0</v>
      </c>
      <c r="AO14" s="181"/>
      <c r="AP14" s="147">
        <f t="shared" si="2"/>
        <v>0</v>
      </c>
      <c r="AQ14" s="147">
        <f t="shared" si="2"/>
        <v>0</v>
      </c>
      <c r="AR14" s="147">
        <f t="shared" si="2"/>
        <v>0</v>
      </c>
      <c r="AS14" s="181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</row>
    <row r="15" spans="1:86" s="227" customFormat="1" ht="39.950000000000003" customHeight="1" thickBot="1">
      <c r="A15" s="223" t="s">
        <v>373</v>
      </c>
      <c r="B15" s="224">
        <f>B13+B14</f>
        <v>412019000</v>
      </c>
      <c r="C15" s="224">
        <f>C13+C14</f>
        <v>431238955</v>
      </c>
      <c r="D15" s="224">
        <f>D13+D14</f>
        <v>431226150</v>
      </c>
      <c r="E15" s="225">
        <f>D15/C15</f>
        <v>0.99997030648587859</v>
      </c>
      <c r="F15" s="224">
        <f t="shared" ref="F15:AN15" si="3">F13+F14</f>
        <v>80256000</v>
      </c>
      <c r="G15" s="224">
        <f t="shared" si="3"/>
        <v>84871636</v>
      </c>
      <c r="H15" s="224">
        <f>H13+H14</f>
        <v>84871636</v>
      </c>
      <c r="I15" s="225">
        <f>H15/G15</f>
        <v>1</v>
      </c>
      <c r="J15" s="224">
        <f t="shared" si="3"/>
        <v>149360000</v>
      </c>
      <c r="K15" s="224">
        <f t="shared" si="3"/>
        <v>132180588</v>
      </c>
      <c r="L15" s="224">
        <f>L13+L14</f>
        <v>130255582</v>
      </c>
      <c r="M15" s="225">
        <f>L15/K15</f>
        <v>0.98543654534204372</v>
      </c>
      <c r="N15" s="224">
        <f t="shared" si="3"/>
        <v>0</v>
      </c>
      <c r="O15" s="224">
        <f t="shared" si="3"/>
        <v>0</v>
      </c>
      <c r="P15" s="224">
        <f>P13+P14</f>
        <v>0</v>
      </c>
      <c r="Q15" s="225">
        <v>0</v>
      </c>
      <c r="R15" s="224">
        <f t="shared" si="3"/>
        <v>0</v>
      </c>
      <c r="S15" s="224">
        <f t="shared" si="3"/>
        <v>95000</v>
      </c>
      <c r="T15" s="224">
        <f>T13+T14</f>
        <v>94727</v>
      </c>
      <c r="U15" s="225">
        <f>T15/S15</f>
        <v>0.99712631578947364</v>
      </c>
      <c r="V15" s="224">
        <f t="shared" si="3"/>
        <v>0</v>
      </c>
      <c r="W15" s="224">
        <f t="shared" si="3"/>
        <v>3564700</v>
      </c>
      <c r="X15" s="224">
        <f>X13+X14</f>
        <v>3563681</v>
      </c>
      <c r="Y15" s="225">
        <f>X15/W15</f>
        <v>0.99971414144247761</v>
      </c>
      <c r="Z15" s="224">
        <f t="shared" si="3"/>
        <v>0</v>
      </c>
      <c r="AA15" s="224">
        <f t="shared" si="3"/>
        <v>0</v>
      </c>
      <c r="AB15" s="224">
        <f>AB13+AB14</f>
        <v>0</v>
      </c>
      <c r="AC15" s="225">
        <v>0</v>
      </c>
      <c r="AD15" s="224">
        <f t="shared" si="3"/>
        <v>0</v>
      </c>
      <c r="AE15" s="224">
        <f t="shared" si="3"/>
        <v>0</v>
      </c>
      <c r="AF15" s="224">
        <f>AF13+AF14</f>
        <v>0</v>
      </c>
      <c r="AG15" s="225">
        <v>0</v>
      </c>
      <c r="AH15" s="224">
        <f t="shared" si="3"/>
        <v>641635000</v>
      </c>
      <c r="AI15" s="224">
        <f t="shared" si="3"/>
        <v>648386179</v>
      </c>
      <c r="AJ15" s="224">
        <f t="shared" si="3"/>
        <v>646448095</v>
      </c>
      <c r="AK15" s="225">
        <f>AJ15/AI15</f>
        <v>0.99701091099290695</v>
      </c>
      <c r="AL15" s="224">
        <f t="shared" si="3"/>
        <v>0</v>
      </c>
      <c r="AM15" s="224">
        <f t="shared" si="3"/>
        <v>3564700</v>
      </c>
      <c r="AN15" s="224">
        <f t="shared" si="3"/>
        <v>3563681</v>
      </c>
      <c r="AO15" s="225">
        <f>AN15/AM15</f>
        <v>0.99971414144247761</v>
      </c>
      <c r="AP15" s="224">
        <f>AP13+AP14</f>
        <v>641635000</v>
      </c>
      <c r="AQ15" s="224">
        <f>AQ13+AQ14</f>
        <v>651950879</v>
      </c>
      <c r="AR15" s="224">
        <f>AR13+AR14</f>
        <v>650011776</v>
      </c>
      <c r="AS15" s="225">
        <f>AR15/AQ15</f>
        <v>0.99702569156287613</v>
      </c>
      <c r="AT15" s="214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</row>
    <row r="16" spans="1:86" s="145" customFormat="1" ht="39.950000000000003" customHeight="1">
      <c r="A16" s="141" t="s">
        <v>419</v>
      </c>
      <c r="B16" s="153"/>
      <c r="C16" s="153"/>
      <c r="D16" s="153"/>
      <c r="E16" s="160"/>
      <c r="F16" s="153"/>
      <c r="G16" s="153"/>
      <c r="H16" s="153"/>
      <c r="I16" s="160"/>
      <c r="J16" s="153"/>
      <c r="K16" s="153"/>
      <c r="L16" s="153"/>
      <c r="M16" s="160"/>
      <c r="N16" s="153"/>
      <c r="O16" s="153"/>
      <c r="P16" s="153"/>
      <c r="Q16" s="160"/>
      <c r="R16" s="153"/>
      <c r="S16" s="153"/>
      <c r="T16" s="153"/>
      <c r="U16" s="160"/>
      <c r="V16" s="153"/>
      <c r="W16" s="153"/>
      <c r="X16" s="153"/>
      <c r="Y16" s="160"/>
      <c r="Z16" s="153"/>
      <c r="AA16" s="153"/>
      <c r="AB16" s="153"/>
      <c r="AC16" s="160"/>
      <c r="AD16" s="153"/>
      <c r="AE16" s="153"/>
      <c r="AF16" s="153"/>
      <c r="AG16" s="160"/>
      <c r="AH16" s="153"/>
      <c r="AI16" s="153"/>
      <c r="AJ16" s="153"/>
      <c r="AK16" s="160"/>
      <c r="AL16" s="153"/>
      <c r="AM16" s="153"/>
      <c r="AN16" s="153"/>
      <c r="AO16" s="160"/>
      <c r="AP16" s="153"/>
      <c r="AQ16" s="153"/>
      <c r="AR16" s="153"/>
      <c r="AS16" s="160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</row>
    <row r="17" spans="1:86" s="171" customFormat="1" ht="39.950000000000003" customHeight="1">
      <c r="A17" s="215" t="s">
        <v>371</v>
      </c>
      <c r="B17" s="166">
        <v>79530490</v>
      </c>
      <c r="C17" s="166">
        <v>104503738</v>
      </c>
      <c r="D17" s="147">
        <v>104315994</v>
      </c>
      <c r="E17" s="148">
        <f>D17/C17</f>
        <v>0.99820347096101003</v>
      </c>
      <c r="F17" s="166">
        <v>14607000</v>
      </c>
      <c r="G17" s="166">
        <v>20310980</v>
      </c>
      <c r="H17" s="147">
        <v>20310233</v>
      </c>
      <c r="I17" s="148">
        <f>H17/G17</f>
        <v>0.99996322186324837</v>
      </c>
      <c r="J17" s="166">
        <v>69267256</v>
      </c>
      <c r="K17" s="166">
        <v>113659753</v>
      </c>
      <c r="L17" s="147">
        <v>84926050</v>
      </c>
      <c r="M17" s="148">
        <f>L17/K17</f>
        <v>0.74719544745095479</v>
      </c>
      <c r="N17" s="166"/>
      <c r="O17" s="166"/>
      <c r="P17" s="147"/>
      <c r="Q17" s="148"/>
      <c r="R17" s="166"/>
      <c r="S17" s="166">
        <v>569200</v>
      </c>
      <c r="T17" s="147">
        <v>569141</v>
      </c>
      <c r="U17" s="148">
        <f>T17/S17</f>
        <v>0.99989634574841879</v>
      </c>
      <c r="V17" s="166"/>
      <c r="W17" s="166">
        <v>3671263</v>
      </c>
      <c r="X17" s="147">
        <v>3670950</v>
      </c>
      <c r="Y17" s="148">
        <f>X17/W17</f>
        <v>0.99991474323686425</v>
      </c>
      <c r="Z17" s="166"/>
      <c r="AA17" s="166">
        <v>18826821</v>
      </c>
      <c r="AB17" s="147">
        <v>18826821</v>
      </c>
      <c r="AC17" s="148">
        <f>AB17/AA17</f>
        <v>1</v>
      </c>
      <c r="AD17" s="166"/>
      <c r="AE17" s="166"/>
      <c r="AF17" s="147"/>
      <c r="AG17" s="148"/>
      <c r="AH17" s="147">
        <f t="shared" ref="AH17:AH18" si="4">SUM(B17+F17+J17+N17+R17)</f>
        <v>163404746</v>
      </c>
      <c r="AI17" s="147">
        <f>SUM(C17+G17+K17+O17+S17)</f>
        <v>239043671</v>
      </c>
      <c r="AJ17" s="147">
        <f>SUM(D17+H17+L17+P17+T17)</f>
        <v>210121418</v>
      </c>
      <c r="AK17" s="148">
        <f>AJ17/AI17</f>
        <v>0.87900849715448015</v>
      </c>
      <c r="AL17" s="147">
        <f t="shared" ref="AL17:AN18" si="5">SUM(V17+Z17+AD17)</f>
        <v>0</v>
      </c>
      <c r="AM17" s="147">
        <f t="shared" si="5"/>
        <v>22498084</v>
      </c>
      <c r="AN17" s="147">
        <f t="shared" si="5"/>
        <v>22497771</v>
      </c>
      <c r="AO17" s="148">
        <v>0</v>
      </c>
      <c r="AP17" s="147">
        <f>SUM(AH17+AL17)</f>
        <v>163404746</v>
      </c>
      <c r="AQ17" s="147">
        <f t="shared" ref="AQ17:AR18" si="6">SUM(AI17+AM17)</f>
        <v>261541755</v>
      </c>
      <c r="AR17" s="147">
        <f t="shared" si="6"/>
        <v>232619189</v>
      </c>
      <c r="AS17" s="148">
        <f>AR17/AQ17</f>
        <v>0.88941511079177393</v>
      </c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</row>
    <row r="18" spans="1:86" s="171" customFormat="1" ht="39.950000000000003" customHeight="1" thickBot="1">
      <c r="A18" s="172" t="s">
        <v>372</v>
      </c>
      <c r="B18" s="173"/>
      <c r="C18" s="173"/>
      <c r="D18" s="152"/>
      <c r="E18" s="181"/>
      <c r="F18" s="173"/>
      <c r="G18" s="173"/>
      <c r="H18" s="152"/>
      <c r="I18" s="181"/>
      <c r="J18" s="173"/>
      <c r="K18" s="173"/>
      <c r="L18" s="152"/>
      <c r="M18" s="181"/>
      <c r="N18" s="173"/>
      <c r="O18" s="173"/>
      <c r="P18" s="152"/>
      <c r="Q18" s="181"/>
      <c r="R18" s="173"/>
      <c r="S18" s="173"/>
      <c r="T18" s="152"/>
      <c r="U18" s="181"/>
      <c r="V18" s="173"/>
      <c r="W18" s="173"/>
      <c r="X18" s="152"/>
      <c r="Y18" s="181"/>
      <c r="Z18" s="173"/>
      <c r="AA18" s="173"/>
      <c r="AB18" s="152"/>
      <c r="AC18" s="181"/>
      <c r="AD18" s="173"/>
      <c r="AE18" s="173"/>
      <c r="AF18" s="152"/>
      <c r="AG18" s="181"/>
      <c r="AH18" s="147">
        <f t="shared" si="4"/>
        <v>0</v>
      </c>
      <c r="AI18" s="147">
        <f>SUM(C18+G18+K18+O18+S18)</f>
        <v>0</v>
      </c>
      <c r="AJ18" s="147">
        <f>SUM(D18+H18+L18+P18+T18)</f>
        <v>0</v>
      </c>
      <c r="AK18" s="181"/>
      <c r="AL18" s="147">
        <f t="shared" si="5"/>
        <v>0</v>
      </c>
      <c r="AM18" s="147">
        <f t="shared" si="5"/>
        <v>0</v>
      </c>
      <c r="AN18" s="147">
        <f t="shared" si="5"/>
        <v>0</v>
      </c>
      <c r="AO18" s="181">
        <v>0</v>
      </c>
      <c r="AP18" s="147">
        <f>SUM(AH18+AL18)</f>
        <v>0</v>
      </c>
      <c r="AQ18" s="147">
        <f t="shared" si="6"/>
        <v>0</v>
      </c>
      <c r="AR18" s="147">
        <f t="shared" si="6"/>
        <v>0</v>
      </c>
      <c r="AS18" s="181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</row>
    <row r="19" spans="1:86" s="227" customFormat="1" ht="39.950000000000003" customHeight="1" thickBot="1">
      <c r="A19" s="223" t="s">
        <v>375</v>
      </c>
      <c r="B19" s="224">
        <f>B17+B18</f>
        <v>79530490</v>
      </c>
      <c r="C19" s="224">
        <f>C17+C18</f>
        <v>104503738</v>
      </c>
      <c r="D19" s="224">
        <f>D17+D18</f>
        <v>104315994</v>
      </c>
      <c r="E19" s="225">
        <f>D19/C19</f>
        <v>0.99820347096101003</v>
      </c>
      <c r="F19" s="224">
        <f t="shared" ref="F19:AR19" si="7">F17+F18</f>
        <v>14607000</v>
      </c>
      <c r="G19" s="224">
        <f t="shared" si="7"/>
        <v>20310980</v>
      </c>
      <c r="H19" s="224">
        <f>H17+H18</f>
        <v>20310233</v>
      </c>
      <c r="I19" s="225">
        <f>H19/G19</f>
        <v>0.99996322186324837</v>
      </c>
      <c r="J19" s="224">
        <f t="shared" si="7"/>
        <v>69267256</v>
      </c>
      <c r="K19" s="224">
        <f t="shared" si="7"/>
        <v>113659753</v>
      </c>
      <c r="L19" s="224">
        <f>L17+L18</f>
        <v>84926050</v>
      </c>
      <c r="M19" s="225">
        <f>L19/K19</f>
        <v>0.74719544745095479</v>
      </c>
      <c r="N19" s="224">
        <f t="shared" si="7"/>
        <v>0</v>
      </c>
      <c r="O19" s="224">
        <f t="shared" si="7"/>
        <v>0</v>
      </c>
      <c r="P19" s="224">
        <f>P17+P18</f>
        <v>0</v>
      </c>
      <c r="Q19" s="225">
        <v>0</v>
      </c>
      <c r="R19" s="224">
        <f t="shared" si="7"/>
        <v>0</v>
      </c>
      <c r="S19" s="224">
        <f t="shared" si="7"/>
        <v>569200</v>
      </c>
      <c r="T19" s="224">
        <f>T17+T18</f>
        <v>569141</v>
      </c>
      <c r="U19" s="225">
        <f>T19/S19</f>
        <v>0.99989634574841879</v>
      </c>
      <c r="V19" s="224">
        <f t="shared" si="7"/>
        <v>0</v>
      </c>
      <c r="W19" s="224">
        <f t="shared" si="7"/>
        <v>3671263</v>
      </c>
      <c r="X19" s="224">
        <f>X17+X18</f>
        <v>3670950</v>
      </c>
      <c r="Y19" s="225">
        <f>X19/W19</f>
        <v>0.99991474323686425</v>
      </c>
      <c r="Z19" s="224">
        <f t="shared" si="7"/>
        <v>0</v>
      </c>
      <c r="AA19" s="224">
        <f t="shared" si="7"/>
        <v>18826821</v>
      </c>
      <c r="AB19" s="224">
        <f>AB17+AB18</f>
        <v>18826821</v>
      </c>
      <c r="AC19" s="225">
        <v>0</v>
      </c>
      <c r="AD19" s="224">
        <f t="shared" si="7"/>
        <v>0</v>
      </c>
      <c r="AE19" s="224">
        <f t="shared" si="7"/>
        <v>0</v>
      </c>
      <c r="AF19" s="224">
        <f>AF17+AF18</f>
        <v>0</v>
      </c>
      <c r="AG19" s="225">
        <v>0</v>
      </c>
      <c r="AH19" s="224">
        <f t="shared" ref="AH19:AJ19" si="8">AH17+AH18</f>
        <v>163404746</v>
      </c>
      <c r="AI19" s="224">
        <f t="shared" si="8"/>
        <v>239043671</v>
      </c>
      <c r="AJ19" s="224">
        <f t="shared" si="8"/>
        <v>210121418</v>
      </c>
      <c r="AK19" s="225">
        <f>AJ19/AI19</f>
        <v>0.87900849715448015</v>
      </c>
      <c r="AL19" s="224">
        <f t="shared" ref="AL19:AN19" si="9">AL17+AL18</f>
        <v>0</v>
      </c>
      <c r="AM19" s="224">
        <f t="shared" si="9"/>
        <v>22498084</v>
      </c>
      <c r="AN19" s="224">
        <f t="shared" si="9"/>
        <v>22497771</v>
      </c>
      <c r="AO19" s="225">
        <v>0</v>
      </c>
      <c r="AP19" s="224">
        <f t="shared" si="7"/>
        <v>163404746</v>
      </c>
      <c r="AQ19" s="224">
        <f t="shared" si="7"/>
        <v>261541755</v>
      </c>
      <c r="AR19" s="224">
        <f t="shared" si="7"/>
        <v>232619189</v>
      </c>
      <c r="AS19" s="225">
        <f>AR19/AQ19</f>
        <v>0.88941511079177393</v>
      </c>
      <c r="AT19" s="214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</row>
    <row r="20" spans="1:86" s="145" customFormat="1" ht="39.950000000000003" customHeight="1">
      <c r="A20" s="141" t="s">
        <v>376</v>
      </c>
      <c r="B20" s="153"/>
      <c r="C20" s="153"/>
      <c r="D20" s="153"/>
      <c r="E20" s="160"/>
      <c r="F20" s="153"/>
      <c r="G20" s="153"/>
      <c r="H20" s="153"/>
      <c r="I20" s="160"/>
      <c r="J20" s="153"/>
      <c r="K20" s="153"/>
      <c r="L20" s="153"/>
      <c r="M20" s="160"/>
      <c r="N20" s="153"/>
      <c r="O20" s="153"/>
      <c r="P20" s="153"/>
      <c r="Q20" s="160"/>
      <c r="R20" s="153"/>
      <c r="S20" s="153"/>
      <c r="T20" s="153"/>
      <c r="U20" s="160"/>
      <c r="V20" s="153"/>
      <c r="W20" s="153"/>
      <c r="X20" s="153"/>
      <c r="Y20" s="160"/>
      <c r="Z20" s="153"/>
      <c r="AA20" s="153"/>
      <c r="AB20" s="153"/>
      <c r="AC20" s="160"/>
      <c r="AD20" s="153"/>
      <c r="AE20" s="153"/>
      <c r="AF20" s="153"/>
      <c r="AG20" s="160"/>
      <c r="AH20" s="153"/>
      <c r="AI20" s="153"/>
      <c r="AJ20" s="153"/>
      <c r="AK20" s="160"/>
      <c r="AL20" s="153"/>
      <c r="AM20" s="153"/>
      <c r="AN20" s="153"/>
      <c r="AO20" s="160"/>
      <c r="AP20" s="153"/>
      <c r="AQ20" s="153"/>
      <c r="AR20" s="153"/>
      <c r="AS20" s="160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</row>
    <row r="21" spans="1:86" s="145" customFormat="1" ht="39.950000000000003" customHeight="1">
      <c r="A21" s="146" t="s">
        <v>371</v>
      </c>
      <c r="B21" s="147">
        <v>108639053</v>
      </c>
      <c r="C21" s="147">
        <v>103596457</v>
      </c>
      <c r="D21" s="147">
        <v>103533322</v>
      </c>
      <c r="E21" s="148">
        <f>D21/C21</f>
        <v>0.99939056796121895</v>
      </c>
      <c r="F21" s="147">
        <v>20314805</v>
      </c>
      <c r="G21" s="147">
        <v>21675362</v>
      </c>
      <c r="H21" s="147">
        <v>21674772</v>
      </c>
      <c r="I21" s="148">
        <f>H21/G21</f>
        <v>0.99997278015472124</v>
      </c>
      <c r="J21" s="147">
        <v>192635385</v>
      </c>
      <c r="K21" s="147">
        <v>191193472</v>
      </c>
      <c r="L21" s="147">
        <v>199617394</v>
      </c>
      <c r="M21" s="148">
        <f>L21/K21</f>
        <v>1.044059673752878</v>
      </c>
      <c r="N21" s="166"/>
      <c r="O21" s="166"/>
      <c r="P21" s="147"/>
      <c r="Q21" s="148"/>
      <c r="R21" s="147"/>
      <c r="S21" s="147">
        <v>607517</v>
      </c>
      <c r="T21" s="147">
        <v>607517</v>
      </c>
      <c r="U21" s="148">
        <f>T21/S21</f>
        <v>1</v>
      </c>
      <c r="V21" s="147"/>
      <c r="W21" s="147">
        <v>1286320</v>
      </c>
      <c r="X21" s="147">
        <v>1286288</v>
      </c>
      <c r="Y21" s="148">
        <f>X21/W21</f>
        <v>0.99997512283102186</v>
      </c>
      <c r="Z21" s="147">
        <v>114167900</v>
      </c>
      <c r="AA21" s="147">
        <v>31992827</v>
      </c>
      <c r="AB21" s="147">
        <v>33046675</v>
      </c>
      <c r="AC21" s="148">
        <f>AB21/AA21</f>
        <v>1.0329401337368529</v>
      </c>
      <c r="AD21" s="147"/>
      <c r="AE21" s="147"/>
      <c r="AF21" s="147"/>
      <c r="AG21" s="148">
        <v>0</v>
      </c>
      <c r="AH21" s="147">
        <f t="shared" ref="AH21" si="10">SUM(B21+F21+J21+N21+R21)</f>
        <v>321589243</v>
      </c>
      <c r="AI21" s="147">
        <f>SUM(C21+G21+K21+O21+S21)</f>
        <v>317072808</v>
      </c>
      <c r="AJ21" s="147">
        <f>SUM(D21+H21+L21+P21+T21)</f>
        <v>325433005</v>
      </c>
      <c r="AK21" s="148">
        <f>AJ21/AI21</f>
        <v>1.0263668053174715</v>
      </c>
      <c r="AL21" s="147">
        <f t="shared" ref="AL21:AM24" si="11">SUM(V21+Z21+AD21)</f>
        <v>114167900</v>
      </c>
      <c r="AM21" s="147">
        <f t="shared" si="11"/>
        <v>33279147</v>
      </c>
      <c r="AN21" s="147">
        <f>SUM(X21+AB21+AF21)</f>
        <v>34332963</v>
      </c>
      <c r="AO21" s="148">
        <f>AN21/AM21</f>
        <v>1.0316659558611885</v>
      </c>
      <c r="AP21" s="147">
        <f>SUM(AH21+AL21)</f>
        <v>435757143</v>
      </c>
      <c r="AQ21" s="147">
        <f t="shared" ref="AQ21" si="12">SUM(AI21+AM21)</f>
        <v>350351955</v>
      </c>
      <c r="AR21" s="147">
        <f>SUM(AJ21+AN21)</f>
        <v>359765968</v>
      </c>
      <c r="AS21" s="148">
        <f>AR21/AQ21</f>
        <v>1.0268701597512135</v>
      </c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</row>
    <row r="22" spans="1:86" s="145" customFormat="1" ht="39.950000000000003" customHeight="1">
      <c r="A22" s="172" t="s">
        <v>823</v>
      </c>
      <c r="B22" s="153"/>
      <c r="C22" s="153"/>
      <c r="D22" s="153"/>
      <c r="E22" s="160"/>
      <c r="F22" s="153"/>
      <c r="G22" s="153"/>
      <c r="H22" s="153"/>
      <c r="I22" s="160"/>
      <c r="J22" s="153"/>
      <c r="K22" s="153">
        <v>2300000</v>
      </c>
      <c r="L22" s="153">
        <v>2295430</v>
      </c>
      <c r="M22" s="148">
        <f>L22/K22</f>
        <v>0.99801304347826092</v>
      </c>
      <c r="N22" s="165"/>
      <c r="O22" s="165"/>
      <c r="P22" s="153"/>
      <c r="Q22" s="160"/>
      <c r="R22" s="153"/>
      <c r="S22" s="153"/>
      <c r="T22" s="153"/>
      <c r="U22" s="160"/>
      <c r="V22" s="153"/>
      <c r="W22" s="153"/>
      <c r="X22" s="153"/>
      <c r="Y22" s="160"/>
      <c r="Z22" s="153"/>
      <c r="AA22" s="153">
        <v>111867900</v>
      </c>
      <c r="AB22" s="153">
        <v>6676140</v>
      </c>
      <c r="AC22" s="160">
        <f>AB22/AA22</f>
        <v>5.9678781848948627E-2</v>
      </c>
      <c r="AD22" s="153"/>
      <c r="AE22" s="153"/>
      <c r="AF22" s="153"/>
      <c r="AG22" s="160"/>
      <c r="AH22" s="153"/>
      <c r="AI22" s="153">
        <f t="shared" ref="AI22:AI23" si="13">SUM(C22+G22+K22+O22+S22)</f>
        <v>2300000</v>
      </c>
      <c r="AJ22" s="153">
        <f t="shared" ref="AJ22:AJ23" si="14">SUM(D22+H22+L22+P22+T22)</f>
        <v>2295430</v>
      </c>
      <c r="AK22" s="160">
        <f t="shared" ref="AK22:AK24" si="15">AJ22/AI22</f>
        <v>0.99801304347826092</v>
      </c>
      <c r="AL22" s="153"/>
      <c r="AM22" s="153">
        <f t="shared" ref="AM22:AM24" si="16">SUM(W22+AA22+AE22)</f>
        <v>111867900</v>
      </c>
      <c r="AN22" s="153">
        <f t="shared" ref="AN22:AN24" si="17">SUM(X22+AB22+AF22)</f>
        <v>6676140</v>
      </c>
      <c r="AO22" s="160">
        <f t="shared" ref="AO22:AO24" si="18">AN22/AM22</f>
        <v>5.9678781848948627E-2</v>
      </c>
      <c r="AP22" s="153">
        <f t="shared" ref="AP22:AP24" si="19">SUM(AH22+AL22)</f>
        <v>0</v>
      </c>
      <c r="AQ22" s="153">
        <f t="shared" ref="AQ22:AQ24" si="20">SUM(AI22+AM22)</f>
        <v>114167900</v>
      </c>
      <c r="AR22" s="153">
        <f t="shared" ref="AR22:AR24" si="21">SUM(AJ22+AN22)</f>
        <v>8971570</v>
      </c>
      <c r="AS22" s="160">
        <f t="shared" ref="AS22:AS24" si="22">AR22/AQ22</f>
        <v>7.8582245972817225E-2</v>
      </c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</row>
    <row r="23" spans="1:86" s="145" customFormat="1" ht="39.950000000000003" customHeight="1">
      <c r="A23" s="172" t="s">
        <v>825</v>
      </c>
      <c r="B23" s="230"/>
      <c r="C23" s="230">
        <v>2158600</v>
      </c>
      <c r="D23" s="230">
        <v>2217892</v>
      </c>
      <c r="E23" s="636">
        <f t="shared" ref="E23:E24" si="23">D23/C23</f>
        <v>1.0274678032057816</v>
      </c>
      <c r="F23" s="230"/>
      <c r="G23" s="230">
        <v>523000</v>
      </c>
      <c r="H23" s="230">
        <v>432489</v>
      </c>
      <c r="I23" s="636">
        <f>H23/G23</f>
        <v>0.82693881453154872</v>
      </c>
      <c r="J23" s="230"/>
      <c r="K23" s="230"/>
      <c r="L23" s="230"/>
      <c r="M23" s="636"/>
      <c r="N23" s="637"/>
      <c r="O23" s="637"/>
      <c r="P23" s="230"/>
      <c r="Q23" s="636"/>
      <c r="R23" s="230"/>
      <c r="S23" s="230"/>
      <c r="T23" s="230"/>
      <c r="U23" s="636"/>
      <c r="V23" s="230"/>
      <c r="W23" s="230"/>
      <c r="X23" s="230"/>
      <c r="Y23" s="636"/>
      <c r="Z23" s="230"/>
      <c r="AA23" s="230"/>
      <c r="AB23" s="230"/>
      <c r="AC23" s="636"/>
      <c r="AD23" s="230"/>
      <c r="AE23" s="230"/>
      <c r="AF23" s="230"/>
      <c r="AG23" s="636"/>
      <c r="AH23" s="230"/>
      <c r="AI23" s="230">
        <f t="shared" si="13"/>
        <v>2681600</v>
      </c>
      <c r="AJ23" s="230">
        <f t="shared" si="14"/>
        <v>2650381</v>
      </c>
      <c r="AK23" s="636">
        <f t="shared" si="15"/>
        <v>0.98835806980906926</v>
      </c>
      <c r="AL23" s="230"/>
      <c r="AM23" s="230">
        <f t="shared" si="16"/>
        <v>0</v>
      </c>
      <c r="AN23" s="230">
        <f t="shared" si="17"/>
        <v>0</v>
      </c>
      <c r="AO23" s="636">
        <v>0</v>
      </c>
      <c r="AP23" s="230">
        <f t="shared" si="19"/>
        <v>0</v>
      </c>
      <c r="AQ23" s="230">
        <f t="shared" si="20"/>
        <v>2681600</v>
      </c>
      <c r="AR23" s="230">
        <f t="shared" si="21"/>
        <v>2650381</v>
      </c>
      <c r="AS23" s="636">
        <f t="shared" si="22"/>
        <v>0.98835806980906926</v>
      </c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</row>
    <row r="24" spans="1:86" s="145" customFormat="1" ht="39.950000000000003" customHeight="1" thickBot="1">
      <c r="A24" s="172" t="s">
        <v>824</v>
      </c>
      <c r="B24" s="152"/>
      <c r="C24" s="152">
        <v>281733046</v>
      </c>
      <c r="D24" s="152">
        <v>278015841</v>
      </c>
      <c r="E24" s="148">
        <f t="shared" si="23"/>
        <v>0.98680593188205545</v>
      </c>
      <c r="F24" s="152"/>
      <c r="G24" s="152">
        <v>39206934</v>
      </c>
      <c r="H24" s="152">
        <v>28991542</v>
      </c>
      <c r="I24" s="181"/>
      <c r="J24" s="152"/>
      <c r="K24" s="152">
        <v>61794846</v>
      </c>
      <c r="L24" s="152">
        <v>52583435</v>
      </c>
      <c r="M24" s="148">
        <f>L24/K24</f>
        <v>0.85093561039054944</v>
      </c>
      <c r="N24" s="152"/>
      <c r="O24" s="152"/>
      <c r="P24" s="152"/>
      <c r="Q24" s="181"/>
      <c r="R24" s="152"/>
      <c r="S24" s="152">
        <v>4813000</v>
      </c>
      <c r="T24" s="152">
        <v>4812397</v>
      </c>
      <c r="U24" s="148">
        <f>T24/S24</f>
        <v>0.99987471431539576</v>
      </c>
      <c r="V24" s="152"/>
      <c r="W24" s="152">
        <v>5561035</v>
      </c>
      <c r="X24" s="152">
        <v>5560920</v>
      </c>
      <c r="Y24" s="148">
        <f>X24/W24</f>
        <v>0.99997932039629311</v>
      </c>
      <c r="Z24" s="152"/>
      <c r="AA24" s="152"/>
      <c r="AB24" s="152"/>
      <c r="AC24" s="181"/>
      <c r="AD24" s="152"/>
      <c r="AE24" s="152"/>
      <c r="AF24" s="152"/>
      <c r="AG24" s="181"/>
      <c r="AH24" s="147">
        <f>SUM(B24+F24+J24+N24+R24)</f>
        <v>0</v>
      </c>
      <c r="AI24" s="147">
        <f>SUM(C24+G24+K24+O24+S24)</f>
        <v>387547826</v>
      </c>
      <c r="AJ24" s="147">
        <f>SUM(D24+H24+L24+P24+T24)</f>
        <v>364403215</v>
      </c>
      <c r="AK24" s="148">
        <f t="shared" si="15"/>
        <v>0.94027934245204614</v>
      </c>
      <c r="AL24" s="147">
        <f t="shared" si="11"/>
        <v>0</v>
      </c>
      <c r="AM24" s="147">
        <f t="shared" si="16"/>
        <v>5561035</v>
      </c>
      <c r="AN24" s="147">
        <f t="shared" si="17"/>
        <v>5560920</v>
      </c>
      <c r="AO24" s="148">
        <f t="shared" si="18"/>
        <v>0.99997932039629311</v>
      </c>
      <c r="AP24" s="147">
        <f t="shared" si="19"/>
        <v>0</v>
      </c>
      <c r="AQ24" s="147">
        <f t="shared" si="20"/>
        <v>393108861</v>
      </c>
      <c r="AR24" s="147">
        <f t="shared" si="21"/>
        <v>369964135</v>
      </c>
      <c r="AS24" s="148">
        <f t="shared" si="22"/>
        <v>0.94112387611634118</v>
      </c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</row>
    <row r="25" spans="1:86" s="227" customFormat="1" ht="39.950000000000003" customHeight="1" thickBot="1">
      <c r="A25" s="223" t="s">
        <v>377</v>
      </c>
      <c r="B25" s="224">
        <f>SUM(B21:B24)</f>
        <v>108639053</v>
      </c>
      <c r="C25" s="224">
        <f t="shared" ref="C25:D25" si="24">SUM(C21:C24)</f>
        <v>387488103</v>
      </c>
      <c r="D25" s="224">
        <f t="shared" si="24"/>
        <v>383767055</v>
      </c>
      <c r="E25" s="225">
        <f>D25/C25</f>
        <v>0.99039700065320457</v>
      </c>
      <c r="F25" s="224">
        <f>SUM(F21:F24)</f>
        <v>20314805</v>
      </c>
      <c r="G25" s="224">
        <f t="shared" ref="G25" si="25">SUM(G21:G24)</f>
        <v>61405296</v>
      </c>
      <c r="H25" s="224">
        <f t="shared" ref="H25" si="26">SUM(H21:H24)</f>
        <v>51098803</v>
      </c>
      <c r="I25" s="225">
        <f>H25/G25</f>
        <v>0.83215628502140926</v>
      </c>
      <c r="J25" s="224">
        <f>SUM(J21:J24)</f>
        <v>192635385</v>
      </c>
      <c r="K25" s="224">
        <f t="shared" ref="K25" si="27">SUM(K21:K24)</f>
        <v>255288318</v>
      </c>
      <c r="L25" s="224">
        <f t="shared" ref="L25" si="28">SUM(L21:L24)</f>
        <v>254496259</v>
      </c>
      <c r="M25" s="225">
        <f>L25/K25</f>
        <v>0.99689739426306223</v>
      </c>
      <c r="N25" s="224">
        <f>SUM(N21:N24)</f>
        <v>0</v>
      </c>
      <c r="O25" s="224">
        <f t="shared" ref="O25" si="29">SUM(O21:O24)</f>
        <v>0</v>
      </c>
      <c r="P25" s="224">
        <f t="shared" ref="P25" si="30">SUM(P21:P24)</f>
        <v>0</v>
      </c>
      <c r="Q25" s="225">
        <v>0</v>
      </c>
      <c r="R25" s="224">
        <f>SUM(R21:R24)</f>
        <v>0</v>
      </c>
      <c r="S25" s="224">
        <f t="shared" ref="S25" si="31">SUM(S21:S24)</f>
        <v>5420517</v>
      </c>
      <c r="T25" s="224">
        <f t="shared" ref="T25" si="32">SUM(T21:T24)</f>
        <v>5419914</v>
      </c>
      <c r="U25" s="225">
        <f>T25/S25</f>
        <v>0.99988875599873595</v>
      </c>
      <c r="V25" s="224">
        <f>SUM(V21:V24)</f>
        <v>0</v>
      </c>
      <c r="W25" s="224">
        <f t="shared" ref="W25" si="33">SUM(W21:W24)</f>
        <v>6847355</v>
      </c>
      <c r="X25" s="224">
        <f t="shared" ref="X25" si="34">SUM(X21:X24)</f>
        <v>6847208</v>
      </c>
      <c r="Y25" s="225">
        <f>X25/W25</f>
        <v>0.99997853185646135</v>
      </c>
      <c r="Z25" s="224">
        <f>SUM(Z21:Z24)</f>
        <v>114167900</v>
      </c>
      <c r="AA25" s="224">
        <f t="shared" ref="AA25" si="35">SUM(AA21:AA24)</f>
        <v>143860727</v>
      </c>
      <c r="AB25" s="224">
        <f t="shared" ref="AB25" si="36">SUM(AB21:AB24)</f>
        <v>39722815</v>
      </c>
      <c r="AC25" s="225">
        <f>AB25/AA25</f>
        <v>0.27611993786184608</v>
      </c>
      <c r="AD25" s="224">
        <f>SUM(AD21:AD24)</f>
        <v>0</v>
      </c>
      <c r="AE25" s="224">
        <f t="shared" ref="AE25" si="37">SUM(AE21:AE24)</f>
        <v>0</v>
      </c>
      <c r="AF25" s="224">
        <f t="shared" ref="AF25" si="38">SUM(AF21:AF24)</f>
        <v>0</v>
      </c>
      <c r="AG25" s="225">
        <v>0</v>
      </c>
      <c r="AH25" s="224">
        <f>SUM(AH21:AH24)</f>
        <v>321589243</v>
      </c>
      <c r="AI25" s="224">
        <f t="shared" ref="AI25" si="39">SUM(AI21:AI24)</f>
        <v>709602234</v>
      </c>
      <c r="AJ25" s="224">
        <f t="shared" ref="AJ25" si="40">SUM(AJ21:AJ24)</f>
        <v>694782031</v>
      </c>
      <c r="AK25" s="225">
        <f>AJ25/AI25</f>
        <v>0.97911477403832414</v>
      </c>
      <c r="AL25" s="224">
        <f>SUM(AL21:AL24)</f>
        <v>114167900</v>
      </c>
      <c r="AM25" s="224">
        <f t="shared" ref="AM25" si="41">SUM(AM21:AM24)</f>
        <v>150708082</v>
      </c>
      <c r="AN25" s="224">
        <f t="shared" ref="AN25" si="42">SUM(AN21:AN24)</f>
        <v>46570023</v>
      </c>
      <c r="AO25" s="225">
        <f>AN25/AM25</f>
        <v>0.30900813268926081</v>
      </c>
      <c r="AP25" s="224">
        <f>SUM(AP21:AP24)</f>
        <v>435757143</v>
      </c>
      <c r="AQ25" s="224">
        <f>SUM(AQ21:AQ24)</f>
        <v>860310316</v>
      </c>
      <c r="AR25" s="224">
        <f t="shared" ref="AR25" si="43">SUM(AR21:AR24)</f>
        <v>741352054</v>
      </c>
      <c r="AS25" s="225">
        <f>AR25/AQ25</f>
        <v>0.86172633317580727</v>
      </c>
      <c r="AT25" s="214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</row>
    <row r="26" spans="1:86" s="145" customFormat="1" ht="39.950000000000003" customHeight="1">
      <c r="A26" s="141" t="s">
        <v>378</v>
      </c>
      <c r="B26" s="153"/>
      <c r="C26" s="153"/>
      <c r="D26" s="153"/>
      <c r="E26" s="160"/>
      <c r="F26" s="153"/>
      <c r="G26" s="153"/>
      <c r="H26" s="153"/>
      <c r="I26" s="160"/>
      <c r="J26" s="153"/>
      <c r="K26" s="153"/>
      <c r="L26" s="153"/>
      <c r="M26" s="160"/>
      <c r="N26" s="153"/>
      <c r="O26" s="153"/>
      <c r="P26" s="153"/>
      <c r="Q26" s="160"/>
      <c r="R26" s="153"/>
      <c r="S26" s="153"/>
      <c r="T26" s="153"/>
      <c r="U26" s="160"/>
      <c r="V26" s="153"/>
      <c r="W26" s="153"/>
      <c r="X26" s="153"/>
      <c r="Y26" s="160"/>
      <c r="Z26" s="153"/>
      <c r="AA26" s="153"/>
      <c r="AB26" s="153"/>
      <c r="AC26" s="160"/>
      <c r="AD26" s="153"/>
      <c r="AE26" s="153"/>
      <c r="AF26" s="153"/>
      <c r="AG26" s="160"/>
      <c r="AH26" s="153"/>
      <c r="AI26" s="153"/>
      <c r="AJ26" s="153"/>
      <c r="AK26" s="160"/>
      <c r="AL26" s="153"/>
      <c r="AM26" s="153"/>
      <c r="AN26" s="153"/>
      <c r="AO26" s="160"/>
      <c r="AP26" s="153"/>
      <c r="AQ26" s="153"/>
      <c r="AR26" s="153"/>
      <c r="AS26" s="160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</row>
    <row r="27" spans="1:86" s="171" customFormat="1" ht="39.950000000000003" customHeight="1">
      <c r="A27" s="164" t="s">
        <v>371</v>
      </c>
      <c r="B27" s="165">
        <v>26413456</v>
      </c>
      <c r="C27" s="165">
        <v>19971540</v>
      </c>
      <c r="D27" s="166">
        <v>19967712</v>
      </c>
      <c r="E27" s="167">
        <f t="shared" ref="E27:E32" si="44">D27/C27</f>
        <v>0.99980832724967628</v>
      </c>
      <c r="F27" s="165">
        <v>5063140</v>
      </c>
      <c r="G27" s="165">
        <v>4712225</v>
      </c>
      <c r="H27" s="166">
        <v>3859208</v>
      </c>
      <c r="I27" s="167">
        <f t="shared" ref="I27:I32" si="45">H27/G27</f>
        <v>0.81897787138772027</v>
      </c>
      <c r="J27" s="165">
        <v>12288086</v>
      </c>
      <c r="K27" s="165">
        <v>9529007</v>
      </c>
      <c r="L27" s="166">
        <v>9514053</v>
      </c>
      <c r="M27" s="167">
        <f t="shared" ref="M27:M32" si="46">L27/K27</f>
        <v>0.99843068642934152</v>
      </c>
      <c r="N27" s="165"/>
      <c r="O27" s="165"/>
      <c r="P27" s="166"/>
      <c r="Q27" s="167"/>
      <c r="R27" s="165"/>
      <c r="S27" s="165">
        <v>2100</v>
      </c>
      <c r="T27" s="166">
        <v>2038</v>
      </c>
      <c r="U27" s="167">
        <f t="shared" ref="U27:U32" si="47">T27/S27</f>
        <v>0.97047619047619049</v>
      </c>
      <c r="V27" s="165"/>
      <c r="W27" s="165">
        <v>1256100</v>
      </c>
      <c r="X27" s="166">
        <v>1253880</v>
      </c>
      <c r="Y27" s="167">
        <f>X27/W27</f>
        <v>0.99823262479101982</v>
      </c>
      <c r="Z27" s="165"/>
      <c r="AA27" s="165">
        <v>0</v>
      </c>
      <c r="AB27" s="166"/>
      <c r="AC27" s="167"/>
      <c r="AD27" s="165"/>
      <c r="AE27" s="165"/>
      <c r="AF27" s="166"/>
      <c r="AG27" s="167"/>
      <c r="AH27" s="166">
        <f t="shared" ref="AH27:AH28" si="48">SUM(B27+F27+J27+N27+R27)</f>
        <v>43764682</v>
      </c>
      <c r="AI27" s="166">
        <f>SUM(C27+G27+K27+O27+S27)</f>
        <v>34214872</v>
      </c>
      <c r="AJ27" s="166">
        <f>SUM(D27+H27+L27+P27+T27)</f>
        <v>33343011</v>
      </c>
      <c r="AK27" s="167">
        <f t="shared" ref="AK27:AK32" si="49">AJ27/AI27</f>
        <v>0.97451806921855499</v>
      </c>
      <c r="AL27" s="166">
        <f t="shared" ref="AL27:AN28" si="50">SUM(V27+Z27+AD27)</f>
        <v>0</v>
      </c>
      <c r="AM27" s="166">
        <f t="shared" si="50"/>
        <v>1256100</v>
      </c>
      <c r="AN27" s="166">
        <f t="shared" si="50"/>
        <v>1253880</v>
      </c>
      <c r="AO27" s="167">
        <f t="shared" ref="AO27:AO32" si="51">AN27/AM27</f>
        <v>0.99823262479101982</v>
      </c>
      <c r="AP27" s="166">
        <f>SUM(AH27+AL27)</f>
        <v>43764682</v>
      </c>
      <c r="AQ27" s="166">
        <f t="shared" ref="AQ27:AR28" si="52">SUM(AI27+AM27)</f>
        <v>35470972</v>
      </c>
      <c r="AR27" s="166">
        <f>SUM(AJ27+AN27)</f>
        <v>34596891</v>
      </c>
      <c r="AS27" s="167">
        <f t="shared" ref="AS27:AS32" si="53">AR27/AQ27</f>
        <v>0.97535785035718781</v>
      </c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</row>
    <row r="28" spans="1:86" s="171" customFormat="1" ht="39.950000000000003" customHeight="1" thickBot="1">
      <c r="A28" s="172" t="s">
        <v>372</v>
      </c>
      <c r="B28" s="173"/>
      <c r="C28" s="173">
        <v>11593821</v>
      </c>
      <c r="D28" s="173">
        <v>11593821</v>
      </c>
      <c r="E28" s="167">
        <f t="shared" si="44"/>
        <v>1</v>
      </c>
      <c r="F28" s="173"/>
      <c r="G28" s="173">
        <v>2183453</v>
      </c>
      <c r="H28" s="173">
        <v>2183453</v>
      </c>
      <c r="I28" s="167">
        <f t="shared" si="45"/>
        <v>1</v>
      </c>
      <c r="J28" s="173"/>
      <c r="K28" s="173">
        <v>7749121</v>
      </c>
      <c r="L28" s="173">
        <v>7747946</v>
      </c>
      <c r="M28" s="167">
        <f t="shared" si="46"/>
        <v>0.99984836989898596</v>
      </c>
      <c r="N28" s="173"/>
      <c r="O28" s="173"/>
      <c r="P28" s="173"/>
      <c r="Q28" s="182"/>
      <c r="R28" s="173"/>
      <c r="S28" s="173"/>
      <c r="T28" s="173"/>
      <c r="U28" s="167"/>
      <c r="V28" s="173"/>
      <c r="W28" s="173"/>
      <c r="X28" s="173"/>
      <c r="Y28" s="167"/>
      <c r="Z28" s="173"/>
      <c r="AA28" s="173"/>
      <c r="AB28" s="173"/>
      <c r="AC28" s="182"/>
      <c r="AD28" s="173"/>
      <c r="AE28" s="173"/>
      <c r="AF28" s="173"/>
      <c r="AG28" s="182"/>
      <c r="AH28" s="166">
        <f t="shared" si="48"/>
        <v>0</v>
      </c>
      <c r="AI28" s="166">
        <f>SUM(C28+G28+K28+O28+S28)</f>
        <v>21526395</v>
      </c>
      <c r="AJ28" s="166">
        <f>SUM(D28+H28+L28+P28+T28)</f>
        <v>21525220</v>
      </c>
      <c r="AK28" s="167">
        <f t="shared" si="49"/>
        <v>0.99994541584877539</v>
      </c>
      <c r="AL28" s="166">
        <f t="shared" si="50"/>
        <v>0</v>
      </c>
      <c r="AM28" s="166">
        <f t="shared" si="50"/>
        <v>0</v>
      </c>
      <c r="AN28" s="166">
        <f t="shared" si="50"/>
        <v>0</v>
      </c>
      <c r="AO28" s="167">
        <v>0</v>
      </c>
      <c r="AP28" s="166">
        <f>SUM(AH28+AL28)</f>
        <v>0</v>
      </c>
      <c r="AQ28" s="166">
        <f t="shared" si="52"/>
        <v>21526395</v>
      </c>
      <c r="AR28" s="166">
        <f t="shared" si="52"/>
        <v>21525220</v>
      </c>
      <c r="AS28" s="167">
        <f t="shared" si="53"/>
        <v>0.99994541584877539</v>
      </c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</row>
    <row r="29" spans="1:86" s="227" customFormat="1" ht="27" customHeight="1" thickBot="1">
      <c r="A29" s="223" t="s">
        <v>379</v>
      </c>
      <c r="B29" s="224">
        <f>B27+B28</f>
        <v>26413456</v>
      </c>
      <c r="C29" s="224">
        <f>C27+C28</f>
        <v>31565361</v>
      </c>
      <c r="D29" s="224">
        <f>D27+D28</f>
        <v>31561533</v>
      </c>
      <c r="E29" s="225">
        <f t="shared" si="44"/>
        <v>0.99987872782446552</v>
      </c>
      <c r="F29" s="224">
        <f t="shared" ref="F29:AR29" si="54">F27+F28</f>
        <v>5063140</v>
      </c>
      <c r="G29" s="224">
        <f t="shared" si="54"/>
        <v>6895678</v>
      </c>
      <c r="H29" s="224">
        <f>H27+H28</f>
        <v>6042661</v>
      </c>
      <c r="I29" s="225">
        <f t="shared" si="45"/>
        <v>0.87629686304957977</v>
      </c>
      <c r="J29" s="224">
        <f t="shared" si="54"/>
        <v>12288086</v>
      </c>
      <c r="K29" s="224">
        <f t="shared" si="54"/>
        <v>17278128</v>
      </c>
      <c r="L29" s="224">
        <f>L27+L28</f>
        <v>17261999</v>
      </c>
      <c r="M29" s="225">
        <f t="shared" si="46"/>
        <v>0.99906650766796035</v>
      </c>
      <c r="N29" s="224">
        <f t="shared" si="54"/>
        <v>0</v>
      </c>
      <c r="O29" s="224">
        <f t="shared" si="54"/>
        <v>0</v>
      </c>
      <c r="P29" s="224">
        <f>P27+P28</f>
        <v>0</v>
      </c>
      <c r="Q29" s="225">
        <v>0</v>
      </c>
      <c r="R29" s="224">
        <f t="shared" si="54"/>
        <v>0</v>
      </c>
      <c r="S29" s="224">
        <f t="shared" si="54"/>
        <v>2100</v>
      </c>
      <c r="T29" s="224">
        <f>T27+T28</f>
        <v>2038</v>
      </c>
      <c r="U29" s="225">
        <f t="shared" si="47"/>
        <v>0.97047619047619049</v>
      </c>
      <c r="V29" s="224">
        <f t="shared" si="54"/>
        <v>0</v>
      </c>
      <c r="W29" s="224">
        <f t="shared" si="54"/>
        <v>1256100</v>
      </c>
      <c r="X29" s="224">
        <f>X27+X28</f>
        <v>1253880</v>
      </c>
      <c r="Y29" s="225">
        <f t="shared" ref="Y29:Y32" si="55">X29/W29</f>
        <v>0.99823262479101982</v>
      </c>
      <c r="Z29" s="224">
        <f t="shared" si="54"/>
        <v>0</v>
      </c>
      <c r="AA29" s="224">
        <f t="shared" si="54"/>
        <v>0</v>
      </c>
      <c r="AB29" s="224">
        <f>AB27+AB28</f>
        <v>0</v>
      </c>
      <c r="AC29" s="225">
        <v>0</v>
      </c>
      <c r="AD29" s="224">
        <f t="shared" si="54"/>
        <v>0</v>
      </c>
      <c r="AE29" s="224">
        <f t="shared" si="54"/>
        <v>0</v>
      </c>
      <c r="AF29" s="224">
        <f>AF27+AF28</f>
        <v>0</v>
      </c>
      <c r="AG29" s="225">
        <v>0</v>
      </c>
      <c r="AH29" s="224">
        <f t="shared" ref="AH29:AJ29" si="56">AH27+AH28</f>
        <v>43764682</v>
      </c>
      <c r="AI29" s="224">
        <f t="shared" si="56"/>
        <v>55741267</v>
      </c>
      <c r="AJ29" s="224">
        <f t="shared" si="56"/>
        <v>54868231</v>
      </c>
      <c r="AK29" s="225">
        <f t="shared" si="49"/>
        <v>0.98433770800365916</v>
      </c>
      <c r="AL29" s="224">
        <f t="shared" ref="AL29:AN29" si="57">AL27+AL28</f>
        <v>0</v>
      </c>
      <c r="AM29" s="224">
        <f t="shared" si="57"/>
        <v>1256100</v>
      </c>
      <c r="AN29" s="224">
        <f t="shared" si="57"/>
        <v>1253880</v>
      </c>
      <c r="AO29" s="225">
        <f t="shared" si="51"/>
        <v>0.99823262479101982</v>
      </c>
      <c r="AP29" s="224">
        <f t="shared" si="54"/>
        <v>43764682</v>
      </c>
      <c r="AQ29" s="224">
        <f t="shared" si="54"/>
        <v>56997367</v>
      </c>
      <c r="AR29" s="224">
        <f t="shared" si="54"/>
        <v>56122111</v>
      </c>
      <c r="AS29" s="225">
        <f t="shared" si="53"/>
        <v>0.98464392223591657</v>
      </c>
      <c r="AT29" s="214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</row>
    <row r="30" spans="1:86" s="145" customFormat="1" ht="50.1" customHeight="1" thickBot="1">
      <c r="A30" s="179" t="s">
        <v>380</v>
      </c>
      <c r="B30" s="228">
        <f>B13+B17+B21+B27</f>
        <v>626601999</v>
      </c>
      <c r="C30" s="228">
        <f>C13+C17+C21+C27</f>
        <v>659310690</v>
      </c>
      <c r="D30" s="228">
        <f>D13+D17+D21+D27</f>
        <v>659043178</v>
      </c>
      <c r="E30" s="160">
        <f t="shared" si="44"/>
        <v>0.99959425502413746</v>
      </c>
      <c r="F30" s="228">
        <f>F13+F17+F21+F27</f>
        <v>120240945</v>
      </c>
      <c r="G30" s="228">
        <f>G13+G17+G21+G27</f>
        <v>131570203</v>
      </c>
      <c r="H30" s="228">
        <f>H13+H17+H21+H27</f>
        <v>130715849</v>
      </c>
      <c r="I30" s="160">
        <f t="shared" si="45"/>
        <v>0.99350647805871362</v>
      </c>
      <c r="J30" s="228">
        <f>J13+J17+J21+J27</f>
        <v>423550727</v>
      </c>
      <c r="K30" s="228">
        <f>K13+K17+K21+K27</f>
        <v>446562820</v>
      </c>
      <c r="L30" s="228">
        <f>L13+L17+L21+L27</f>
        <v>424313079</v>
      </c>
      <c r="M30" s="160">
        <f t="shared" si="46"/>
        <v>0.9501755632051947</v>
      </c>
      <c r="N30" s="228">
        <f>N13+N17+N21+N27</f>
        <v>0</v>
      </c>
      <c r="O30" s="228">
        <f>O13+O17+O21+O27</f>
        <v>0</v>
      </c>
      <c r="P30" s="228">
        <f>P13+P17+P21+P27</f>
        <v>0</v>
      </c>
      <c r="Q30" s="160">
        <v>0</v>
      </c>
      <c r="R30" s="228">
        <f>R13+R17+R21+R27</f>
        <v>0</v>
      </c>
      <c r="S30" s="228">
        <f>S13+S17+S21+S27</f>
        <v>1273817</v>
      </c>
      <c r="T30" s="228">
        <f>T13+T17+T21+T27</f>
        <v>1273423</v>
      </c>
      <c r="U30" s="160">
        <f t="shared" si="47"/>
        <v>0.99969069340415462</v>
      </c>
      <c r="V30" s="228">
        <f>V13+V17+V21+V27</f>
        <v>0</v>
      </c>
      <c r="W30" s="228">
        <f>W13+W17+W21+W27</f>
        <v>9778383</v>
      </c>
      <c r="X30" s="228">
        <f>X13+X17+X21+X27</f>
        <v>9774799</v>
      </c>
      <c r="Y30" s="160">
        <f t="shared" si="55"/>
        <v>0.99963347723238083</v>
      </c>
      <c r="Z30" s="228">
        <f>Z13+Z17+Z21+Z27</f>
        <v>114167900</v>
      </c>
      <c r="AA30" s="228">
        <f>AA13+AA17+AA21+AA27</f>
        <v>50819648</v>
      </c>
      <c r="AB30" s="228">
        <f>AB13+AB17+AB21+AB27</f>
        <v>51873496</v>
      </c>
      <c r="AC30" s="160">
        <f>AB30/AA30</f>
        <v>1.0207370188789973</v>
      </c>
      <c r="AD30" s="228">
        <f>AD13+AD17+AD21+AD27</f>
        <v>0</v>
      </c>
      <c r="AE30" s="228">
        <f>AE13+AE17+AE21+AE27</f>
        <v>0</v>
      </c>
      <c r="AF30" s="228">
        <f>AF13+AF17+AF21+AF27</f>
        <v>0</v>
      </c>
      <c r="AG30" s="160">
        <v>0</v>
      </c>
      <c r="AH30" s="153">
        <f t="shared" ref="AH30:AH31" si="58">SUM(B30+F30+J30+N30+R30)</f>
        <v>1170393671</v>
      </c>
      <c r="AI30" s="153">
        <f>SUM(C30+G30+K30+O30+S30)</f>
        <v>1238717530</v>
      </c>
      <c r="AJ30" s="153">
        <f>SUM(D30+H30+L30+P30+T30)</f>
        <v>1215345529</v>
      </c>
      <c r="AK30" s="160">
        <f t="shared" si="49"/>
        <v>0.98113209796909873</v>
      </c>
      <c r="AL30" s="153">
        <f>SUM(V30+Z30+AD30)</f>
        <v>114167900</v>
      </c>
      <c r="AM30" s="153">
        <f>SUM(W30+AA30+AE30)</f>
        <v>60598031</v>
      </c>
      <c r="AN30" s="180">
        <f>AN13+AN17+AN21+AN27</f>
        <v>61648295</v>
      </c>
      <c r="AO30" s="160">
        <f t="shared" si="51"/>
        <v>1.0173316522446083</v>
      </c>
      <c r="AP30" s="153">
        <f>SUM(AH30+AL30)</f>
        <v>1284561571</v>
      </c>
      <c r="AQ30" s="153">
        <f t="shared" ref="AQ30:AR31" si="59">SUM(AI30+AM30)</f>
        <v>1299315561</v>
      </c>
      <c r="AR30" s="153">
        <f t="shared" si="59"/>
        <v>1276993824</v>
      </c>
      <c r="AS30" s="160">
        <f t="shared" si="53"/>
        <v>0.98282038815665351</v>
      </c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</row>
    <row r="31" spans="1:86" s="145" customFormat="1" ht="50.1" customHeight="1" thickBot="1">
      <c r="A31" s="179" t="s">
        <v>381</v>
      </c>
      <c r="B31" s="153">
        <f>B14+B18+B24+B28+B23+B22</f>
        <v>0</v>
      </c>
      <c r="C31" s="153">
        <f t="shared" ref="C31:D31" si="60">C14+C18+C24+C28+C23+C22</f>
        <v>295485467</v>
      </c>
      <c r="D31" s="153">
        <f t="shared" si="60"/>
        <v>291827554</v>
      </c>
      <c r="E31" s="176">
        <f t="shared" si="44"/>
        <v>0.98762066697513762</v>
      </c>
      <c r="F31" s="153">
        <f>F14+F18+F24+F28+F23+F22</f>
        <v>0</v>
      </c>
      <c r="G31" s="153">
        <f t="shared" ref="G31:H31" si="61">G14+G18+G24+G28+G23+G22</f>
        <v>41913387</v>
      </c>
      <c r="H31" s="153">
        <f t="shared" si="61"/>
        <v>31607484</v>
      </c>
      <c r="I31" s="176">
        <f t="shared" si="45"/>
        <v>0.75411428811515524</v>
      </c>
      <c r="J31" s="153">
        <f>J14+J18+J24+J28+J23+J22</f>
        <v>0</v>
      </c>
      <c r="K31" s="153">
        <f t="shared" ref="K31:L31" si="62">K14+K18+K24+K28+K23+K22</f>
        <v>71843967</v>
      </c>
      <c r="L31" s="153">
        <f t="shared" si="62"/>
        <v>62626811</v>
      </c>
      <c r="M31" s="176">
        <f t="shared" si="46"/>
        <v>0.87170591512576134</v>
      </c>
      <c r="N31" s="153">
        <f>N14+N18+N24+N28+N23+N22</f>
        <v>0</v>
      </c>
      <c r="O31" s="153">
        <f t="shared" ref="O31:P31" si="63">O14+O18+O24+O28+O23+O22</f>
        <v>0</v>
      </c>
      <c r="P31" s="153">
        <f t="shared" si="63"/>
        <v>0</v>
      </c>
      <c r="Q31" s="176">
        <v>0</v>
      </c>
      <c r="R31" s="153">
        <f>R14+R18+R24+R28+R23+R22</f>
        <v>0</v>
      </c>
      <c r="S31" s="153">
        <f t="shared" ref="S31:T31" si="64">S14+S18+S24+S28+S23+S22</f>
        <v>4813000</v>
      </c>
      <c r="T31" s="153">
        <f t="shared" si="64"/>
        <v>4812397</v>
      </c>
      <c r="U31" s="176">
        <f t="shared" si="47"/>
        <v>0.99987471431539576</v>
      </c>
      <c r="V31" s="153">
        <f>V14+V18+V24+V28+V23+V22</f>
        <v>0</v>
      </c>
      <c r="W31" s="153">
        <f t="shared" ref="W31:X31" si="65">W14+W18+W24+W28+W23+W22</f>
        <v>5561035</v>
      </c>
      <c r="X31" s="153">
        <f t="shared" si="65"/>
        <v>5560920</v>
      </c>
      <c r="Y31" s="176">
        <v>0</v>
      </c>
      <c r="Z31" s="153">
        <f>Z14+Z18+Z24+Z28+Z23+Z22</f>
        <v>0</v>
      </c>
      <c r="AA31" s="153">
        <f t="shared" ref="AA31:AB31" si="66">AA14+AA18+AA24+AA28+AA23+AA22</f>
        <v>111867900</v>
      </c>
      <c r="AB31" s="153">
        <f t="shared" si="66"/>
        <v>6676140</v>
      </c>
      <c r="AC31" s="176">
        <v>0</v>
      </c>
      <c r="AD31" s="153">
        <f>AD14+AD18+AD24+AD28+AD23+AD22</f>
        <v>0</v>
      </c>
      <c r="AE31" s="153">
        <f t="shared" ref="AE31:AF31" si="67">AE14+AE18+AE24+AE28+AE23+AE22</f>
        <v>0</v>
      </c>
      <c r="AF31" s="153">
        <f t="shared" si="67"/>
        <v>0</v>
      </c>
      <c r="AG31" s="176">
        <v>0</v>
      </c>
      <c r="AH31" s="228">
        <f t="shared" si="58"/>
        <v>0</v>
      </c>
      <c r="AI31" s="228">
        <f>SUM(C31+G31+K31+O31+S31)</f>
        <v>414055821</v>
      </c>
      <c r="AJ31" s="228">
        <f>SUM(D31+H31+L31+P31+T31)</f>
        <v>390874246</v>
      </c>
      <c r="AK31" s="176">
        <f t="shared" si="49"/>
        <v>0.94401340634696695</v>
      </c>
      <c r="AL31" s="228">
        <f>SUM(V31+Z31+AD31)</f>
        <v>0</v>
      </c>
      <c r="AM31" s="228">
        <f>SUM(W31+AA31+AE31)</f>
        <v>117428935</v>
      </c>
      <c r="AN31" s="228">
        <f>AN14+AN18+AN24+AN28</f>
        <v>5560920</v>
      </c>
      <c r="AO31" s="176">
        <v>0</v>
      </c>
      <c r="AP31" s="228">
        <f>SUM(AH31+AL31)</f>
        <v>0</v>
      </c>
      <c r="AQ31" s="228">
        <f t="shared" si="59"/>
        <v>531484756</v>
      </c>
      <c r="AR31" s="228">
        <f t="shared" si="59"/>
        <v>396435166</v>
      </c>
      <c r="AS31" s="176">
        <f t="shared" si="53"/>
        <v>0.74590129166376318</v>
      </c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</row>
    <row r="32" spans="1:86" s="227" customFormat="1" ht="50.1" customHeight="1" thickBot="1">
      <c r="A32" s="223" t="s">
        <v>382</v>
      </c>
      <c r="B32" s="224">
        <f t="shared" ref="B32:AR32" si="68">B30+B31</f>
        <v>626601999</v>
      </c>
      <c r="C32" s="224">
        <f>C30+C31</f>
        <v>954796157</v>
      </c>
      <c r="D32" s="224">
        <f>D30+D31</f>
        <v>950870732</v>
      </c>
      <c r="E32" s="225">
        <f t="shared" si="44"/>
        <v>0.99588872978674969</v>
      </c>
      <c r="F32" s="224">
        <f t="shared" si="68"/>
        <v>120240945</v>
      </c>
      <c r="G32" s="224">
        <f>G30+G31</f>
        <v>173483590</v>
      </c>
      <c r="H32" s="224">
        <f>H30+H31</f>
        <v>162323333</v>
      </c>
      <c r="I32" s="225">
        <f t="shared" si="45"/>
        <v>0.93566966766136206</v>
      </c>
      <c r="J32" s="224">
        <f t="shared" si="68"/>
        <v>423550727</v>
      </c>
      <c r="K32" s="224">
        <f t="shared" si="68"/>
        <v>518406787</v>
      </c>
      <c r="L32" s="224">
        <f>L30+L31</f>
        <v>486939890</v>
      </c>
      <c r="M32" s="225">
        <f t="shared" si="46"/>
        <v>0.93930076189376743</v>
      </c>
      <c r="N32" s="224">
        <f t="shared" si="68"/>
        <v>0</v>
      </c>
      <c r="O32" s="224">
        <f t="shared" si="68"/>
        <v>0</v>
      </c>
      <c r="P32" s="224">
        <f>P30+P31</f>
        <v>0</v>
      </c>
      <c r="Q32" s="225">
        <v>0</v>
      </c>
      <c r="R32" s="224">
        <f t="shared" si="68"/>
        <v>0</v>
      </c>
      <c r="S32" s="224">
        <f t="shared" si="68"/>
        <v>6086817</v>
      </c>
      <c r="T32" s="224">
        <f>T30+T31</f>
        <v>6085820</v>
      </c>
      <c r="U32" s="225">
        <f t="shared" si="47"/>
        <v>0.99983620338840484</v>
      </c>
      <c r="V32" s="224">
        <f t="shared" si="68"/>
        <v>0</v>
      </c>
      <c r="W32" s="224">
        <f t="shared" si="68"/>
        <v>15339418</v>
      </c>
      <c r="X32" s="224">
        <f>X30+X31</f>
        <v>15335719</v>
      </c>
      <c r="Y32" s="225">
        <f t="shared" si="55"/>
        <v>0.99975885656157226</v>
      </c>
      <c r="Z32" s="224">
        <f t="shared" si="68"/>
        <v>114167900</v>
      </c>
      <c r="AA32" s="224">
        <f t="shared" si="68"/>
        <v>162687548</v>
      </c>
      <c r="AB32" s="224">
        <f>AB30+AB31</f>
        <v>58549636</v>
      </c>
      <c r="AC32" s="225">
        <f>AB32/AA32</f>
        <v>0.35989008820761131</v>
      </c>
      <c r="AD32" s="224">
        <f t="shared" si="68"/>
        <v>0</v>
      </c>
      <c r="AE32" s="224">
        <f t="shared" si="68"/>
        <v>0</v>
      </c>
      <c r="AF32" s="224">
        <f>AF30+AF31</f>
        <v>0</v>
      </c>
      <c r="AG32" s="225">
        <v>0</v>
      </c>
      <c r="AH32" s="224">
        <f t="shared" si="68"/>
        <v>1170393671</v>
      </c>
      <c r="AI32" s="224">
        <f t="shared" si="68"/>
        <v>1652773351</v>
      </c>
      <c r="AJ32" s="224">
        <f t="shared" si="68"/>
        <v>1606219775</v>
      </c>
      <c r="AK32" s="225">
        <f t="shared" si="49"/>
        <v>0.97183305504542827</v>
      </c>
      <c r="AL32" s="224">
        <f t="shared" si="68"/>
        <v>114167900</v>
      </c>
      <c r="AM32" s="224">
        <f t="shared" si="68"/>
        <v>178026966</v>
      </c>
      <c r="AN32" s="224">
        <f>AN30+AN31</f>
        <v>67209215</v>
      </c>
      <c r="AO32" s="225">
        <f t="shared" si="51"/>
        <v>0.37752266698742704</v>
      </c>
      <c r="AP32" s="224">
        <f t="shared" si="68"/>
        <v>1284561571</v>
      </c>
      <c r="AQ32" s="224">
        <f t="shared" si="68"/>
        <v>1830800317</v>
      </c>
      <c r="AR32" s="224">
        <f t="shared" si="68"/>
        <v>1673428990</v>
      </c>
      <c r="AS32" s="225">
        <f t="shared" si="53"/>
        <v>0.91404233135710122</v>
      </c>
      <c r="AT32" s="229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R32" s="226"/>
      <c r="BS32" s="226"/>
      <c r="BT32" s="226"/>
      <c r="BU32" s="226"/>
      <c r="BV32" s="226"/>
      <c r="BW32" s="226"/>
      <c r="BX32" s="226"/>
      <c r="BY32" s="226"/>
      <c r="BZ32" s="226"/>
      <c r="CA32" s="226"/>
      <c r="CB32" s="226"/>
      <c r="CC32" s="226"/>
      <c r="CD32" s="226"/>
      <c r="CE32" s="226"/>
      <c r="CF32" s="226"/>
      <c r="CG32" s="226"/>
      <c r="CH32" s="226"/>
    </row>
    <row r="33" spans="1:86" s="145" customFormat="1" ht="39.950000000000003" customHeight="1">
      <c r="A33" s="141" t="s">
        <v>383</v>
      </c>
      <c r="B33" s="153"/>
      <c r="C33" s="153"/>
      <c r="D33" s="153"/>
      <c r="E33" s="160"/>
      <c r="F33" s="153"/>
      <c r="G33" s="153"/>
      <c r="H33" s="153"/>
      <c r="I33" s="160"/>
      <c r="J33" s="153"/>
      <c r="K33" s="153"/>
      <c r="L33" s="153"/>
      <c r="M33" s="160"/>
      <c r="N33" s="153"/>
      <c r="O33" s="153"/>
      <c r="P33" s="153"/>
      <c r="Q33" s="160"/>
      <c r="R33" s="153"/>
      <c r="S33" s="153"/>
      <c r="T33" s="153"/>
      <c r="U33" s="160"/>
      <c r="V33" s="153"/>
      <c r="W33" s="153"/>
      <c r="X33" s="153"/>
      <c r="Y33" s="160"/>
      <c r="Z33" s="153"/>
      <c r="AA33" s="153"/>
      <c r="AB33" s="153"/>
      <c r="AC33" s="160"/>
      <c r="AD33" s="153"/>
      <c r="AE33" s="153"/>
      <c r="AF33" s="153"/>
      <c r="AG33" s="160"/>
      <c r="AH33" s="153"/>
      <c r="AI33" s="153"/>
      <c r="AJ33" s="153"/>
      <c r="AK33" s="160"/>
      <c r="AL33" s="153"/>
      <c r="AM33" s="153"/>
      <c r="AN33" s="153"/>
      <c r="AO33" s="160"/>
      <c r="AP33" s="153"/>
      <c r="AQ33" s="153"/>
      <c r="AR33" s="153"/>
      <c r="AS33" s="160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</row>
    <row r="34" spans="1:86" s="145" customFormat="1" ht="39.950000000000003" customHeight="1">
      <c r="A34" s="174" t="s">
        <v>371</v>
      </c>
      <c r="B34" s="147">
        <v>213060052</v>
      </c>
      <c r="C34" s="147">
        <v>264878036</v>
      </c>
      <c r="D34" s="147">
        <v>265644488</v>
      </c>
      <c r="E34" s="148">
        <f t="shared" ref="E34:E36" si="69">D34/C34</f>
        <v>1.0028936034545348</v>
      </c>
      <c r="F34" s="147">
        <v>43050695</v>
      </c>
      <c r="G34" s="147">
        <v>59543646</v>
      </c>
      <c r="H34" s="147">
        <v>59614855</v>
      </c>
      <c r="I34" s="148">
        <f t="shared" ref="I34:I36" si="70">H34/G34</f>
        <v>1.001195912658758</v>
      </c>
      <c r="J34" s="147">
        <v>42592000</v>
      </c>
      <c r="K34" s="147">
        <v>37700817</v>
      </c>
      <c r="L34" s="147">
        <v>40420692</v>
      </c>
      <c r="M34" s="148">
        <f t="shared" ref="M34" si="71">L34/K34</f>
        <v>1.0721436620325762</v>
      </c>
      <c r="N34" s="147"/>
      <c r="O34" s="147"/>
      <c r="P34" s="147"/>
      <c r="Q34" s="148"/>
      <c r="R34" s="147"/>
      <c r="S34" s="147"/>
      <c r="T34" s="147"/>
      <c r="U34" s="148"/>
      <c r="V34" s="147">
        <v>12685000</v>
      </c>
      <c r="W34" s="147">
        <v>4685000</v>
      </c>
      <c r="X34" s="147">
        <v>3734620</v>
      </c>
      <c r="Y34" s="148">
        <f t="shared" ref="Y34:Y36" si="72">X34/W34</f>
        <v>0.79714407684098187</v>
      </c>
      <c r="Z34" s="147"/>
      <c r="AA34" s="147"/>
      <c r="AB34" s="147"/>
      <c r="AC34" s="148"/>
      <c r="AD34" s="153"/>
      <c r="AE34" s="153"/>
      <c r="AF34" s="147"/>
      <c r="AG34" s="148"/>
      <c r="AH34" s="147">
        <f>SUM(B34+F34+J34+N34+R34)</f>
        <v>298702747</v>
      </c>
      <c r="AI34" s="147">
        <f t="shared" ref="AH34:AJ36" si="73">SUM(C34+G34+K34+O34+S34)</f>
        <v>362122499</v>
      </c>
      <c r="AJ34" s="147">
        <f t="shared" si="73"/>
        <v>365680035</v>
      </c>
      <c r="AK34" s="148">
        <f t="shared" ref="AK34" si="74">AJ34/AI34</f>
        <v>1.0098241230794114</v>
      </c>
      <c r="AL34" s="147">
        <f t="shared" ref="AL34:AN36" si="75">SUM(V34+Z34+AD34)</f>
        <v>12685000</v>
      </c>
      <c r="AM34" s="147">
        <f t="shared" si="75"/>
        <v>4685000</v>
      </c>
      <c r="AN34" s="147">
        <f t="shared" si="75"/>
        <v>3734620</v>
      </c>
      <c r="AO34" s="148">
        <f t="shared" ref="AO34" si="76">AN34/AM34</f>
        <v>0.79714407684098187</v>
      </c>
      <c r="AP34" s="147">
        <f>SUM(AH34+AL34)</f>
        <v>311387747</v>
      </c>
      <c r="AQ34" s="147">
        <f t="shared" ref="AQ34:AR36" si="77">SUM(AI34+AM34)</f>
        <v>366807499</v>
      </c>
      <c r="AR34" s="147">
        <f t="shared" si="77"/>
        <v>369414655</v>
      </c>
      <c r="AS34" s="148">
        <f t="shared" ref="AS34" si="78">AR34/AQ34</f>
        <v>1.0071076954727145</v>
      </c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</row>
    <row r="35" spans="1:86" s="145" customFormat="1" ht="39.950000000000003" customHeight="1">
      <c r="A35" s="172" t="s">
        <v>384</v>
      </c>
      <c r="B35" s="153"/>
      <c r="C35" s="153">
        <v>4698094</v>
      </c>
      <c r="D35" s="153">
        <v>4698094</v>
      </c>
      <c r="E35" s="167">
        <f t="shared" si="69"/>
        <v>1</v>
      </c>
      <c r="F35" s="153"/>
      <c r="G35" s="153">
        <v>994343</v>
      </c>
      <c r="H35" s="153">
        <v>994343</v>
      </c>
      <c r="I35" s="167">
        <f t="shared" si="70"/>
        <v>1</v>
      </c>
      <c r="J35" s="153"/>
      <c r="K35" s="153">
        <v>656443</v>
      </c>
      <c r="L35" s="153">
        <v>656443</v>
      </c>
      <c r="M35" s="167">
        <f>L35/K35</f>
        <v>1</v>
      </c>
      <c r="N35" s="153"/>
      <c r="O35" s="153"/>
      <c r="P35" s="153"/>
      <c r="Q35" s="148"/>
      <c r="R35" s="153"/>
      <c r="S35" s="153">
        <v>15343</v>
      </c>
      <c r="T35" s="153">
        <v>15343</v>
      </c>
      <c r="U35" s="167">
        <f t="shared" ref="U35" si="79">T35/S35</f>
        <v>1</v>
      </c>
      <c r="V35" s="153"/>
      <c r="W35" s="153"/>
      <c r="X35" s="153"/>
      <c r="Y35" s="148"/>
      <c r="Z35" s="153"/>
      <c r="AA35" s="153"/>
      <c r="AB35" s="153"/>
      <c r="AC35" s="148"/>
      <c r="AD35" s="230"/>
      <c r="AE35" s="230"/>
      <c r="AF35" s="153"/>
      <c r="AG35" s="148"/>
      <c r="AH35" s="147">
        <f t="shared" ref="AH35" si="80">SUM(B35+F35+J35+N35+R35)</f>
        <v>0</v>
      </c>
      <c r="AI35" s="147">
        <f t="shared" ref="AI35" si="81">SUM(C35+G35+K35+O35+S35)</f>
        <v>6364223</v>
      </c>
      <c r="AJ35" s="147">
        <f t="shared" ref="AJ35" si="82">SUM(D35+H35+L35+P35+T35)</f>
        <v>6364223</v>
      </c>
      <c r="AK35" s="148">
        <f t="shared" ref="AK35" si="83">AJ35/AI35</f>
        <v>1</v>
      </c>
      <c r="AL35" s="147">
        <f t="shared" ref="AL35" si="84">SUM(V35+Z35+AD35)</f>
        <v>0</v>
      </c>
      <c r="AM35" s="147">
        <f t="shared" ref="AM35" si="85">SUM(W35+AA35+AE35)</f>
        <v>0</v>
      </c>
      <c r="AN35" s="147">
        <f t="shared" ref="AN35" si="86">SUM(X35+AB35+AF35)</f>
        <v>0</v>
      </c>
      <c r="AO35" s="148">
        <v>0</v>
      </c>
      <c r="AP35" s="147">
        <f>SUM(AH35+AL35)</f>
        <v>0</v>
      </c>
      <c r="AQ35" s="147">
        <f t="shared" ref="AQ35" si="87">SUM(AI35+AM35)</f>
        <v>6364223</v>
      </c>
      <c r="AR35" s="147">
        <f t="shared" ref="AR35" si="88">SUM(AJ35+AN35)</f>
        <v>6364223</v>
      </c>
      <c r="AS35" s="148">
        <f t="shared" ref="AS35" si="89">AR35/AQ35</f>
        <v>1</v>
      </c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</row>
    <row r="36" spans="1:86" s="171" customFormat="1" ht="39.950000000000003" customHeight="1" thickBot="1">
      <c r="A36" s="172" t="s">
        <v>372</v>
      </c>
      <c r="B36" s="173"/>
      <c r="C36" s="173">
        <v>15606779</v>
      </c>
      <c r="D36" s="173">
        <v>11340700</v>
      </c>
      <c r="E36" s="167">
        <f t="shared" si="69"/>
        <v>0.72665218108105456</v>
      </c>
      <c r="F36" s="173"/>
      <c r="G36" s="173">
        <v>2776700</v>
      </c>
      <c r="H36" s="173">
        <v>2046050</v>
      </c>
      <c r="I36" s="167">
        <f t="shared" si="70"/>
        <v>0.7368639031944394</v>
      </c>
      <c r="J36" s="173">
        <v>96776076</v>
      </c>
      <c r="K36" s="173">
        <v>102265486</v>
      </c>
      <c r="L36" s="173">
        <v>24234169</v>
      </c>
      <c r="M36" s="167">
        <f>L36/K36</f>
        <v>0.23697309764899568</v>
      </c>
      <c r="N36" s="173"/>
      <c r="O36" s="173"/>
      <c r="P36" s="173"/>
      <c r="Q36" s="148"/>
      <c r="R36" s="173"/>
      <c r="S36" s="173"/>
      <c r="T36" s="173"/>
      <c r="U36" s="148"/>
      <c r="V36" s="173"/>
      <c r="W36" s="173">
        <v>18932842</v>
      </c>
      <c r="X36" s="173">
        <v>18932842</v>
      </c>
      <c r="Y36" s="148">
        <f t="shared" si="72"/>
        <v>1</v>
      </c>
      <c r="Z36" s="173"/>
      <c r="AA36" s="173"/>
      <c r="AB36" s="173"/>
      <c r="AC36" s="148"/>
      <c r="AD36" s="173"/>
      <c r="AE36" s="173"/>
      <c r="AF36" s="173"/>
      <c r="AG36" s="148"/>
      <c r="AH36" s="147">
        <f t="shared" si="73"/>
        <v>96776076</v>
      </c>
      <c r="AI36" s="147">
        <f t="shared" si="73"/>
        <v>120648965</v>
      </c>
      <c r="AJ36" s="147">
        <f t="shared" si="73"/>
        <v>37620919</v>
      </c>
      <c r="AK36" s="148">
        <v>0</v>
      </c>
      <c r="AL36" s="147">
        <f t="shared" si="75"/>
        <v>0</v>
      </c>
      <c r="AM36" s="147">
        <f t="shared" si="75"/>
        <v>18932842</v>
      </c>
      <c r="AN36" s="147">
        <f t="shared" si="75"/>
        <v>18932842</v>
      </c>
      <c r="AO36" s="148">
        <v>0</v>
      </c>
      <c r="AP36" s="147">
        <f>SUM(AH36+AL36)</f>
        <v>96776076</v>
      </c>
      <c r="AQ36" s="147">
        <f t="shared" si="77"/>
        <v>139581807</v>
      </c>
      <c r="AR36" s="147">
        <f t="shared" si="77"/>
        <v>56553761</v>
      </c>
      <c r="AS36" s="148">
        <v>0</v>
      </c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</row>
    <row r="37" spans="1:86" s="227" customFormat="1" ht="39.950000000000003" customHeight="1" thickBot="1">
      <c r="A37" s="223" t="s">
        <v>385</v>
      </c>
      <c r="B37" s="224">
        <f>SUM(B34:B36)</f>
        <v>213060052</v>
      </c>
      <c r="C37" s="224">
        <f>SUM(C34:C36)</f>
        <v>285182909</v>
      </c>
      <c r="D37" s="224">
        <f>SUM(D34:D36)</f>
        <v>281683282</v>
      </c>
      <c r="E37" s="225">
        <f>D37/C37</f>
        <v>0.98772848270511193</v>
      </c>
      <c r="F37" s="224">
        <f t="shared" ref="F37:AE37" si="90">SUM(F34:F36)</f>
        <v>43050695</v>
      </c>
      <c r="G37" s="224">
        <f t="shared" si="90"/>
        <v>63314689</v>
      </c>
      <c r="H37" s="224">
        <f>SUM(H34:H36)</f>
        <v>62655248</v>
      </c>
      <c r="I37" s="225">
        <f>H37/G37</f>
        <v>0.98958470758657602</v>
      </c>
      <c r="J37" s="224">
        <f t="shared" si="90"/>
        <v>139368076</v>
      </c>
      <c r="K37" s="224">
        <f t="shared" si="90"/>
        <v>140622746</v>
      </c>
      <c r="L37" s="224">
        <f>SUM(L34:L36)</f>
        <v>65311304</v>
      </c>
      <c r="M37" s="225">
        <f>L37/K37</f>
        <v>0.46444338386053136</v>
      </c>
      <c r="N37" s="224">
        <f t="shared" si="90"/>
        <v>0</v>
      </c>
      <c r="O37" s="224">
        <f t="shared" si="90"/>
        <v>0</v>
      </c>
      <c r="P37" s="224">
        <f>SUM(P34:P36)</f>
        <v>0</v>
      </c>
      <c r="Q37" s="225">
        <v>0</v>
      </c>
      <c r="R37" s="224">
        <f t="shared" si="90"/>
        <v>0</v>
      </c>
      <c r="S37" s="224">
        <f t="shared" si="90"/>
        <v>15343</v>
      </c>
      <c r="T37" s="224">
        <f>SUM(T34:T36)</f>
        <v>15343</v>
      </c>
      <c r="U37" s="225">
        <f>T37/S37</f>
        <v>1</v>
      </c>
      <c r="V37" s="224">
        <f t="shared" si="90"/>
        <v>12685000</v>
      </c>
      <c r="W37" s="224">
        <f t="shared" si="90"/>
        <v>23617842</v>
      </c>
      <c r="X37" s="224">
        <f>SUM(X34:X36)</f>
        <v>22667462</v>
      </c>
      <c r="Y37" s="225">
        <f>X37/W37</f>
        <v>0.95976008307617611</v>
      </c>
      <c r="Z37" s="224">
        <f t="shared" si="90"/>
        <v>0</v>
      </c>
      <c r="AA37" s="224">
        <f t="shared" si="90"/>
        <v>0</v>
      </c>
      <c r="AB37" s="224">
        <f>SUM(AB34:AB36)</f>
        <v>0</v>
      </c>
      <c r="AC37" s="225">
        <v>0</v>
      </c>
      <c r="AD37" s="224">
        <f t="shared" si="90"/>
        <v>0</v>
      </c>
      <c r="AE37" s="224">
        <f t="shared" si="90"/>
        <v>0</v>
      </c>
      <c r="AF37" s="224">
        <f>SUM(AF34:AF36)</f>
        <v>0</v>
      </c>
      <c r="AG37" s="225">
        <v>0</v>
      </c>
      <c r="AH37" s="224">
        <f t="shared" ref="AH37:AR37" si="91">SUM(AH34:AH36)</f>
        <v>395478823</v>
      </c>
      <c r="AI37" s="224">
        <f t="shared" si="91"/>
        <v>489135687</v>
      </c>
      <c r="AJ37" s="224">
        <f t="shared" si="91"/>
        <v>409665177</v>
      </c>
      <c r="AK37" s="225">
        <f>AJ37/AI37</f>
        <v>0.83752870192846918</v>
      </c>
      <c r="AL37" s="224">
        <f t="shared" si="91"/>
        <v>12685000</v>
      </c>
      <c r="AM37" s="224">
        <f t="shared" si="91"/>
        <v>23617842</v>
      </c>
      <c r="AN37" s="224">
        <f t="shared" si="91"/>
        <v>22667462</v>
      </c>
      <c r="AO37" s="225">
        <f>AN37/AM37</f>
        <v>0.95976008307617611</v>
      </c>
      <c r="AP37" s="224">
        <f t="shared" si="91"/>
        <v>408163823</v>
      </c>
      <c r="AQ37" s="224">
        <f t="shared" si="91"/>
        <v>512753529</v>
      </c>
      <c r="AR37" s="224">
        <f t="shared" si="91"/>
        <v>432332639</v>
      </c>
      <c r="AS37" s="225">
        <f>AR37/AQ37</f>
        <v>0.8431587781427049</v>
      </c>
      <c r="AT37" s="214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26"/>
      <c r="CC37" s="226"/>
      <c r="CD37" s="226"/>
      <c r="CE37" s="226"/>
      <c r="CF37" s="226"/>
      <c r="CG37" s="226"/>
      <c r="CH37" s="226"/>
    </row>
    <row r="38" spans="1:86" s="145" customFormat="1" ht="39.950000000000003" customHeight="1" thickBot="1">
      <c r="A38" s="183" t="s">
        <v>386</v>
      </c>
      <c r="B38" s="177">
        <f>B30+B34</f>
        <v>839662051</v>
      </c>
      <c r="C38" s="177">
        <f t="shared" ref="C38:D38" si="92">C30+C34</f>
        <v>924188726</v>
      </c>
      <c r="D38" s="177">
        <f t="shared" si="92"/>
        <v>924687666</v>
      </c>
      <c r="E38" s="231">
        <f>D38/C38</f>
        <v>1.0005398680875057</v>
      </c>
      <c r="F38" s="177">
        <f t="shared" ref="F38:H38" si="93">F30+F34</f>
        <v>163291640</v>
      </c>
      <c r="G38" s="177">
        <f t="shared" si="93"/>
        <v>191113849</v>
      </c>
      <c r="H38" s="177">
        <f t="shared" si="93"/>
        <v>190330704</v>
      </c>
      <c r="I38" s="231">
        <f>H38/G38</f>
        <v>0.99590220696146414</v>
      </c>
      <c r="J38" s="177">
        <f t="shared" ref="J38:L38" si="94">J30+J34</f>
        <v>466142727</v>
      </c>
      <c r="K38" s="177">
        <f t="shared" si="94"/>
        <v>484263637</v>
      </c>
      <c r="L38" s="177">
        <f t="shared" si="94"/>
        <v>464733771</v>
      </c>
      <c r="M38" s="231">
        <f>L38/K38</f>
        <v>0.95967100457720311</v>
      </c>
      <c r="N38" s="177">
        <f t="shared" ref="N38:P38" si="95">N30+N34</f>
        <v>0</v>
      </c>
      <c r="O38" s="177">
        <f t="shared" si="95"/>
        <v>0</v>
      </c>
      <c r="P38" s="177">
        <f t="shared" si="95"/>
        <v>0</v>
      </c>
      <c r="Q38" s="231">
        <v>0</v>
      </c>
      <c r="R38" s="177">
        <f t="shared" ref="R38:T38" si="96">R30+R34</f>
        <v>0</v>
      </c>
      <c r="S38" s="177">
        <f t="shared" si="96"/>
        <v>1273817</v>
      </c>
      <c r="T38" s="177">
        <f t="shared" si="96"/>
        <v>1273423</v>
      </c>
      <c r="U38" s="231">
        <f>T38/S38</f>
        <v>0.99969069340415462</v>
      </c>
      <c r="V38" s="177">
        <f t="shared" ref="V38:X38" si="97">V30+V34</f>
        <v>12685000</v>
      </c>
      <c r="W38" s="177">
        <f t="shared" si="97"/>
        <v>14463383</v>
      </c>
      <c r="X38" s="177">
        <f t="shared" si="97"/>
        <v>13509419</v>
      </c>
      <c r="Y38" s="231">
        <f>X38/W38</f>
        <v>0.9340428169536823</v>
      </c>
      <c r="Z38" s="177">
        <f t="shared" ref="Z38:AB38" si="98">Z30+Z34</f>
        <v>114167900</v>
      </c>
      <c r="AA38" s="177">
        <f t="shared" si="98"/>
        <v>50819648</v>
      </c>
      <c r="AB38" s="177">
        <f t="shared" si="98"/>
        <v>51873496</v>
      </c>
      <c r="AC38" s="231">
        <f>AB38/AA38</f>
        <v>1.0207370188789973</v>
      </c>
      <c r="AD38" s="177">
        <f t="shared" ref="AD38:AF38" si="99">AD30+AD34</f>
        <v>0</v>
      </c>
      <c r="AE38" s="177">
        <f t="shared" si="99"/>
        <v>0</v>
      </c>
      <c r="AF38" s="177">
        <f t="shared" si="99"/>
        <v>0</v>
      </c>
      <c r="AG38" s="231">
        <v>0</v>
      </c>
      <c r="AH38" s="177">
        <f t="shared" ref="AH38:AJ38" si="100">AH30+AH34</f>
        <v>1469096418</v>
      </c>
      <c r="AI38" s="177">
        <f t="shared" si="100"/>
        <v>1600840029</v>
      </c>
      <c r="AJ38" s="177">
        <f t="shared" si="100"/>
        <v>1581025564</v>
      </c>
      <c r="AK38" s="231">
        <f>AJ38/AI38</f>
        <v>0.98762245780899327</v>
      </c>
      <c r="AL38" s="177">
        <f t="shared" ref="AL38:AN38" si="101">AL30+AL34</f>
        <v>126852900</v>
      </c>
      <c r="AM38" s="177">
        <f t="shared" si="101"/>
        <v>65283031</v>
      </c>
      <c r="AN38" s="177">
        <f t="shared" si="101"/>
        <v>65382915</v>
      </c>
      <c r="AO38" s="231">
        <f>AN38/AM38</f>
        <v>1.0015300147445667</v>
      </c>
      <c r="AP38" s="177">
        <f t="shared" ref="AP38:AQ38" si="102">AP30+AP34</f>
        <v>1595949318</v>
      </c>
      <c r="AQ38" s="177">
        <f t="shared" si="102"/>
        <v>1666123060</v>
      </c>
      <c r="AR38" s="177">
        <f>AR30+AR34</f>
        <v>1646408479</v>
      </c>
      <c r="AS38" s="231">
        <f>AR38/AQ38</f>
        <v>0.98816739202925385</v>
      </c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</row>
    <row r="39" spans="1:86" s="145" customFormat="1" ht="39.950000000000003" customHeight="1" thickBot="1">
      <c r="A39" s="184" t="s">
        <v>387</v>
      </c>
      <c r="B39" s="161">
        <f>SUM(B31+B35)</f>
        <v>0</v>
      </c>
      <c r="C39" s="161">
        <f>SUM(C31+C36)</f>
        <v>311092246</v>
      </c>
      <c r="D39" s="161">
        <f>SUM(D31+D35)</f>
        <v>296525648</v>
      </c>
      <c r="E39" s="231">
        <f t="shared" ref="E39" si="103">D39/C39</f>
        <v>0.95317595283297418</v>
      </c>
      <c r="F39" s="161">
        <f>SUM(F31+F35)</f>
        <v>0</v>
      </c>
      <c r="G39" s="161">
        <f>SUM(G31+G36)</f>
        <v>44690087</v>
      </c>
      <c r="H39" s="161">
        <f>SUM(H31+H35)</f>
        <v>32601827</v>
      </c>
      <c r="I39" s="231">
        <f t="shared" ref="I39" si="104">H39/G39</f>
        <v>0.72950914147918311</v>
      </c>
      <c r="J39" s="161">
        <f>SUM(J31+J35)</f>
        <v>0</v>
      </c>
      <c r="K39" s="161">
        <f>SUM(K31+K36)</f>
        <v>174109453</v>
      </c>
      <c r="L39" s="161">
        <f>SUM(L31+L35)</f>
        <v>63283254</v>
      </c>
      <c r="M39" s="231">
        <f t="shared" ref="M39" si="105">L39/K39</f>
        <v>0.363468225932569</v>
      </c>
      <c r="N39" s="161">
        <f>SUM(N31+N35)</f>
        <v>0</v>
      </c>
      <c r="O39" s="161">
        <f>SUM(O31+O36)</f>
        <v>0</v>
      </c>
      <c r="P39" s="161">
        <f>SUM(P31+P35)</f>
        <v>0</v>
      </c>
      <c r="Q39" s="231">
        <v>0</v>
      </c>
      <c r="R39" s="161">
        <f>SUM(R31+R35)</f>
        <v>0</v>
      </c>
      <c r="S39" s="161">
        <f>SUM(S31+S36)</f>
        <v>4813000</v>
      </c>
      <c r="T39" s="161">
        <f>SUM(T31+T35)</f>
        <v>4827740</v>
      </c>
      <c r="U39" s="231">
        <f t="shared" ref="U39" si="106">T39/S39</f>
        <v>1.0030625389569914</v>
      </c>
      <c r="V39" s="161">
        <f>SUM(V31+V35)</f>
        <v>0</v>
      </c>
      <c r="W39" s="161">
        <f>SUM(W31+W36)</f>
        <v>24493877</v>
      </c>
      <c r="X39" s="161">
        <f>SUM(X31+X35)</f>
        <v>5560920</v>
      </c>
      <c r="Y39" s="231">
        <f t="shared" ref="Y39" si="107">X39/W39</f>
        <v>0.22703306626386668</v>
      </c>
      <c r="Z39" s="161">
        <f>SUM(Z31+Z35)</f>
        <v>0</v>
      </c>
      <c r="AA39" s="161">
        <f>SUM(AA31+AA36)</f>
        <v>111867900</v>
      </c>
      <c r="AB39" s="161">
        <f>SUM(AB31+AB35)</f>
        <v>6676140</v>
      </c>
      <c r="AC39" s="231">
        <f t="shared" ref="AC39" si="108">AB39/AA39</f>
        <v>5.9678781848948627E-2</v>
      </c>
      <c r="AD39" s="161">
        <f>SUM(AD31+AD35)</f>
        <v>0</v>
      </c>
      <c r="AE39" s="161">
        <f>SUM(AE31+AE36)</f>
        <v>0</v>
      </c>
      <c r="AF39" s="161">
        <f>SUM(AF31+AF35)</f>
        <v>0</v>
      </c>
      <c r="AG39" s="231">
        <v>0</v>
      </c>
      <c r="AH39" s="161">
        <f>SUM(AH31+AH36)</f>
        <v>96776076</v>
      </c>
      <c r="AI39" s="161">
        <f>SUM(AI31+AI36)</f>
        <v>534704786</v>
      </c>
      <c r="AJ39" s="161">
        <f>SUM(AJ31+AJ35)</f>
        <v>397238469</v>
      </c>
      <c r="AK39" s="231">
        <f t="shared" ref="AK39" si="109">AJ39/AI39</f>
        <v>0.74291175130794507</v>
      </c>
      <c r="AL39" s="161">
        <f>SUM(AL31+AL35)</f>
        <v>0</v>
      </c>
      <c r="AM39" s="161">
        <f>SUM(AM31+AM36)</f>
        <v>136361777</v>
      </c>
      <c r="AN39" s="161">
        <f>SUM(AN31+AN35)</f>
        <v>5560920</v>
      </c>
      <c r="AO39" s="231">
        <f t="shared" ref="AO39" si="110">AN39/AM39</f>
        <v>4.078063605756619E-2</v>
      </c>
      <c r="AP39" s="161">
        <f>SUM(AP31+AP35)</f>
        <v>0</v>
      </c>
      <c r="AQ39" s="161">
        <f>SUM(AQ31+AQ36)</f>
        <v>671066563</v>
      </c>
      <c r="AR39" s="161">
        <f>SUM(AR31+AR35)</f>
        <v>402799389</v>
      </c>
      <c r="AS39" s="231">
        <f t="shared" ref="AS39" si="111">AR39/AQ39</f>
        <v>0.60023760862005582</v>
      </c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</row>
    <row r="40" spans="1:86" s="392" customFormat="1" ht="39.950000000000003" customHeight="1" thickBot="1">
      <c r="A40" s="187" t="s">
        <v>388</v>
      </c>
      <c r="B40" s="186">
        <f>SUM(B36)</f>
        <v>0</v>
      </c>
      <c r="C40" s="186">
        <f>SUM(C35)</f>
        <v>4698094</v>
      </c>
      <c r="D40" s="186">
        <f>SUM(D36)</f>
        <v>11340700</v>
      </c>
      <c r="E40" s="231">
        <v>0</v>
      </c>
      <c r="F40" s="186">
        <f>SUM(F36)</f>
        <v>0</v>
      </c>
      <c r="G40" s="186">
        <f>SUM(G35)</f>
        <v>994343</v>
      </c>
      <c r="H40" s="186">
        <f>SUM(H36)</f>
        <v>2046050</v>
      </c>
      <c r="I40" s="231">
        <v>0</v>
      </c>
      <c r="J40" s="186">
        <f>SUM(J36)</f>
        <v>96776076</v>
      </c>
      <c r="K40" s="186">
        <f>SUM(K35)</f>
        <v>656443</v>
      </c>
      <c r="L40" s="186">
        <f>SUM(L36)</f>
        <v>24234169</v>
      </c>
      <c r="M40" s="231">
        <v>0</v>
      </c>
      <c r="N40" s="186">
        <f>SUM(N36)</f>
        <v>0</v>
      </c>
      <c r="O40" s="186">
        <f>SUM(O35)</f>
        <v>0</v>
      </c>
      <c r="P40" s="186">
        <f>SUM(P36)</f>
        <v>0</v>
      </c>
      <c r="Q40" s="231">
        <v>0</v>
      </c>
      <c r="R40" s="186">
        <f>SUM(R36)</f>
        <v>0</v>
      </c>
      <c r="S40" s="186">
        <f>SUM(S35)</f>
        <v>15343</v>
      </c>
      <c r="T40" s="186">
        <f>SUM(T36)</f>
        <v>0</v>
      </c>
      <c r="U40" s="231">
        <v>0</v>
      </c>
      <c r="V40" s="186">
        <f>SUM(V36)</f>
        <v>0</v>
      </c>
      <c r="W40" s="186">
        <f>SUM(W35)</f>
        <v>0</v>
      </c>
      <c r="X40" s="186">
        <f>SUM(X36)</f>
        <v>18932842</v>
      </c>
      <c r="Y40" s="231">
        <v>0</v>
      </c>
      <c r="Z40" s="186">
        <f>SUM(Z36)</f>
        <v>0</v>
      </c>
      <c r="AA40" s="186">
        <f>SUM(AA35)</f>
        <v>0</v>
      </c>
      <c r="AB40" s="186">
        <f>SUM(AB36)</f>
        <v>0</v>
      </c>
      <c r="AC40" s="231">
        <v>0</v>
      </c>
      <c r="AD40" s="186">
        <f>SUM(AD36)</f>
        <v>0</v>
      </c>
      <c r="AE40" s="186">
        <f>SUM(AE35)</f>
        <v>0</v>
      </c>
      <c r="AF40" s="186">
        <f>SUM(AF36)</f>
        <v>0</v>
      </c>
      <c r="AG40" s="231">
        <v>0</v>
      </c>
      <c r="AH40" s="186">
        <f>SUM(AH35)</f>
        <v>0</v>
      </c>
      <c r="AI40" s="186">
        <f>SUM(AI35)</f>
        <v>6364223</v>
      </c>
      <c r="AJ40" s="186">
        <f>SUM(AJ36)</f>
        <v>37620919</v>
      </c>
      <c r="AK40" s="231">
        <v>0</v>
      </c>
      <c r="AL40" s="186">
        <f>SUM(AL36)</f>
        <v>0</v>
      </c>
      <c r="AM40" s="186">
        <f>SUM(AM35)</f>
        <v>0</v>
      </c>
      <c r="AN40" s="186">
        <f>SUM(AN36)</f>
        <v>18932842</v>
      </c>
      <c r="AO40" s="231">
        <v>0</v>
      </c>
      <c r="AP40" s="186">
        <f>SUM(AP36)</f>
        <v>96776076</v>
      </c>
      <c r="AQ40" s="186">
        <f>SUM(AQ35)</f>
        <v>6364223</v>
      </c>
      <c r="AR40" s="186">
        <f>SUM(AR36)</f>
        <v>56553761</v>
      </c>
      <c r="AS40" s="231">
        <v>0</v>
      </c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</row>
    <row r="41" spans="1:86" s="234" customFormat="1" ht="39.950000000000003" customHeight="1" thickBot="1">
      <c r="A41" s="223" t="s">
        <v>389</v>
      </c>
      <c r="B41" s="224">
        <f>SUM(B38:B40)</f>
        <v>839662051</v>
      </c>
      <c r="C41" s="224">
        <f>SUM(C38:C40)</f>
        <v>1239979066</v>
      </c>
      <c r="D41" s="224">
        <f>SUM(D38:D40)</f>
        <v>1232554014</v>
      </c>
      <c r="E41" s="225">
        <f>D41/C41</f>
        <v>0.99401195374696749</v>
      </c>
      <c r="F41" s="224">
        <f t="shared" ref="F41:AQ41" si="112">SUM(F38:F40)</f>
        <v>163291640</v>
      </c>
      <c r="G41" s="224">
        <f t="shared" si="112"/>
        <v>236798279</v>
      </c>
      <c r="H41" s="224">
        <f>SUM(H38:H40)</f>
        <v>224978581</v>
      </c>
      <c r="I41" s="225">
        <f>H41/G41</f>
        <v>0.95008537203093435</v>
      </c>
      <c r="J41" s="224">
        <f t="shared" si="112"/>
        <v>562918803</v>
      </c>
      <c r="K41" s="224">
        <f t="shared" si="112"/>
        <v>659029533</v>
      </c>
      <c r="L41" s="224">
        <f>SUM(L38:L40)</f>
        <v>552251194</v>
      </c>
      <c r="M41" s="225">
        <f>L41/K41</f>
        <v>0.83797639763740295</v>
      </c>
      <c r="N41" s="224">
        <f t="shared" si="112"/>
        <v>0</v>
      </c>
      <c r="O41" s="224">
        <f t="shared" si="112"/>
        <v>0</v>
      </c>
      <c r="P41" s="224">
        <f>SUM(P38:P40)</f>
        <v>0</v>
      </c>
      <c r="Q41" s="225">
        <v>0</v>
      </c>
      <c r="R41" s="224">
        <f t="shared" si="112"/>
        <v>0</v>
      </c>
      <c r="S41" s="224">
        <f t="shared" si="112"/>
        <v>6102160</v>
      </c>
      <c r="T41" s="224">
        <f>SUM(T38:T40)</f>
        <v>6101163</v>
      </c>
      <c r="U41" s="225">
        <f>T41/S41</f>
        <v>0.99983661523132794</v>
      </c>
      <c r="V41" s="224">
        <f t="shared" si="112"/>
        <v>12685000</v>
      </c>
      <c r="W41" s="224">
        <f t="shared" si="112"/>
        <v>38957260</v>
      </c>
      <c r="X41" s="224">
        <f>SUM(X38:X40)</f>
        <v>38003181</v>
      </c>
      <c r="Y41" s="225">
        <f>X41/W41</f>
        <v>0.97550959692750461</v>
      </c>
      <c r="Z41" s="224">
        <f t="shared" si="112"/>
        <v>114167900</v>
      </c>
      <c r="AA41" s="224">
        <f t="shared" si="112"/>
        <v>162687548</v>
      </c>
      <c r="AB41" s="224">
        <f>SUM(AB38:AB40)</f>
        <v>58549636</v>
      </c>
      <c r="AC41" s="225">
        <f>AB41/AA41</f>
        <v>0.35989008820761131</v>
      </c>
      <c r="AD41" s="224">
        <f t="shared" si="112"/>
        <v>0</v>
      </c>
      <c r="AE41" s="224">
        <f t="shared" si="112"/>
        <v>0</v>
      </c>
      <c r="AF41" s="224">
        <f>SUM(AF38:AF40)</f>
        <v>0</v>
      </c>
      <c r="AG41" s="225">
        <v>0</v>
      </c>
      <c r="AH41" s="224">
        <f>SUM(AH38:AH40)</f>
        <v>1565872494</v>
      </c>
      <c r="AI41" s="224">
        <f>SUM(AI38:AI40)</f>
        <v>2141909038</v>
      </c>
      <c r="AJ41" s="224">
        <f>SUM(AJ38:AJ40)</f>
        <v>2015884952</v>
      </c>
      <c r="AK41" s="225">
        <f>AJ41/AI41</f>
        <v>0.94116272737815487</v>
      </c>
      <c r="AL41" s="224">
        <f t="shared" si="112"/>
        <v>126852900</v>
      </c>
      <c r="AM41" s="224">
        <f t="shared" si="112"/>
        <v>201644808</v>
      </c>
      <c r="AN41" s="224">
        <f>SUM(AN38:AN40)</f>
        <v>89876677</v>
      </c>
      <c r="AO41" s="225">
        <f>AN41/AM41</f>
        <v>0.44571778411472912</v>
      </c>
      <c r="AP41" s="224">
        <f t="shared" si="112"/>
        <v>1692725394</v>
      </c>
      <c r="AQ41" s="224">
        <f t="shared" si="112"/>
        <v>2343553846</v>
      </c>
      <c r="AR41" s="224">
        <f>SUM(AR38:AR40)</f>
        <v>2105761629</v>
      </c>
      <c r="AS41" s="225">
        <f>AR41/AQ41</f>
        <v>0.89853349544075289</v>
      </c>
      <c r="AT41" s="214"/>
      <c r="AU41" s="232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</row>
    <row r="42" spans="1:86" s="20" customFormat="1" ht="12.75">
      <c r="A42" s="235"/>
      <c r="B42" s="236"/>
      <c r="C42" s="236"/>
      <c r="D42" s="236"/>
      <c r="E42" s="237"/>
      <c r="F42" s="236"/>
      <c r="G42" s="236"/>
      <c r="H42" s="236"/>
      <c r="I42" s="237"/>
      <c r="J42" s="236"/>
      <c r="K42" s="236"/>
      <c r="L42" s="236"/>
      <c r="M42" s="237"/>
      <c r="N42" s="236"/>
      <c r="O42" s="236"/>
      <c r="P42" s="236"/>
      <c r="Q42" s="237"/>
      <c r="R42" s="236"/>
      <c r="S42" s="236"/>
      <c r="T42" s="236"/>
      <c r="U42" s="237"/>
      <c r="V42" s="236"/>
      <c r="W42" s="236"/>
      <c r="X42" s="236"/>
      <c r="Y42" s="237"/>
      <c r="Z42" s="236"/>
      <c r="AA42" s="236"/>
      <c r="AB42" s="236"/>
      <c r="AC42" s="237"/>
      <c r="AD42" s="236"/>
      <c r="AE42" s="236"/>
      <c r="AF42" s="236"/>
      <c r="AG42" s="237"/>
      <c r="AH42" s="236"/>
      <c r="AI42" s="236"/>
      <c r="AJ42" s="236"/>
      <c r="AK42" s="237"/>
      <c r="AL42" s="236"/>
      <c r="AM42" s="236"/>
      <c r="AN42" s="236"/>
      <c r="AO42" s="237"/>
      <c r="AP42" s="236"/>
      <c r="AQ42" s="236"/>
      <c r="AR42" s="236"/>
      <c r="AS42" s="237"/>
      <c r="AT42" s="236"/>
      <c r="AU42" s="236"/>
      <c r="AV42" s="236"/>
      <c r="AW42" s="236"/>
      <c r="AX42" s="236"/>
      <c r="AY42" s="236"/>
      <c r="AZ42" s="236"/>
      <c r="BA42" s="236"/>
    </row>
    <row r="43" spans="1:86" s="20" customFormat="1" ht="17.25" customHeight="1">
      <c r="A43" s="236"/>
      <c r="B43" s="236"/>
      <c r="C43" s="236"/>
      <c r="D43" s="236"/>
      <c r="E43" s="237"/>
      <c r="F43" s="236"/>
      <c r="G43" s="236"/>
      <c r="H43" s="236"/>
      <c r="I43" s="237"/>
      <c r="J43" s="236"/>
      <c r="K43" s="236"/>
      <c r="L43" s="236"/>
      <c r="M43" s="237"/>
      <c r="N43" s="236"/>
      <c r="O43" s="236"/>
      <c r="P43" s="236"/>
      <c r="Q43" s="237"/>
      <c r="R43" s="236"/>
      <c r="S43" s="236"/>
      <c r="T43" s="236"/>
      <c r="U43" s="237"/>
      <c r="V43" s="236"/>
      <c r="W43" s="236"/>
      <c r="X43" s="236"/>
      <c r="Y43" s="237"/>
      <c r="Z43" s="236"/>
      <c r="AA43" s="236"/>
      <c r="AB43" s="236"/>
      <c r="AC43" s="237"/>
      <c r="AD43" s="236"/>
      <c r="AE43" s="236"/>
      <c r="AF43" s="236"/>
      <c r="AG43" s="237"/>
      <c r="AH43" s="236"/>
      <c r="AI43" s="236"/>
      <c r="AJ43" s="236"/>
      <c r="AK43" s="237"/>
      <c r="AL43" s="236"/>
      <c r="AM43" s="236"/>
      <c r="AN43" s="236"/>
      <c r="AO43" s="237"/>
      <c r="AP43" s="236"/>
      <c r="AQ43" s="236"/>
      <c r="AR43" s="238"/>
      <c r="AS43" s="237"/>
      <c r="AT43" s="236"/>
      <c r="AU43" s="236"/>
      <c r="AV43" s="236"/>
      <c r="AW43" s="236"/>
      <c r="AX43" s="236"/>
      <c r="AY43" s="236"/>
      <c r="AZ43" s="236"/>
      <c r="BA43" s="236"/>
    </row>
    <row r="44" spans="1:86" s="20" customFormat="1" ht="12.75">
      <c r="A44" s="236"/>
      <c r="B44" s="236"/>
      <c r="C44" s="236"/>
      <c r="D44" s="236"/>
      <c r="E44" s="237"/>
      <c r="F44" s="236"/>
      <c r="G44" s="236"/>
      <c r="H44" s="236"/>
      <c r="I44" s="237"/>
      <c r="J44" s="236"/>
      <c r="K44" s="236"/>
      <c r="L44" s="236"/>
      <c r="M44" s="237"/>
      <c r="N44" s="236"/>
      <c r="O44" s="236"/>
      <c r="P44" s="236"/>
      <c r="Q44" s="237"/>
      <c r="R44" s="236"/>
      <c r="S44" s="236"/>
      <c r="T44" s="236"/>
      <c r="U44" s="237"/>
      <c r="V44" s="236"/>
      <c r="W44" s="236"/>
      <c r="X44" s="236"/>
      <c r="Y44" s="237"/>
      <c r="Z44" s="236"/>
      <c r="AA44" s="236"/>
      <c r="AB44" s="236"/>
      <c r="AC44" s="237"/>
      <c r="AD44" s="236"/>
      <c r="AE44" s="236"/>
      <c r="AF44" s="236"/>
      <c r="AG44" s="237"/>
      <c r="AH44" s="236"/>
      <c r="AI44" s="236"/>
      <c r="AJ44" s="236"/>
      <c r="AK44" s="237"/>
      <c r="AL44" s="236"/>
      <c r="AM44" s="236"/>
      <c r="AN44" s="236"/>
      <c r="AO44" s="237"/>
      <c r="AP44" s="236"/>
      <c r="AQ44" s="236"/>
      <c r="AR44" s="236"/>
      <c r="AS44" s="237"/>
      <c r="AT44" s="236"/>
      <c r="AU44" s="236"/>
      <c r="AV44" s="236"/>
      <c r="AW44" s="236"/>
      <c r="AX44" s="236"/>
      <c r="AY44" s="236"/>
      <c r="AZ44" s="236"/>
      <c r="BA44" s="236"/>
    </row>
    <row r="45" spans="1:86" s="20" customFormat="1" ht="17.25" customHeight="1">
      <c r="A45" s="236"/>
      <c r="B45" s="236"/>
      <c r="C45" s="236"/>
      <c r="D45" s="236"/>
      <c r="E45" s="237"/>
      <c r="F45" s="236"/>
      <c r="G45" s="236"/>
      <c r="H45" s="236"/>
      <c r="I45" s="237"/>
      <c r="J45" s="236"/>
      <c r="K45" s="236"/>
      <c r="L45" s="236"/>
      <c r="M45" s="237"/>
      <c r="N45" s="236"/>
      <c r="O45" s="236"/>
      <c r="P45" s="236"/>
      <c r="Q45" s="237"/>
      <c r="R45" s="236"/>
      <c r="S45" s="236"/>
      <c r="T45" s="236"/>
      <c r="U45" s="237"/>
      <c r="V45" s="236"/>
      <c r="W45" s="236"/>
      <c r="X45" s="236"/>
      <c r="Y45" s="237"/>
      <c r="Z45" s="236"/>
      <c r="AA45" s="236"/>
      <c r="AB45" s="236"/>
      <c r="AC45" s="237"/>
      <c r="AD45" s="236"/>
      <c r="AE45" s="236"/>
      <c r="AF45" s="236"/>
      <c r="AG45" s="237"/>
      <c r="AH45" s="236"/>
      <c r="AI45" s="236"/>
      <c r="AJ45" s="236"/>
      <c r="AK45" s="237"/>
      <c r="AL45" s="236"/>
      <c r="AM45" s="236"/>
      <c r="AN45" s="236"/>
      <c r="AO45" s="237"/>
      <c r="AP45" s="236"/>
      <c r="AQ45" s="236"/>
      <c r="AR45" s="236"/>
      <c r="AS45" s="237"/>
      <c r="AT45" s="236"/>
      <c r="AU45" s="236"/>
      <c r="AV45" s="236"/>
      <c r="AW45" s="236"/>
      <c r="AX45" s="236"/>
      <c r="AY45" s="236"/>
      <c r="AZ45" s="236"/>
      <c r="BA45" s="236"/>
    </row>
    <row r="46" spans="1:86" s="20" customFormat="1" ht="12.75">
      <c r="A46" s="236"/>
      <c r="B46" s="236"/>
      <c r="C46" s="236"/>
      <c r="D46" s="236"/>
      <c r="E46" s="237"/>
      <c r="F46" s="236"/>
      <c r="G46" s="236"/>
      <c r="H46" s="236"/>
      <c r="I46" s="237"/>
      <c r="J46" s="236"/>
      <c r="K46" s="236"/>
      <c r="L46" s="236"/>
      <c r="M46" s="237"/>
      <c r="N46" s="236"/>
      <c r="O46" s="236"/>
      <c r="P46" s="236"/>
      <c r="Q46" s="237"/>
      <c r="R46" s="236"/>
      <c r="S46" s="236"/>
      <c r="T46" s="236"/>
      <c r="U46" s="237"/>
      <c r="V46" s="236"/>
      <c r="W46" s="236"/>
      <c r="X46" s="236"/>
      <c r="Y46" s="237"/>
      <c r="Z46" s="236"/>
      <c r="AA46" s="236"/>
      <c r="AB46" s="236"/>
      <c r="AC46" s="237"/>
      <c r="AD46" s="236"/>
      <c r="AE46" s="236"/>
      <c r="AF46" s="236"/>
      <c r="AG46" s="237"/>
      <c r="AH46" s="236"/>
      <c r="AI46" s="236"/>
      <c r="AJ46" s="236"/>
      <c r="AK46" s="237"/>
      <c r="AL46" s="236"/>
      <c r="AM46" s="236"/>
      <c r="AN46" s="236"/>
      <c r="AO46" s="237"/>
      <c r="AP46" s="236"/>
      <c r="AQ46" s="236"/>
      <c r="AR46" s="236"/>
      <c r="AS46" s="237"/>
      <c r="AT46" s="236"/>
      <c r="AU46" s="236"/>
      <c r="AV46" s="236"/>
      <c r="AW46" s="236"/>
      <c r="AX46" s="236"/>
      <c r="AY46" s="236"/>
      <c r="AZ46" s="236"/>
      <c r="BA46" s="236"/>
    </row>
    <row r="47" spans="1:86" s="20" customFormat="1" ht="17.25" customHeight="1">
      <c r="A47" s="236"/>
      <c r="B47" s="236"/>
      <c r="C47" s="236"/>
      <c r="D47" s="236"/>
      <c r="E47" s="237"/>
      <c r="F47" s="236"/>
      <c r="G47" s="236"/>
      <c r="H47" s="236"/>
      <c r="I47" s="237"/>
      <c r="J47" s="236"/>
      <c r="K47" s="236"/>
      <c r="L47" s="236"/>
      <c r="M47" s="237"/>
      <c r="N47" s="236"/>
      <c r="O47" s="236"/>
      <c r="P47" s="236"/>
      <c r="Q47" s="237"/>
      <c r="R47" s="236"/>
      <c r="S47" s="236"/>
      <c r="T47" s="236"/>
      <c r="U47" s="237"/>
      <c r="V47" s="236"/>
      <c r="W47" s="236"/>
      <c r="X47" s="236"/>
      <c r="Y47" s="237"/>
      <c r="Z47" s="236"/>
      <c r="AA47" s="236"/>
      <c r="AB47" s="236"/>
      <c r="AC47" s="237"/>
      <c r="AD47" s="236"/>
      <c r="AE47" s="236"/>
      <c r="AF47" s="236"/>
      <c r="AG47" s="237"/>
      <c r="AH47" s="236"/>
      <c r="AI47" s="236"/>
      <c r="AJ47" s="236"/>
      <c r="AK47" s="237"/>
      <c r="AL47" s="236"/>
      <c r="AM47" s="236"/>
      <c r="AN47" s="236"/>
      <c r="AO47" s="237"/>
      <c r="AP47" s="236"/>
      <c r="AQ47" s="236"/>
      <c r="AR47" s="236"/>
      <c r="AS47" s="237"/>
      <c r="AT47" s="236"/>
      <c r="AU47" s="236"/>
      <c r="AV47" s="236"/>
      <c r="AW47" s="236"/>
      <c r="AX47" s="236"/>
      <c r="AY47" s="236"/>
      <c r="AZ47" s="236"/>
      <c r="BA47" s="236"/>
    </row>
    <row r="48" spans="1:86" s="20" customFormat="1" ht="12.75">
      <c r="A48" s="236"/>
      <c r="B48" s="236"/>
      <c r="C48" s="236"/>
      <c r="D48" s="236"/>
      <c r="E48" s="237"/>
      <c r="F48" s="236"/>
      <c r="G48" s="236"/>
      <c r="H48" s="236"/>
      <c r="I48" s="237"/>
      <c r="J48" s="236"/>
      <c r="K48" s="236"/>
      <c r="L48" s="236"/>
      <c r="M48" s="237"/>
      <c r="N48" s="236"/>
      <c r="O48" s="236"/>
      <c r="P48" s="236"/>
      <c r="Q48" s="237"/>
      <c r="R48" s="236"/>
      <c r="S48" s="236"/>
      <c r="T48" s="236"/>
      <c r="U48" s="237"/>
      <c r="V48" s="236"/>
      <c r="W48" s="236"/>
      <c r="X48" s="236"/>
      <c r="Y48" s="237"/>
      <c r="Z48" s="236"/>
      <c r="AA48" s="236"/>
      <c r="AB48" s="236"/>
      <c r="AC48" s="237"/>
      <c r="AD48" s="236"/>
      <c r="AE48" s="236"/>
      <c r="AF48" s="236"/>
      <c r="AG48" s="237"/>
      <c r="AH48" s="236"/>
      <c r="AI48" s="236"/>
      <c r="AJ48" s="236"/>
      <c r="AK48" s="237"/>
      <c r="AL48" s="236"/>
      <c r="AM48" s="236"/>
      <c r="AN48" s="236"/>
      <c r="AO48" s="237"/>
      <c r="AP48" s="236"/>
      <c r="AQ48" s="236"/>
      <c r="AR48" s="236"/>
      <c r="AS48" s="237"/>
      <c r="AT48" s="236"/>
      <c r="AU48" s="236"/>
      <c r="AV48" s="236"/>
      <c r="AW48" s="236"/>
      <c r="AX48" s="236"/>
      <c r="AY48" s="236"/>
      <c r="AZ48" s="236"/>
      <c r="BA48" s="236"/>
    </row>
    <row r="49" spans="1:53" s="20" customFormat="1" ht="17.25" customHeight="1">
      <c r="A49" s="236"/>
      <c r="B49" s="236"/>
      <c r="C49" s="236"/>
      <c r="D49" s="236"/>
      <c r="E49" s="237"/>
      <c r="F49" s="236"/>
      <c r="G49" s="236"/>
      <c r="H49" s="236"/>
      <c r="I49" s="237"/>
      <c r="J49" s="236"/>
      <c r="K49" s="236"/>
      <c r="L49" s="236"/>
      <c r="M49" s="237"/>
      <c r="N49" s="236"/>
      <c r="O49" s="236"/>
      <c r="P49" s="236"/>
      <c r="Q49" s="237"/>
      <c r="R49" s="236"/>
      <c r="S49" s="236"/>
      <c r="T49" s="236"/>
      <c r="U49" s="237"/>
      <c r="V49" s="236"/>
      <c r="W49" s="236"/>
      <c r="X49" s="236"/>
      <c r="Y49" s="237"/>
      <c r="Z49" s="236"/>
      <c r="AA49" s="236"/>
      <c r="AB49" s="236"/>
      <c r="AC49" s="237"/>
      <c r="AD49" s="236"/>
      <c r="AE49" s="236"/>
      <c r="AF49" s="236"/>
      <c r="AG49" s="237"/>
      <c r="AH49" s="236"/>
      <c r="AI49" s="236"/>
      <c r="AJ49" s="236"/>
      <c r="AK49" s="237"/>
      <c r="AL49" s="236"/>
      <c r="AM49" s="236"/>
      <c r="AN49" s="236"/>
      <c r="AO49" s="237"/>
      <c r="AP49" s="236"/>
      <c r="AQ49" s="236"/>
      <c r="AR49" s="236"/>
      <c r="AS49" s="237"/>
      <c r="AT49" s="236"/>
      <c r="AU49" s="236"/>
      <c r="AV49" s="236"/>
      <c r="AW49" s="236"/>
      <c r="AX49" s="236"/>
      <c r="AY49" s="236"/>
      <c r="AZ49" s="236"/>
      <c r="BA49" s="236"/>
    </row>
    <row r="50" spans="1:53" s="20" customFormat="1" ht="12.75">
      <c r="A50" s="236"/>
      <c r="B50" s="236"/>
      <c r="C50" s="236"/>
      <c r="D50" s="236"/>
      <c r="E50" s="237"/>
      <c r="F50" s="236"/>
      <c r="G50" s="236"/>
      <c r="H50" s="236"/>
      <c r="I50" s="237"/>
      <c r="J50" s="236"/>
      <c r="K50" s="236"/>
      <c r="L50" s="236"/>
      <c r="M50" s="237"/>
      <c r="N50" s="236"/>
      <c r="O50" s="236"/>
      <c r="P50" s="236"/>
      <c r="Q50" s="237"/>
      <c r="R50" s="236"/>
      <c r="S50" s="236"/>
      <c r="T50" s="236"/>
      <c r="U50" s="237"/>
      <c r="V50" s="236"/>
      <c r="W50" s="236"/>
      <c r="X50" s="236"/>
      <c r="Y50" s="237"/>
      <c r="Z50" s="236"/>
      <c r="AA50" s="236"/>
      <c r="AB50" s="236"/>
      <c r="AC50" s="237"/>
      <c r="AD50" s="236"/>
      <c r="AE50" s="236"/>
      <c r="AF50" s="236"/>
      <c r="AG50" s="237"/>
      <c r="AH50" s="236"/>
      <c r="AI50" s="236"/>
      <c r="AJ50" s="236"/>
      <c r="AK50" s="237"/>
      <c r="AL50" s="236"/>
      <c r="AM50" s="236"/>
      <c r="AN50" s="236"/>
      <c r="AO50" s="237"/>
      <c r="AP50" s="236"/>
      <c r="AQ50" s="236"/>
      <c r="AR50" s="236"/>
      <c r="AS50" s="237"/>
      <c r="AT50" s="236"/>
      <c r="AU50" s="236"/>
      <c r="AV50" s="236"/>
      <c r="AW50" s="236"/>
      <c r="AX50" s="236"/>
      <c r="AY50" s="236"/>
      <c r="AZ50" s="236"/>
      <c r="BA50" s="236"/>
    </row>
    <row r="51" spans="1:53" s="20" customFormat="1" ht="17.25" customHeight="1">
      <c r="A51" s="236"/>
      <c r="B51" s="236"/>
      <c r="C51" s="236"/>
      <c r="D51" s="236"/>
      <c r="E51" s="237"/>
      <c r="F51" s="236"/>
      <c r="G51" s="236"/>
      <c r="H51" s="236"/>
      <c r="I51" s="237"/>
      <c r="J51" s="236"/>
      <c r="K51" s="236"/>
      <c r="L51" s="236"/>
      <c r="M51" s="237"/>
      <c r="N51" s="236"/>
      <c r="O51" s="236"/>
      <c r="P51" s="236"/>
      <c r="Q51" s="237"/>
      <c r="R51" s="236"/>
      <c r="S51" s="236"/>
      <c r="T51" s="236"/>
      <c r="U51" s="237"/>
      <c r="V51" s="236"/>
      <c r="W51" s="236"/>
      <c r="X51" s="236"/>
      <c r="Y51" s="237"/>
      <c r="Z51" s="236"/>
      <c r="AA51" s="236"/>
      <c r="AB51" s="236"/>
      <c r="AC51" s="237"/>
      <c r="AD51" s="236"/>
      <c r="AE51" s="236"/>
      <c r="AF51" s="236"/>
      <c r="AG51" s="237"/>
      <c r="AH51" s="236"/>
      <c r="AI51" s="236"/>
      <c r="AJ51" s="236"/>
      <c r="AK51" s="237"/>
      <c r="AL51" s="236"/>
      <c r="AM51" s="236"/>
      <c r="AN51" s="236"/>
      <c r="AO51" s="237"/>
      <c r="AP51" s="236"/>
      <c r="AQ51" s="236"/>
      <c r="AR51" s="236"/>
      <c r="AS51" s="237"/>
      <c r="AT51" s="236"/>
      <c r="AU51" s="236"/>
      <c r="AV51" s="236"/>
      <c r="AW51" s="236"/>
      <c r="AX51" s="236"/>
      <c r="AY51" s="236"/>
      <c r="AZ51" s="236"/>
      <c r="BA51" s="236"/>
    </row>
    <row r="52" spans="1:53" s="20" customFormat="1" ht="12.75">
      <c r="A52" s="236"/>
      <c r="B52" s="236"/>
      <c r="C52" s="236"/>
      <c r="D52" s="236"/>
      <c r="E52" s="237"/>
      <c r="F52" s="236"/>
      <c r="G52" s="236"/>
      <c r="H52" s="236"/>
      <c r="I52" s="237"/>
      <c r="J52" s="236"/>
      <c r="K52" s="236"/>
      <c r="L52" s="236"/>
      <c r="M52" s="237"/>
      <c r="N52" s="236"/>
      <c r="O52" s="236"/>
      <c r="P52" s="236"/>
      <c r="Q52" s="237"/>
      <c r="R52" s="236"/>
      <c r="S52" s="236"/>
      <c r="T52" s="236"/>
      <c r="U52" s="237"/>
      <c r="V52" s="236"/>
      <c r="W52" s="236"/>
      <c r="X52" s="236"/>
      <c r="Y52" s="237"/>
      <c r="Z52" s="236"/>
      <c r="AA52" s="236"/>
      <c r="AB52" s="236"/>
      <c r="AC52" s="237"/>
      <c r="AD52" s="236"/>
      <c r="AE52" s="236"/>
      <c r="AF52" s="236"/>
      <c r="AG52" s="237"/>
      <c r="AH52" s="236"/>
      <c r="AI52" s="236"/>
      <c r="AJ52" s="236"/>
      <c r="AK52" s="237"/>
      <c r="AL52" s="236"/>
      <c r="AM52" s="236"/>
      <c r="AN52" s="236"/>
      <c r="AO52" s="237"/>
      <c r="AP52" s="236"/>
      <c r="AQ52" s="236"/>
      <c r="AR52" s="236"/>
      <c r="AS52" s="237"/>
      <c r="AT52" s="236"/>
      <c r="AU52" s="236"/>
      <c r="AV52" s="236"/>
      <c r="AW52" s="236"/>
      <c r="AX52" s="236"/>
      <c r="AY52" s="236"/>
      <c r="AZ52" s="236"/>
      <c r="BA52" s="236"/>
    </row>
    <row r="53" spans="1:53" s="20" customFormat="1" ht="17.25" customHeight="1">
      <c r="A53" s="236"/>
      <c r="B53" s="236"/>
      <c r="C53" s="236"/>
      <c r="D53" s="236"/>
      <c r="E53" s="237"/>
      <c r="F53" s="236"/>
      <c r="G53" s="236"/>
      <c r="H53" s="236"/>
      <c r="I53" s="237"/>
      <c r="J53" s="236"/>
      <c r="K53" s="236"/>
      <c r="L53" s="236"/>
      <c r="M53" s="237"/>
      <c r="N53" s="236"/>
      <c r="O53" s="236"/>
      <c r="P53" s="236"/>
      <c r="Q53" s="237"/>
      <c r="R53" s="236"/>
      <c r="S53" s="236"/>
      <c r="T53" s="236"/>
      <c r="U53" s="237"/>
      <c r="V53" s="236"/>
      <c r="W53" s="236"/>
      <c r="X53" s="236"/>
      <c r="Y53" s="237"/>
      <c r="Z53" s="236"/>
      <c r="AA53" s="236"/>
      <c r="AB53" s="236"/>
      <c r="AC53" s="237"/>
      <c r="AD53" s="236"/>
      <c r="AE53" s="236"/>
      <c r="AF53" s="236"/>
      <c r="AG53" s="237"/>
      <c r="AH53" s="236"/>
      <c r="AI53" s="236"/>
      <c r="AJ53" s="236"/>
      <c r="AK53" s="237"/>
      <c r="AL53" s="236"/>
      <c r="AM53" s="236"/>
      <c r="AN53" s="236"/>
      <c r="AO53" s="237"/>
      <c r="AP53" s="236"/>
      <c r="AQ53" s="236"/>
      <c r="AR53" s="236"/>
      <c r="AS53" s="237"/>
      <c r="AT53" s="236"/>
      <c r="AU53" s="236"/>
      <c r="AV53" s="236"/>
      <c r="AW53" s="236"/>
      <c r="AX53" s="236"/>
      <c r="AY53" s="236"/>
      <c r="AZ53" s="236"/>
      <c r="BA53" s="236"/>
    </row>
    <row r="54" spans="1:53" s="20" customFormat="1" ht="12.75">
      <c r="A54" s="236"/>
      <c r="B54" s="236"/>
      <c r="C54" s="236"/>
      <c r="D54" s="236"/>
      <c r="E54" s="237"/>
      <c r="F54" s="236"/>
      <c r="G54" s="236"/>
      <c r="H54" s="236"/>
      <c r="I54" s="237"/>
      <c r="J54" s="236"/>
      <c r="K54" s="236"/>
      <c r="L54" s="236"/>
      <c r="M54" s="237"/>
      <c r="N54" s="236"/>
      <c r="O54" s="236"/>
      <c r="P54" s="236"/>
      <c r="Q54" s="237"/>
      <c r="R54" s="236"/>
      <c r="S54" s="236"/>
      <c r="T54" s="236"/>
      <c r="U54" s="237"/>
      <c r="V54" s="236"/>
      <c r="W54" s="236"/>
      <c r="X54" s="236"/>
      <c r="Y54" s="237"/>
      <c r="Z54" s="236"/>
      <c r="AA54" s="236"/>
      <c r="AB54" s="236"/>
      <c r="AC54" s="237"/>
      <c r="AD54" s="236"/>
      <c r="AE54" s="236"/>
      <c r="AF54" s="236"/>
      <c r="AG54" s="237"/>
      <c r="AH54" s="236"/>
      <c r="AI54" s="236"/>
      <c r="AJ54" s="236"/>
      <c r="AK54" s="237"/>
      <c r="AL54" s="236"/>
      <c r="AM54" s="236"/>
      <c r="AN54" s="236"/>
      <c r="AO54" s="237"/>
      <c r="AP54" s="236"/>
      <c r="AQ54" s="236"/>
      <c r="AR54" s="236"/>
      <c r="AS54" s="237"/>
      <c r="AT54" s="236"/>
      <c r="AU54" s="236"/>
      <c r="AV54" s="236"/>
      <c r="AW54" s="236"/>
      <c r="AX54" s="236"/>
      <c r="AY54" s="236"/>
      <c r="AZ54" s="236"/>
      <c r="BA54" s="236"/>
    </row>
    <row r="55" spans="1:53" s="20" customFormat="1" ht="17.25" customHeight="1">
      <c r="A55" s="236"/>
      <c r="B55" s="236"/>
      <c r="C55" s="236"/>
      <c r="D55" s="236"/>
      <c r="E55" s="237"/>
      <c r="F55" s="236"/>
      <c r="G55" s="236"/>
      <c r="H55" s="236"/>
      <c r="I55" s="237"/>
      <c r="J55" s="236"/>
      <c r="K55" s="236"/>
      <c r="L55" s="236"/>
      <c r="M55" s="237"/>
      <c r="N55" s="236"/>
      <c r="O55" s="236"/>
      <c r="P55" s="236"/>
      <c r="Q55" s="237"/>
      <c r="R55" s="236"/>
      <c r="S55" s="236"/>
      <c r="T55" s="236"/>
      <c r="U55" s="237"/>
      <c r="V55" s="236"/>
      <c r="W55" s="236"/>
      <c r="X55" s="236"/>
      <c r="Y55" s="237"/>
      <c r="Z55" s="236"/>
      <c r="AA55" s="236"/>
      <c r="AB55" s="236"/>
      <c r="AC55" s="237"/>
      <c r="AD55" s="236"/>
      <c r="AE55" s="236"/>
      <c r="AF55" s="236"/>
      <c r="AG55" s="237"/>
      <c r="AH55" s="236"/>
      <c r="AI55" s="236"/>
      <c r="AJ55" s="236"/>
      <c r="AK55" s="237"/>
      <c r="AL55" s="236"/>
      <c r="AM55" s="236"/>
      <c r="AN55" s="236"/>
      <c r="AO55" s="237"/>
      <c r="AP55" s="236"/>
      <c r="AQ55" s="236"/>
      <c r="AR55" s="236"/>
      <c r="AS55" s="237"/>
      <c r="AT55" s="236"/>
      <c r="AU55" s="236"/>
      <c r="AV55" s="236"/>
      <c r="AW55" s="236"/>
      <c r="AX55" s="236"/>
      <c r="AY55" s="236"/>
      <c r="AZ55" s="236"/>
      <c r="BA55" s="236"/>
    </row>
    <row r="56" spans="1:53" s="20" customFormat="1" ht="12.75">
      <c r="A56" s="236"/>
      <c r="B56" s="236"/>
      <c r="C56" s="236"/>
      <c r="D56" s="236"/>
      <c r="E56" s="237"/>
      <c r="F56" s="236"/>
      <c r="G56" s="236"/>
      <c r="H56" s="236"/>
      <c r="I56" s="237"/>
      <c r="J56" s="236"/>
      <c r="K56" s="236"/>
      <c r="L56" s="236"/>
      <c r="M56" s="237"/>
      <c r="N56" s="236"/>
      <c r="O56" s="236"/>
      <c r="P56" s="236"/>
      <c r="Q56" s="237"/>
      <c r="R56" s="236"/>
      <c r="S56" s="236"/>
      <c r="T56" s="236"/>
      <c r="U56" s="237"/>
      <c r="V56" s="236"/>
      <c r="W56" s="236"/>
      <c r="X56" s="236"/>
      <c r="Y56" s="237"/>
      <c r="Z56" s="236"/>
      <c r="AA56" s="236"/>
      <c r="AB56" s="236"/>
      <c r="AC56" s="237"/>
      <c r="AD56" s="236"/>
      <c r="AE56" s="236"/>
      <c r="AF56" s="236"/>
      <c r="AG56" s="237"/>
      <c r="AH56" s="236"/>
      <c r="AI56" s="236"/>
      <c r="AJ56" s="236"/>
      <c r="AK56" s="237"/>
      <c r="AL56" s="236"/>
      <c r="AM56" s="236"/>
      <c r="AN56" s="236"/>
      <c r="AO56" s="237"/>
      <c r="AP56" s="236"/>
      <c r="AQ56" s="236"/>
      <c r="AR56" s="236"/>
      <c r="AS56" s="237"/>
      <c r="AT56" s="236"/>
      <c r="AU56" s="236"/>
      <c r="AV56" s="236"/>
      <c r="AW56" s="236"/>
      <c r="AX56" s="236"/>
      <c r="AY56" s="236"/>
      <c r="AZ56" s="236"/>
      <c r="BA56" s="236"/>
    </row>
    <row r="57" spans="1:53" s="20" customFormat="1" ht="17.25" customHeight="1">
      <c r="A57" s="236"/>
      <c r="B57" s="236"/>
      <c r="C57" s="236"/>
      <c r="D57" s="236"/>
      <c r="E57" s="237"/>
      <c r="F57" s="236"/>
      <c r="G57" s="236"/>
      <c r="H57" s="236"/>
      <c r="I57" s="237"/>
      <c r="J57" s="236"/>
      <c r="K57" s="236"/>
      <c r="L57" s="236"/>
      <c r="M57" s="237"/>
      <c r="N57" s="236"/>
      <c r="O57" s="236"/>
      <c r="P57" s="236"/>
      <c r="Q57" s="237"/>
      <c r="R57" s="236"/>
      <c r="S57" s="236"/>
      <c r="T57" s="236"/>
      <c r="U57" s="237"/>
      <c r="V57" s="236"/>
      <c r="W57" s="236"/>
      <c r="X57" s="236"/>
      <c r="Y57" s="237"/>
      <c r="Z57" s="236"/>
      <c r="AA57" s="236"/>
      <c r="AB57" s="236"/>
      <c r="AC57" s="237"/>
      <c r="AD57" s="236"/>
      <c r="AE57" s="236"/>
      <c r="AF57" s="236"/>
      <c r="AG57" s="237"/>
      <c r="AH57" s="236"/>
      <c r="AI57" s="236"/>
      <c r="AJ57" s="236"/>
      <c r="AK57" s="237"/>
      <c r="AL57" s="236"/>
      <c r="AM57" s="236"/>
      <c r="AN57" s="236"/>
      <c r="AO57" s="237"/>
      <c r="AP57" s="236"/>
      <c r="AQ57" s="236"/>
      <c r="AR57" s="236"/>
      <c r="AS57" s="237"/>
      <c r="AT57" s="236"/>
      <c r="AU57" s="236"/>
      <c r="AV57" s="236"/>
      <c r="AW57" s="236"/>
      <c r="AX57" s="236"/>
      <c r="AY57" s="236"/>
      <c r="AZ57" s="236"/>
      <c r="BA57" s="236"/>
    </row>
    <row r="58" spans="1:53" s="20" customFormat="1" ht="12.75">
      <c r="A58" s="236"/>
      <c r="B58" s="236"/>
      <c r="C58" s="236"/>
      <c r="D58" s="236"/>
      <c r="E58" s="237"/>
      <c r="F58" s="236"/>
      <c r="G58" s="236"/>
      <c r="H58" s="236"/>
      <c r="I58" s="237"/>
      <c r="J58" s="236"/>
      <c r="K58" s="236"/>
      <c r="L58" s="236"/>
      <c r="M58" s="237"/>
      <c r="N58" s="236"/>
      <c r="O58" s="236"/>
      <c r="P58" s="236"/>
      <c r="Q58" s="237"/>
      <c r="R58" s="236"/>
      <c r="S58" s="236"/>
      <c r="T58" s="236"/>
      <c r="U58" s="237"/>
      <c r="V58" s="236"/>
      <c r="W58" s="236"/>
      <c r="X58" s="236"/>
      <c r="Y58" s="237"/>
      <c r="Z58" s="236"/>
      <c r="AA58" s="236"/>
      <c r="AB58" s="236"/>
      <c r="AC58" s="237"/>
      <c r="AD58" s="236"/>
      <c r="AE58" s="236"/>
      <c r="AF58" s="236"/>
      <c r="AG58" s="237"/>
      <c r="AH58" s="236"/>
      <c r="AI58" s="236"/>
      <c r="AJ58" s="236"/>
      <c r="AK58" s="237"/>
      <c r="AL58" s="236"/>
      <c r="AM58" s="236"/>
      <c r="AN58" s="236"/>
      <c r="AO58" s="237"/>
      <c r="AP58" s="236"/>
      <c r="AQ58" s="236"/>
      <c r="AR58" s="236"/>
      <c r="AS58" s="237"/>
      <c r="AT58" s="236"/>
      <c r="AU58" s="236"/>
      <c r="AV58" s="236"/>
      <c r="AW58" s="236"/>
      <c r="AX58" s="236"/>
      <c r="AY58" s="236"/>
      <c r="AZ58" s="236"/>
      <c r="BA58" s="236"/>
    </row>
    <row r="59" spans="1:53" s="20" customFormat="1" ht="17.25" customHeight="1">
      <c r="A59" s="236"/>
      <c r="B59" s="236"/>
      <c r="C59" s="236"/>
      <c r="D59" s="236"/>
      <c r="E59" s="237"/>
      <c r="F59" s="236"/>
      <c r="G59" s="236"/>
      <c r="H59" s="236"/>
      <c r="I59" s="237"/>
      <c r="J59" s="236"/>
      <c r="K59" s="236"/>
      <c r="L59" s="236"/>
      <c r="M59" s="237"/>
      <c r="N59" s="236"/>
      <c r="O59" s="236"/>
      <c r="P59" s="236"/>
      <c r="Q59" s="237"/>
      <c r="R59" s="236"/>
      <c r="S59" s="236"/>
      <c r="T59" s="236"/>
      <c r="U59" s="237"/>
      <c r="V59" s="236"/>
      <c r="W59" s="236"/>
      <c r="X59" s="236"/>
      <c r="Y59" s="237"/>
      <c r="Z59" s="236"/>
      <c r="AA59" s="236"/>
      <c r="AB59" s="236"/>
      <c r="AC59" s="237"/>
      <c r="AD59" s="236"/>
      <c r="AE59" s="236"/>
      <c r="AF59" s="236"/>
      <c r="AG59" s="237"/>
      <c r="AH59" s="236"/>
      <c r="AI59" s="236"/>
      <c r="AJ59" s="236"/>
      <c r="AK59" s="237"/>
      <c r="AL59" s="236"/>
      <c r="AM59" s="236"/>
      <c r="AN59" s="236"/>
      <c r="AO59" s="237"/>
      <c r="AP59" s="236"/>
      <c r="AQ59" s="236"/>
      <c r="AR59" s="236"/>
      <c r="AS59" s="237"/>
      <c r="AT59" s="236"/>
      <c r="AU59" s="236"/>
      <c r="AV59" s="236"/>
      <c r="AW59" s="236"/>
      <c r="AX59" s="236"/>
      <c r="AY59" s="236"/>
      <c r="AZ59" s="236"/>
      <c r="BA59" s="236"/>
    </row>
    <row r="60" spans="1:53" s="20" customFormat="1" ht="12.75">
      <c r="A60" s="236"/>
      <c r="B60" s="236"/>
      <c r="C60" s="236"/>
      <c r="D60" s="236"/>
      <c r="E60" s="237"/>
      <c r="F60" s="236"/>
      <c r="G60" s="236"/>
      <c r="H60" s="236"/>
      <c r="I60" s="237"/>
      <c r="J60" s="236"/>
      <c r="K60" s="236"/>
      <c r="L60" s="236"/>
      <c r="M60" s="237"/>
      <c r="N60" s="236"/>
      <c r="O60" s="236"/>
      <c r="P60" s="236"/>
      <c r="Q60" s="237"/>
      <c r="R60" s="236"/>
      <c r="S60" s="236"/>
      <c r="T60" s="236"/>
      <c r="U60" s="237"/>
      <c r="V60" s="236"/>
      <c r="W60" s="236"/>
      <c r="X60" s="236"/>
      <c r="Y60" s="237"/>
      <c r="Z60" s="236"/>
      <c r="AA60" s="236"/>
      <c r="AB60" s="236"/>
      <c r="AC60" s="237"/>
      <c r="AD60" s="236"/>
      <c r="AE60" s="236"/>
      <c r="AF60" s="236"/>
      <c r="AG60" s="237"/>
      <c r="AH60" s="236"/>
      <c r="AI60" s="236"/>
      <c r="AJ60" s="236"/>
      <c r="AK60" s="237"/>
      <c r="AL60" s="236"/>
      <c r="AM60" s="236"/>
      <c r="AN60" s="236"/>
      <c r="AO60" s="237"/>
      <c r="AP60" s="236"/>
      <c r="AQ60" s="236"/>
      <c r="AR60" s="236"/>
      <c r="AS60" s="237"/>
      <c r="AT60" s="236"/>
      <c r="AU60" s="236"/>
      <c r="AV60" s="236"/>
      <c r="AW60" s="236"/>
      <c r="AX60" s="236"/>
      <c r="AY60" s="236"/>
      <c r="AZ60" s="236"/>
      <c r="BA60" s="236"/>
    </row>
    <row r="61" spans="1:53" s="20" customFormat="1" ht="17.25" customHeight="1">
      <c r="A61" s="236"/>
      <c r="B61" s="236"/>
      <c r="C61" s="236"/>
      <c r="D61" s="236"/>
      <c r="E61" s="237"/>
      <c r="F61" s="236"/>
      <c r="G61" s="236"/>
      <c r="H61" s="236"/>
      <c r="I61" s="237"/>
      <c r="J61" s="236"/>
      <c r="K61" s="236"/>
      <c r="L61" s="236"/>
      <c r="M61" s="237"/>
      <c r="N61" s="236"/>
      <c r="O61" s="236"/>
      <c r="P61" s="236"/>
      <c r="Q61" s="237"/>
      <c r="R61" s="236"/>
      <c r="S61" s="236"/>
      <c r="T61" s="236"/>
      <c r="U61" s="237"/>
      <c r="V61" s="236"/>
      <c r="W61" s="236"/>
      <c r="X61" s="236"/>
      <c r="Y61" s="237"/>
      <c r="Z61" s="236"/>
      <c r="AA61" s="236"/>
      <c r="AB61" s="236"/>
      <c r="AC61" s="237"/>
      <c r="AD61" s="236"/>
      <c r="AE61" s="236"/>
      <c r="AF61" s="236"/>
      <c r="AG61" s="237"/>
      <c r="AH61" s="236"/>
      <c r="AI61" s="236"/>
      <c r="AJ61" s="236"/>
      <c r="AK61" s="237"/>
      <c r="AL61" s="236"/>
      <c r="AM61" s="236"/>
      <c r="AN61" s="236"/>
      <c r="AO61" s="237"/>
      <c r="AP61" s="236"/>
      <c r="AQ61" s="236"/>
      <c r="AR61" s="236"/>
      <c r="AS61" s="237"/>
      <c r="AT61" s="236"/>
      <c r="AU61" s="236"/>
      <c r="AV61" s="236"/>
      <c r="AW61" s="236"/>
      <c r="AX61" s="236"/>
      <c r="AY61" s="236"/>
      <c r="AZ61" s="236"/>
      <c r="BA61" s="236"/>
    </row>
    <row r="62" spans="1:53" s="20" customFormat="1" ht="12.75">
      <c r="A62" s="236"/>
      <c r="B62" s="236"/>
      <c r="C62" s="236"/>
      <c r="D62" s="236"/>
      <c r="E62" s="237"/>
      <c r="F62" s="236"/>
      <c r="G62" s="236"/>
      <c r="H62" s="236"/>
      <c r="I62" s="237"/>
      <c r="J62" s="236"/>
      <c r="K62" s="236"/>
      <c r="L62" s="236"/>
      <c r="M62" s="237"/>
      <c r="N62" s="236"/>
      <c r="O62" s="236"/>
      <c r="P62" s="236"/>
      <c r="Q62" s="237"/>
      <c r="R62" s="236"/>
      <c r="S62" s="236"/>
      <c r="T62" s="236"/>
      <c r="U62" s="237"/>
      <c r="V62" s="236"/>
      <c r="W62" s="236"/>
      <c r="X62" s="236"/>
      <c r="Y62" s="237"/>
      <c r="Z62" s="236"/>
      <c r="AA62" s="236"/>
      <c r="AB62" s="236"/>
      <c r="AC62" s="237"/>
      <c r="AD62" s="236"/>
      <c r="AE62" s="236"/>
      <c r="AF62" s="236"/>
      <c r="AG62" s="237"/>
      <c r="AH62" s="236"/>
      <c r="AI62" s="236"/>
      <c r="AJ62" s="236"/>
      <c r="AK62" s="237"/>
      <c r="AL62" s="236"/>
      <c r="AM62" s="236"/>
      <c r="AN62" s="236"/>
      <c r="AO62" s="237"/>
      <c r="AP62" s="236"/>
      <c r="AQ62" s="236"/>
      <c r="AR62" s="236"/>
      <c r="AS62" s="237"/>
      <c r="AT62" s="236"/>
      <c r="AU62" s="236"/>
      <c r="AV62" s="236"/>
      <c r="AW62" s="236"/>
      <c r="AX62" s="236"/>
      <c r="AY62" s="236"/>
      <c r="AZ62" s="236"/>
      <c r="BA62" s="236"/>
    </row>
    <row r="63" spans="1:53" s="20" customFormat="1" ht="17.25" customHeight="1">
      <c r="A63" s="236"/>
      <c r="B63" s="236"/>
      <c r="C63" s="236"/>
      <c r="D63" s="236"/>
      <c r="E63" s="237"/>
      <c r="F63" s="236"/>
      <c r="G63" s="236"/>
      <c r="H63" s="236"/>
      <c r="I63" s="237"/>
      <c r="J63" s="236"/>
      <c r="K63" s="236"/>
      <c r="L63" s="236"/>
      <c r="M63" s="237"/>
      <c r="N63" s="236"/>
      <c r="O63" s="236"/>
      <c r="P63" s="236"/>
      <c r="Q63" s="237"/>
      <c r="R63" s="236"/>
      <c r="S63" s="236"/>
      <c r="T63" s="236"/>
      <c r="U63" s="237"/>
      <c r="V63" s="236"/>
      <c r="W63" s="236"/>
      <c r="X63" s="236"/>
      <c r="Y63" s="237"/>
      <c r="Z63" s="236"/>
      <c r="AA63" s="236"/>
      <c r="AB63" s="236"/>
      <c r="AC63" s="237"/>
      <c r="AD63" s="236"/>
      <c r="AE63" s="236"/>
      <c r="AF63" s="236"/>
      <c r="AG63" s="237"/>
      <c r="AH63" s="236"/>
      <c r="AI63" s="236"/>
      <c r="AJ63" s="236"/>
      <c r="AK63" s="237"/>
      <c r="AL63" s="236"/>
      <c r="AM63" s="236"/>
      <c r="AN63" s="236"/>
      <c r="AO63" s="237"/>
      <c r="AP63" s="236"/>
      <c r="AQ63" s="236"/>
      <c r="AR63" s="236"/>
      <c r="AS63" s="237"/>
      <c r="AT63" s="236"/>
      <c r="AU63" s="236"/>
      <c r="AV63" s="236"/>
      <c r="AW63" s="236"/>
      <c r="AX63" s="236"/>
      <c r="AY63" s="236"/>
      <c r="AZ63" s="236"/>
      <c r="BA63" s="236"/>
    </row>
    <row r="64" spans="1:53" s="20" customFormat="1" ht="12.75">
      <c r="A64" s="236"/>
      <c r="B64" s="236"/>
      <c r="C64" s="236"/>
      <c r="D64" s="236"/>
      <c r="E64" s="237"/>
      <c r="F64" s="236"/>
      <c r="G64" s="236"/>
      <c r="H64" s="236"/>
      <c r="I64" s="237"/>
      <c r="J64" s="236"/>
      <c r="K64" s="236"/>
      <c r="L64" s="236"/>
      <c r="M64" s="237"/>
      <c r="N64" s="236"/>
      <c r="O64" s="236"/>
      <c r="P64" s="236"/>
      <c r="Q64" s="237"/>
      <c r="R64" s="236"/>
      <c r="S64" s="236"/>
      <c r="T64" s="236"/>
      <c r="U64" s="237"/>
      <c r="V64" s="236"/>
      <c r="W64" s="236"/>
      <c r="X64" s="236"/>
      <c r="Y64" s="237"/>
      <c r="Z64" s="236"/>
      <c r="AA64" s="236"/>
      <c r="AB64" s="236"/>
      <c r="AC64" s="237"/>
      <c r="AD64" s="236"/>
      <c r="AE64" s="236"/>
      <c r="AF64" s="236"/>
      <c r="AG64" s="237"/>
      <c r="AH64" s="236"/>
      <c r="AI64" s="236"/>
      <c r="AJ64" s="236"/>
      <c r="AK64" s="237"/>
      <c r="AL64" s="236"/>
      <c r="AM64" s="236"/>
      <c r="AN64" s="236"/>
      <c r="AO64" s="237"/>
      <c r="AP64" s="236"/>
      <c r="AQ64" s="236"/>
      <c r="AR64" s="236"/>
      <c r="AS64" s="237"/>
      <c r="AT64" s="236"/>
      <c r="AU64" s="236"/>
      <c r="AV64" s="236"/>
      <c r="AW64" s="236"/>
      <c r="AX64" s="236"/>
      <c r="AY64" s="236"/>
      <c r="AZ64" s="236"/>
      <c r="BA64" s="236"/>
    </row>
    <row r="65" spans="1:53" s="20" customFormat="1" ht="17.25" customHeight="1">
      <c r="A65" s="236"/>
      <c r="B65" s="236"/>
      <c r="C65" s="236"/>
      <c r="D65" s="236"/>
      <c r="E65" s="237"/>
      <c r="F65" s="236"/>
      <c r="G65" s="236"/>
      <c r="H65" s="236"/>
      <c r="I65" s="237"/>
      <c r="J65" s="236"/>
      <c r="K65" s="236"/>
      <c r="L65" s="236"/>
      <c r="M65" s="237"/>
      <c r="N65" s="236"/>
      <c r="O65" s="236"/>
      <c r="P65" s="236"/>
      <c r="Q65" s="237"/>
      <c r="R65" s="236"/>
      <c r="S65" s="236"/>
      <c r="T65" s="236"/>
      <c r="U65" s="237"/>
      <c r="V65" s="236"/>
      <c r="W65" s="236"/>
      <c r="X65" s="236"/>
      <c r="Y65" s="237"/>
      <c r="Z65" s="236"/>
      <c r="AA65" s="236"/>
      <c r="AB65" s="236"/>
      <c r="AC65" s="237"/>
      <c r="AD65" s="236"/>
      <c r="AE65" s="236"/>
      <c r="AF65" s="236"/>
      <c r="AG65" s="237"/>
      <c r="AH65" s="236"/>
      <c r="AI65" s="236"/>
      <c r="AJ65" s="236"/>
      <c r="AK65" s="237"/>
      <c r="AL65" s="236"/>
      <c r="AM65" s="236"/>
      <c r="AN65" s="236"/>
      <c r="AO65" s="237"/>
      <c r="AP65" s="236"/>
      <c r="AQ65" s="236"/>
      <c r="AR65" s="236"/>
      <c r="AS65" s="237"/>
      <c r="AT65" s="236"/>
      <c r="AU65" s="236"/>
      <c r="AV65" s="236"/>
      <c r="AW65" s="236"/>
      <c r="AX65" s="236"/>
      <c r="AY65" s="236"/>
      <c r="AZ65" s="236"/>
      <c r="BA65" s="236"/>
    </row>
    <row r="66" spans="1:53" s="20" customFormat="1" ht="12.75">
      <c r="A66" s="236"/>
      <c r="B66" s="236"/>
      <c r="C66" s="236"/>
      <c r="D66" s="236"/>
      <c r="E66" s="237"/>
      <c r="F66" s="236"/>
      <c r="G66" s="236"/>
      <c r="H66" s="236"/>
      <c r="I66" s="237"/>
      <c r="J66" s="236"/>
      <c r="K66" s="236"/>
      <c r="L66" s="236"/>
      <c r="M66" s="237"/>
      <c r="N66" s="236"/>
      <c r="O66" s="236"/>
      <c r="P66" s="236"/>
      <c r="Q66" s="237"/>
      <c r="R66" s="236"/>
      <c r="S66" s="236"/>
      <c r="T66" s="236"/>
      <c r="U66" s="237"/>
      <c r="V66" s="236"/>
      <c r="W66" s="236"/>
      <c r="X66" s="236"/>
      <c r="Y66" s="237"/>
      <c r="Z66" s="236"/>
      <c r="AA66" s="236"/>
      <c r="AB66" s="236"/>
      <c r="AC66" s="237"/>
      <c r="AD66" s="236"/>
      <c r="AE66" s="236"/>
      <c r="AF66" s="236"/>
      <c r="AG66" s="237"/>
      <c r="AH66" s="236"/>
      <c r="AI66" s="236"/>
      <c r="AJ66" s="236"/>
      <c r="AK66" s="237"/>
      <c r="AL66" s="236"/>
      <c r="AM66" s="236"/>
      <c r="AN66" s="236"/>
      <c r="AO66" s="237"/>
      <c r="AP66" s="236"/>
      <c r="AQ66" s="236"/>
      <c r="AR66" s="236"/>
      <c r="AS66" s="237"/>
      <c r="AT66" s="236"/>
      <c r="AU66" s="236"/>
      <c r="AV66" s="236"/>
      <c r="AW66" s="236"/>
      <c r="AX66" s="236"/>
      <c r="AY66" s="236"/>
      <c r="AZ66" s="236"/>
      <c r="BA66" s="236"/>
    </row>
    <row r="67" spans="1:53" s="20" customFormat="1" ht="17.25" customHeight="1">
      <c r="A67" s="236"/>
      <c r="B67" s="236"/>
      <c r="C67" s="236"/>
      <c r="D67" s="236"/>
      <c r="E67" s="237"/>
      <c r="F67" s="236"/>
      <c r="G67" s="236"/>
      <c r="H67" s="236"/>
      <c r="I67" s="237"/>
      <c r="J67" s="236"/>
      <c r="K67" s="236"/>
      <c r="L67" s="236"/>
      <c r="M67" s="237"/>
      <c r="N67" s="236"/>
      <c r="O67" s="236"/>
      <c r="P67" s="236"/>
      <c r="Q67" s="237"/>
      <c r="R67" s="236"/>
      <c r="S67" s="236"/>
      <c r="T67" s="236"/>
      <c r="U67" s="237"/>
      <c r="V67" s="236"/>
      <c r="W67" s="236"/>
      <c r="X67" s="236"/>
      <c r="Y67" s="237"/>
      <c r="Z67" s="236"/>
      <c r="AA67" s="236"/>
      <c r="AB67" s="236"/>
      <c r="AC67" s="237"/>
      <c r="AD67" s="236"/>
      <c r="AE67" s="236"/>
      <c r="AF67" s="236"/>
      <c r="AG67" s="237"/>
      <c r="AH67" s="236"/>
      <c r="AI67" s="236"/>
      <c r="AJ67" s="236"/>
      <c r="AK67" s="237"/>
      <c r="AL67" s="236"/>
      <c r="AM67" s="236"/>
      <c r="AN67" s="236"/>
      <c r="AO67" s="237"/>
      <c r="AP67" s="236"/>
      <c r="AQ67" s="236"/>
      <c r="AR67" s="236"/>
      <c r="AS67" s="237"/>
      <c r="AT67" s="236"/>
      <c r="AU67" s="236"/>
      <c r="AV67" s="236"/>
      <c r="AW67" s="236"/>
      <c r="AX67" s="236"/>
      <c r="AY67" s="236"/>
      <c r="AZ67" s="236"/>
      <c r="BA67" s="236"/>
    </row>
    <row r="68" spans="1:53" s="20" customFormat="1" ht="12.75">
      <c r="A68" s="236"/>
      <c r="B68" s="236"/>
      <c r="C68" s="236"/>
      <c r="D68" s="236"/>
      <c r="E68" s="237"/>
      <c r="F68" s="236"/>
      <c r="G68" s="236"/>
      <c r="H68" s="236"/>
      <c r="I68" s="237"/>
      <c r="J68" s="236"/>
      <c r="K68" s="236"/>
      <c r="L68" s="236"/>
      <c r="M68" s="237"/>
      <c r="N68" s="236"/>
      <c r="O68" s="236"/>
      <c r="P68" s="236"/>
      <c r="Q68" s="237"/>
      <c r="R68" s="236"/>
      <c r="S68" s="236"/>
      <c r="T68" s="236"/>
      <c r="U68" s="237"/>
      <c r="V68" s="236"/>
      <c r="W68" s="236"/>
      <c r="X68" s="236"/>
      <c r="Y68" s="237"/>
      <c r="Z68" s="236"/>
      <c r="AA68" s="236"/>
      <c r="AB68" s="236"/>
      <c r="AC68" s="237"/>
      <c r="AD68" s="236"/>
      <c r="AE68" s="236"/>
      <c r="AF68" s="236"/>
      <c r="AG68" s="237"/>
      <c r="AH68" s="236"/>
      <c r="AI68" s="236"/>
      <c r="AJ68" s="236"/>
      <c r="AK68" s="237"/>
      <c r="AL68" s="236"/>
      <c r="AM68" s="236"/>
      <c r="AN68" s="236"/>
      <c r="AO68" s="237"/>
      <c r="AP68" s="236"/>
      <c r="AQ68" s="236"/>
      <c r="AR68" s="236"/>
      <c r="AS68" s="237"/>
      <c r="AT68" s="236"/>
      <c r="AU68" s="236"/>
      <c r="AV68" s="236"/>
      <c r="AW68" s="236"/>
      <c r="AX68" s="236"/>
      <c r="AY68" s="236"/>
      <c r="AZ68" s="236"/>
      <c r="BA68" s="236"/>
    </row>
    <row r="69" spans="1:53" s="20" customFormat="1" ht="17.25" customHeight="1">
      <c r="A69" s="236"/>
      <c r="B69" s="236"/>
      <c r="C69" s="236"/>
      <c r="D69" s="236"/>
      <c r="E69" s="237"/>
      <c r="F69" s="236"/>
      <c r="G69" s="236"/>
      <c r="H69" s="236"/>
      <c r="I69" s="237"/>
      <c r="J69" s="236"/>
      <c r="K69" s="236"/>
      <c r="L69" s="236"/>
      <c r="M69" s="237"/>
      <c r="N69" s="236"/>
      <c r="O69" s="236"/>
      <c r="P69" s="236"/>
      <c r="Q69" s="237"/>
      <c r="R69" s="236"/>
      <c r="S69" s="236"/>
      <c r="T69" s="236"/>
      <c r="U69" s="237"/>
      <c r="V69" s="236"/>
      <c r="W69" s="236"/>
      <c r="X69" s="236"/>
      <c r="Y69" s="237"/>
      <c r="Z69" s="236"/>
      <c r="AA69" s="236"/>
      <c r="AB69" s="236"/>
      <c r="AC69" s="237"/>
      <c r="AD69" s="236"/>
      <c r="AE69" s="236"/>
      <c r="AF69" s="236"/>
      <c r="AG69" s="237"/>
      <c r="AH69" s="236"/>
      <c r="AI69" s="236"/>
      <c r="AJ69" s="236"/>
      <c r="AK69" s="237"/>
      <c r="AL69" s="236"/>
      <c r="AM69" s="236"/>
      <c r="AN69" s="236"/>
      <c r="AO69" s="237"/>
      <c r="AP69" s="236"/>
      <c r="AQ69" s="236"/>
      <c r="AR69" s="236"/>
      <c r="AS69" s="237"/>
      <c r="AT69" s="236"/>
      <c r="AU69" s="236"/>
      <c r="AV69" s="236"/>
      <c r="AW69" s="236"/>
      <c r="AX69" s="236"/>
      <c r="AY69" s="236"/>
      <c r="AZ69" s="236"/>
      <c r="BA69" s="236"/>
    </row>
    <row r="70" spans="1:53" s="20" customFormat="1" ht="12.75">
      <c r="A70" s="236"/>
      <c r="B70" s="236"/>
      <c r="C70" s="236"/>
      <c r="D70" s="236"/>
      <c r="E70" s="237"/>
      <c r="F70" s="236"/>
      <c r="G70" s="236"/>
      <c r="H70" s="236"/>
      <c r="I70" s="237"/>
      <c r="J70" s="236"/>
      <c r="K70" s="236"/>
      <c r="L70" s="236"/>
      <c r="M70" s="237"/>
      <c r="N70" s="236"/>
      <c r="O70" s="236"/>
      <c r="P70" s="236"/>
      <c r="Q70" s="237"/>
      <c r="R70" s="236"/>
      <c r="S70" s="236"/>
      <c r="T70" s="236"/>
      <c r="U70" s="237"/>
      <c r="V70" s="236"/>
      <c r="W70" s="236"/>
      <c r="X70" s="236"/>
      <c r="Y70" s="237"/>
      <c r="Z70" s="236"/>
      <c r="AA70" s="236"/>
      <c r="AB70" s="236"/>
      <c r="AC70" s="237"/>
      <c r="AD70" s="236"/>
      <c r="AE70" s="236"/>
      <c r="AF70" s="236"/>
      <c r="AG70" s="237"/>
      <c r="AH70" s="236"/>
      <c r="AI70" s="236"/>
      <c r="AJ70" s="236"/>
      <c r="AK70" s="237"/>
      <c r="AL70" s="236"/>
      <c r="AM70" s="236"/>
      <c r="AN70" s="236"/>
      <c r="AO70" s="237"/>
      <c r="AP70" s="236"/>
      <c r="AQ70" s="236"/>
      <c r="AR70" s="236"/>
      <c r="AS70" s="237"/>
      <c r="AT70" s="236"/>
      <c r="AU70" s="236"/>
      <c r="AV70" s="236"/>
      <c r="AW70" s="236"/>
      <c r="AX70" s="236"/>
      <c r="AY70" s="236"/>
      <c r="AZ70" s="236"/>
      <c r="BA70" s="236"/>
    </row>
    <row r="71" spans="1:53" s="20" customFormat="1" ht="17.25" customHeight="1">
      <c r="A71" s="236"/>
      <c r="B71" s="236"/>
      <c r="C71" s="236"/>
      <c r="D71" s="236"/>
      <c r="E71" s="237"/>
      <c r="F71" s="236"/>
      <c r="G71" s="236"/>
      <c r="H71" s="236"/>
      <c r="I71" s="237"/>
      <c r="J71" s="236"/>
      <c r="K71" s="236"/>
      <c r="L71" s="236"/>
      <c r="M71" s="237"/>
      <c r="N71" s="236"/>
      <c r="O71" s="236"/>
      <c r="P71" s="236"/>
      <c r="Q71" s="237"/>
      <c r="R71" s="236"/>
      <c r="S71" s="236"/>
      <c r="T71" s="236"/>
      <c r="U71" s="237"/>
      <c r="V71" s="236"/>
      <c r="W71" s="236"/>
      <c r="X71" s="236"/>
      <c r="Y71" s="237"/>
      <c r="Z71" s="236"/>
      <c r="AA71" s="236"/>
      <c r="AB71" s="236"/>
      <c r="AC71" s="237"/>
      <c r="AD71" s="236"/>
      <c r="AE71" s="236"/>
      <c r="AF71" s="236"/>
      <c r="AG71" s="237"/>
      <c r="AH71" s="236"/>
      <c r="AI71" s="236"/>
      <c r="AJ71" s="236"/>
      <c r="AK71" s="237"/>
      <c r="AL71" s="236"/>
      <c r="AM71" s="236"/>
      <c r="AN71" s="236"/>
      <c r="AO71" s="237"/>
      <c r="AP71" s="236"/>
      <c r="AQ71" s="236"/>
      <c r="AR71" s="236"/>
      <c r="AS71" s="237"/>
      <c r="AT71" s="236"/>
      <c r="AU71" s="236"/>
      <c r="AV71" s="236"/>
      <c r="AW71" s="236"/>
      <c r="AX71" s="236"/>
      <c r="AY71" s="236"/>
      <c r="AZ71" s="236"/>
      <c r="BA71" s="236"/>
    </row>
    <row r="72" spans="1:53" s="20" customFormat="1" ht="12.75">
      <c r="A72" s="236"/>
      <c r="B72" s="236"/>
      <c r="C72" s="236"/>
      <c r="D72" s="236"/>
      <c r="E72" s="237"/>
      <c r="F72" s="236"/>
      <c r="G72" s="236"/>
      <c r="H72" s="236"/>
      <c r="I72" s="237"/>
      <c r="J72" s="236"/>
      <c r="K72" s="236"/>
      <c r="L72" s="236"/>
      <c r="M72" s="237"/>
      <c r="N72" s="236"/>
      <c r="O72" s="236"/>
      <c r="P72" s="236"/>
      <c r="Q72" s="237"/>
      <c r="R72" s="236"/>
      <c r="S72" s="236"/>
      <c r="T72" s="236"/>
      <c r="U72" s="237"/>
      <c r="V72" s="236"/>
      <c r="W72" s="236"/>
      <c r="X72" s="236"/>
      <c r="Y72" s="237"/>
      <c r="Z72" s="236"/>
      <c r="AA72" s="236"/>
      <c r="AB72" s="236"/>
      <c r="AC72" s="237"/>
      <c r="AD72" s="236"/>
      <c r="AE72" s="236"/>
      <c r="AF72" s="236"/>
      <c r="AG72" s="237"/>
      <c r="AH72" s="236"/>
      <c r="AI72" s="236"/>
      <c r="AJ72" s="236"/>
      <c r="AK72" s="237"/>
      <c r="AL72" s="236"/>
      <c r="AM72" s="236"/>
      <c r="AN72" s="236"/>
      <c r="AO72" s="237"/>
      <c r="AP72" s="236"/>
      <c r="AQ72" s="236"/>
      <c r="AR72" s="236"/>
      <c r="AS72" s="237"/>
      <c r="AT72" s="236"/>
      <c r="AU72" s="236"/>
      <c r="AV72" s="236"/>
      <c r="AW72" s="236"/>
      <c r="AX72" s="236"/>
      <c r="AY72" s="236"/>
      <c r="AZ72" s="236"/>
      <c r="BA72" s="236"/>
    </row>
    <row r="73" spans="1:53" s="20" customFormat="1" ht="17.25" customHeight="1">
      <c r="A73" s="236"/>
      <c r="B73" s="236"/>
      <c r="C73" s="236"/>
      <c r="D73" s="236"/>
      <c r="E73" s="237"/>
      <c r="F73" s="236"/>
      <c r="G73" s="236"/>
      <c r="H73" s="236"/>
      <c r="I73" s="237"/>
      <c r="J73" s="236"/>
      <c r="K73" s="236"/>
      <c r="L73" s="236"/>
      <c r="M73" s="237"/>
      <c r="N73" s="236"/>
      <c r="O73" s="236"/>
      <c r="P73" s="236"/>
      <c r="Q73" s="237"/>
      <c r="R73" s="236"/>
      <c r="S73" s="236"/>
      <c r="T73" s="236"/>
      <c r="U73" s="237"/>
      <c r="V73" s="236"/>
      <c r="W73" s="236"/>
      <c r="X73" s="236"/>
      <c r="Y73" s="237"/>
      <c r="Z73" s="236"/>
      <c r="AA73" s="236"/>
      <c r="AB73" s="236"/>
      <c r="AC73" s="237"/>
      <c r="AD73" s="236"/>
      <c r="AE73" s="236"/>
      <c r="AF73" s="236"/>
      <c r="AG73" s="237"/>
      <c r="AH73" s="236"/>
      <c r="AI73" s="236"/>
      <c r="AJ73" s="236"/>
      <c r="AK73" s="237"/>
      <c r="AL73" s="236"/>
      <c r="AM73" s="236"/>
      <c r="AN73" s="236"/>
      <c r="AO73" s="237"/>
      <c r="AP73" s="236"/>
      <c r="AQ73" s="236"/>
      <c r="AR73" s="236"/>
      <c r="AS73" s="237"/>
      <c r="AT73" s="236"/>
      <c r="AU73" s="236"/>
      <c r="AV73" s="236"/>
      <c r="AW73" s="236"/>
      <c r="AX73" s="236"/>
      <c r="AY73" s="236"/>
      <c r="AZ73" s="236"/>
      <c r="BA73" s="236"/>
    </row>
    <row r="74" spans="1:53" s="20" customFormat="1" ht="12.75">
      <c r="A74" s="236"/>
      <c r="B74" s="236"/>
      <c r="C74" s="236"/>
      <c r="D74" s="236"/>
      <c r="E74" s="237"/>
      <c r="F74" s="236"/>
      <c r="G74" s="236"/>
      <c r="H74" s="236"/>
      <c r="I74" s="237"/>
      <c r="J74" s="236"/>
      <c r="K74" s="236"/>
      <c r="L74" s="236"/>
      <c r="M74" s="237"/>
      <c r="N74" s="236"/>
      <c r="O74" s="236"/>
      <c r="P74" s="236"/>
      <c r="Q74" s="237"/>
      <c r="R74" s="236"/>
      <c r="S74" s="236"/>
      <c r="T74" s="236"/>
      <c r="U74" s="237"/>
      <c r="V74" s="236"/>
      <c r="W74" s="236"/>
      <c r="X74" s="236"/>
      <c r="Y74" s="237"/>
      <c r="Z74" s="236"/>
      <c r="AA74" s="236"/>
      <c r="AB74" s="236"/>
      <c r="AC74" s="237"/>
      <c r="AD74" s="236"/>
      <c r="AE74" s="236"/>
      <c r="AF74" s="236"/>
      <c r="AG74" s="237"/>
      <c r="AH74" s="236"/>
      <c r="AI74" s="236"/>
      <c r="AJ74" s="236"/>
      <c r="AK74" s="237"/>
      <c r="AL74" s="236"/>
      <c r="AM74" s="236"/>
      <c r="AN74" s="236"/>
      <c r="AO74" s="237"/>
      <c r="AP74" s="236"/>
      <c r="AQ74" s="236"/>
      <c r="AR74" s="236"/>
      <c r="AS74" s="237"/>
      <c r="AT74" s="236"/>
      <c r="AU74" s="236"/>
      <c r="AV74" s="236"/>
      <c r="AW74" s="236"/>
      <c r="AX74" s="236"/>
      <c r="AY74" s="236"/>
      <c r="AZ74" s="236"/>
      <c r="BA74" s="236"/>
    </row>
    <row r="75" spans="1:53" s="20" customFormat="1" ht="17.25" customHeight="1">
      <c r="A75" s="236"/>
      <c r="B75" s="236"/>
      <c r="C75" s="236"/>
      <c r="D75" s="236"/>
      <c r="E75" s="237"/>
      <c r="F75" s="236"/>
      <c r="G75" s="236"/>
      <c r="H75" s="236"/>
      <c r="I75" s="237"/>
      <c r="J75" s="236"/>
      <c r="K75" s="236"/>
      <c r="L75" s="236"/>
      <c r="M75" s="237"/>
      <c r="N75" s="236"/>
      <c r="O75" s="236"/>
      <c r="P75" s="236"/>
      <c r="Q75" s="237"/>
      <c r="R75" s="236"/>
      <c r="S75" s="236"/>
      <c r="T75" s="236"/>
      <c r="U75" s="237"/>
      <c r="V75" s="236"/>
      <c r="W75" s="236"/>
      <c r="X75" s="236"/>
      <c r="Y75" s="237"/>
      <c r="Z75" s="236"/>
      <c r="AA75" s="236"/>
      <c r="AB75" s="236"/>
      <c r="AC75" s="237"/>
      <c r="AD75" s="236"/>
      <c r="AE75" s="236"/>
      <c r="AF75" s="236"/>
      <c r="AG75" s="237"/>
      <c r="AH75" s="236"/>
      <c r="AI75" s="236"/>
      <c r="AJ75" s="236"/>
      <c r="AK75" s="237"/>
      <c r="AL75" s="236"/>
      <c r="AM75" s="236"/>
      <c r="AN75" s="236"/>
      <c r="AO75" s="237"/>
      <c r="AP75" s="236"/>
      <c r="AQ75" s="236"/>
      <c r="AR75" s="236"/>
      <c r="AS75" s="237"/>
      <c r="AT75" s="236"/>
      <c r="AU75" s="236"/>
      <c r="AV75" s="236"/>
      <c r="AW75" s="236"/>
      <c r="AX75" s="236"/>
      <c r="AY75" s="236"/>
      <c r="AZ75" s="236"/>
      <c r="BA75" s="236"/>
    </row>
    <row r="76" spans="1:53" s="20" customFormat="1" ht="12.75">
      <c r="A76" s="236"/>
      <c r="B76" s="236"/>
      <c r="C76" s="236"/>
      <c r="D76" s="236"/>
      <c r="E76" s="237"/>
      <c r="F76" s="236"/>
      <c r="G76" s="236"/>
      <c r="H76" s="236"/>
      <c r="I76" s="237"/>
      <c r="J76" s="236"/>
      <c r="K76" s="236"/>
      <c r="L76" s="236"/>
      <c r="M76" s="237"/>
      <c r="N76" s="236"/>
      <c r="O76" s="236"/>
      <c r="P76" s="236"/>
      <c r="Q76" s="237"/>
      <c r="R76" s="236"/>
      <c r="S76" s="236"/>
      <c r="T76" s="236"/>
      <c r="U76" s="237"/>
      <c r="V76" s="236"/>
      <c r="W76" s="236"/>
      <c r="X76" s="236"/>
      <c r="Y76" s="237"/>
      <c r="Z76" s="236"/>
      <c r="AA76" s="236"/>
      <c r="AB76" s="236"/>
      <c r="AC76" s="237"/>
      <c r="AD76" s="236"/>
      <c r="AE76" s="236"/>
      <c r="AF76" s="236"/>
      <c r="AG76" s="237"/>
      <c r="AH76" s="236"/>
      <c r="AI76" s="236"/>
      <c r="AJ76" s="236"/>
      <c r="AK76" s="237"/>
      <c r="AL76" s="236"/>
      <c r="AM76" s="236"/>
      <c r="AN76" s="236"/>
      <c r="AO76" s="237"/>
      <c r="AP76" s="236"/>
      <c r="AQ76" s="236"/>
      <c r="AR76" s="236"/>
      <c r="AS76" s="237"/>
      <c r="AT76" s="236"/>
      <c r="AU76" s="236"/>
      <c r="AV76" s="236"/>
      <c r="AW76" s="236"/>
      <c r="AX76" s="236"/>
      <c r="AY76" s="236"/>
      <c r="AZ76" s="236"/>
      <c r="BA76" s="236"/>
    </row>
    <row r="77" spans="1:53" s="20" customFormat="1" ht="17.25" customHeight="1">
      <c r="A77" s="236"/>
      <c r="B77" s="236"/>
      <c r="C77" s="236"/>
      <c r="D77" s="236"/>
      <c r="E77" s="237"/>
      <c r="F77" s="236"/>
      <c r="G77" s="236"/>
      <c r="H77" s="236"/>
      <c r="I77" s="237"/>
      <c r="J77" s="236"/>
      <c r="K77" s="236"/>
      <c r="L77" s="236"/>
      <c r="M77" s="237"/>
      <c r="N77" s="236"/>
      <c r="O77" s="236"/>
      <c r="P77" s="236"/>
      <c r="Q77" s="237"/>
      <c r="R77" s="236"/>
      <c r="S77" s="236"/>
      <c r="T77" s="236"/>
      <c r="U77" s="237"/>
      <c r="V77" s="236"/>
      <c r="W77" s="236"/>
      <c r="X77" s="236"/>
      <c r="Y77" s="237"/>
      <c r="Z77" s="236"/>
      <c r="AA77" s="236"/>
      <c r="AB77" s="236"/>
      <c r="AC77" s="237"/>
      <c r="AD77" s="236"/>
      <c r="AE77" s="236"/>
      <c r="AF77" s="236"/>
      <c r="AG77" s="237"/>
      <c r="AH77" s="236"/>
      <c r="AI77" s="236"/>
      <c r="AJ77" s="236"/>
      <c r="AK77" s="237"/>
      <c r="AL77" s="236"/>
      <c r="AM77" s="236"/>
      <c r="AN77" s="236"/>
      <c r="AO77" s="237"/>
      <c r="AP77" s="236"/>
      <c r="AQ77" s="236"/>
      <c r="AR77" s="236"/>
      <c r="AS77" s="237"/>
      <c r="AT77" s="236"/>
      <c r="AU77" s="236"/>
      <c r="AV77" s="236"/>
      <c r="AW77" s="236"/>
      <c r="AX77" s="236"/>
      <c r="AY77" s="236"/>
      <c r="AZ77" s="236"/>
      <c r="BA77" s="236"/>
    </row>
    <row r="78" spans="1:53" s="20" customFormat="1" ht="12.75">
      <c r="A78" s="236"/>
      <c r="B78" s="236"/>
      <c r="C78" s="236"/>
      <c r="D78" s="236"/>
      <c r="E78" s="237"/>
      <c r="F78" s="236"/>
      <c r="G78" s="236"/>
      <c r="H78" s="236"/>
      <c r="I78" s="237"/>
      <c r="J78" s="236"/>
      <c r="K78" s="236"/>
      <c r="L78" s="236"/>
      <c r="M78" s="237"/>
      <c r="N78" s="236"/>
      <c r="O78" s="236"/>
      <c r="P78" s="236"/>
      <c r="Q78" s="237"/>
      <c r="R78" s="236"/>
      <c r="S78" s="236"/>
      <c r="T78" s="236"/>
      <c r="U78" s="237"/>
      <c r="V78" s="236"/>
      <c r="W78" s="236"/>
      <c r="X78" s="236"/>
      <c r="Y78" s="237"/>
      <c r="Z78" s="236"/>
      <c r="AA78" s="236"/>
      <c r="AB78" s="236"/>
      <c r="AC78" s="237"/>
      <c r="AD78" s="236"/>
      <c r="AE78" s="236"/>
      <c r="AF78" s="236"/>
      <c r="AG78" s="237"/>
      <c r="AH78" s="236"/>
      <c r="AI78" s="236"/>
      <c r="AJ78" s="236"/>
      <c r="AK78" s="237"/>
      <c r="AL78" s="236"/>
      <c r="AM78" s="236"/>
      <c r="AN78" s="236"/>
      <c r="AO78" s="237"/>
      <c r="AP78" s="236"/>
      <c r="AQ78" s="236"/>
      <c r="AR78" s="236"/>
      <c r="AS78" s="237"/>
      <c r="AT78" s="236"/>
      <c r="AU78" s="236"/>
      <c r="AV78" s="236"/>
      <c r="AW78" s="236"/>
      <c r="AX78" s="236"/>
      <c r="AY78" s="236"/>
      <c r="AZ78" s="236"/>
      <c r="BA78" s="236"/>
    </row>
    <row r="79" spans="1:53" s="20" customFormat="1" ht="17.25" customHeight="1">
      <c r="A79" s="236"/>
      <c r="B79" s="236"/>
      <c r="C79" s="236"/>
      <c r="D79" s="236"/>
      <c r="E79" s="237"/>
      <c r="F79" s="236"/>
      <c r="G79" s="236"/>
      <c r="H79" s="236"/>
      <c r="I79" s="237"/>
      <c r="J79" s="236"/>
      <c r="K79" s="236"/>
      <c r="L79" s="236"/>
      <c r="M79" s="237"/>
      <c r="N79" s="236"/>
      <c r="O79" s="236"/>
      <c r="P79" s="236"/>
      <c r="Q79" s="237"/>
      <c r="R79" s="236"/>
      <c r="S79" s="236"/>
      <c r="T79" s="236"/>
      <c r="U79" s="237"/>
      <c r="V79" s="236"/>
      <c r="W79" s="236"/>
      <c r="X79" s="236"/>
      <c r="Y79" s="237"/>
      <c r="Z79" s="236"/>
      <c r="AA79" s="236"/>
      <c r="AB79" s="236"/>
      <c r="AC79" s="237"/>
      <c r="AD79" s="236"/>
      <c r="AE79" s="236"/>
      <c r="AF79" s="236"/>
      <c r="AG79" s="237"/>
      <c r="AH79" s="236"/>
      <c r="AI79" s="236"/>
      <c r="AJ79" s="236"/>
      <c r="AK79" s="237"/>
      <c r="AL79" s="236"/>
      <c r="AM79" s="236"/>
      <c r="AN79" s="236"/>
      <c r="AO79" s="237"/>
      <c r="AP79" s="236"/>
      <c r="AQ79" s="236"/>
      <c r="AR79" s="236"/>
      <c r="AS79" s="237"/>
      <c r="AT79" s="236"/>
      <c r="AU79" s="236"/>
      <c r="AV79" s="236"/>
      <c r="AW79" s="236"/>
      <c r="AX79" s="236"/>
      <c r="AY79" s="236"/>
      <c r="AZ79" s="236"/>
      <c r="BA79" s="236"/>
    </row>
    <row r="80" spans="1:53" s="20" customFormat="1" ht="12.75">
      <c r="A80" s="236"/>
      <c r="B80" s="236"/>
      <c r="C80" s="236"/>
      <c r="D80" s="236"/>
      <c r="E80" s="237"/>
      <c r="F80" s="236"/>
      <c r="G80" s="236"/>
      <c r="H80" s="236"/>
      <c r="I80" s="237"/>
      <c r="J80" s="236"/>
      <c r="K80" s="236"/>
      <c r="L80" s="236"/>
      <c r="M80" s="237"/>
      <c r="N80" s="236"/>
      <c r="O80" s="236"/>
      <c r="P80" s="236"/>
      <c r="Q80" s="237"/>
      <c r="R80" s="236"/>
      <c r="S80" s="236"/>
      <c r="T80" s="236"/>
      <c r="U80" s="237"/>
      <c r="V80" s="236"/>
      <c r="W80" s="236"/>
      <c r="X80" s="236"/>
      <c r="Y80" s="237"/>
      <c r="Z80" s="236"/>
      <c r="AA80" s="236"/>
      <c r="AB80" s="236"/>
      <c r="AC80" s="237"/>
      <c r="AD80" s="236"/>
      <c r="AE80" s="236"/>
      <c r="AF80" s="236"/>
      <c r="AG80" s="237"/>
      <c r="AH80" s="236"/>
      <c r="AI80" s="236"/>
      <c r="AJ80" s="236"/>
      <c r="AK80" s="237"/>
      <c r="AL80" s="236"/>
      <c r="AM80" s="236"/>
      <c r="AN80" s="236"/>
      <c r="AO80" s="237"/>
      <c r="AP80" s="236"/>
      <c r="AQ80" s="236"/>
      <c r="AR80" s="236"/>
      <c r="AS80" s="237"/>
      <c r="AT80" s="236"/>
      <c r="AU80" s="236"/>
      <c r="AV80" s="236"/>
      <c r="AW80" s="236"/>
      <c r="AX80" s="236"/>
      <c r="AY80" s="236"/>
      <c r="AZ80" s="236"/>
      <c r="BA80" s="236"/>
    </row>
    <row r="81" spans="1:53" s="20" customFormat="1" ht="17.25" customHeight="1">
      <c r="A81" s="236"/>
      <c r="B81" s="236"/>
      <c r="C81" s="236"/>
      <c r="D81" s="236"/>
      <c r="E81" s="237"/>
      <c r="F81" s="236"/>
      <c r="G81" s="236"/>
      <c r="H81" s="236"/>
      <c r="I81" s="237"/>
      <c r="J81" s="236"/>
      <c r="K81" s="236"/>
      <c r="L81" s="236"/>
      <c r="M81" s="237"/>
      <c r="N81" s="236"/>
      <c r="O81" s="236"/>
      <c r="P81" s="236"/>
      <c r="Q81" s="237"/>
      <c r="R81" s="236"/>
      <c r="S81" s="236"/>
      <c r="T81" s="236"/>
      <c r="U81" s="237"/>
      <c r="V81" s="236"/>
      <c r="W81" s="236"/>
      <c r="X81" s="236"/>
      <c r="Y81" s="237"/>
      <c r="Z81" s="236"/>
      <c r="AA81" s="236"/>
      <c r="AB81" s="236"/>
      <c r="AC81" s="237"/>
      <c r="AD81" s="236"/>
      <c r="AE81" s="236"/>
      <c r="AF81" s="236"/>
      <c r="AG81" s="237"/>
      <c r="AH81" s="236"/>
      <c r="AI81" s="236"/>
      <c r="AJ81" s="236"/>
      <c r="AK81" s="237"/>
      <c r="AL81" s="236"/>
      <c r="AM81" s="236"/>
      <c r="AN81" s="236"/>
      <c r="AO81" s="237"/>
      <c r="AP81" s="236"/>
      <c r="AQ81" s="236"/>
      <c r="AR81" s="236"/>
      <c r="AS81" s="237"/>
      <c r="AT81" s="236"/>
      <c r="AU81" s="236"/>
      <c r="AV81" s="236"/>
      <c r="AW81" s="236"/>
      <c r="AX81" s="236"/>
      <c r="AY81" s="236"/>
      <c r="AZ81" s="236"/>
      <c r="BA81" s="236"/>
    </row>
    <row r="82" spans="1:53" s="20" customFormat="1" ht="12.75">
      <c r="A82" s="236"/>
      <c r="B82" s="236"/>
      <c r="C82" s="236"/>
      <c r="D82" s="236"/>
      <c r="E82" s="237"/>
      <c r="F82" s="236"/>
      <c r="G82" s="236"/>
      <c r="H82" s="236"/>
      <c r="I82" s="237"/>
      <c r="J82" s="236"/>
      <c r="K82" s="236"/>
      <c r="L82" s="236"/>
      <c r="M82" s="237"/>
      <c r="N82" s="236"/>
      <c r="O82" s="236"/>
      <c r="P82" s="236"/>
      <c r="Q82" s="237"/>
      <c r="R82" s="236"/>
      <c r="S82" s="236"/>
      <c r="T82" s="236"/>
      <c r="U82" s="237"/>
      <c r="V82" s="236"/>
      <c r="W82" s="236"/>
      <c r="X82" s="236"/>
      <c r="Y82" s="237"/>
      <c r="Z82" s="236"/>
      <c r="AA82" s="236"/>
      <c r="AB82" s="236"/>
      <c r="AC82" s="237"/>
      <c r="AD82" s="236"/>
      <c r="AE82" s="236"/>
      <c r="AF82" s="236"/>
      <c r="AG82" s="237"/>
      <c r="AH82" s="236"/>
      <c r="AI82" s="236"/>
      <c r="AJ82" s="236"/>
      <c r="AK82" s="237"/>
      <c r="AL82" s="236"/>
      <c r="AM82" s="236"/>
      <c r="AN82" s="236"/>
      <c r="AO82" s="237"/>
      <c r="AP82" s="236"/>
      <c r="AQ82" s="236"/>
      <c r="AR82" s="236"/>
      <c r="AS82" s="237"/>
      <c r="AT82" s="236"/>
      <c r="AU82" s="236"/>
      <c r="AV82" s="236"/>
      <c r="AW82" s="236"/>
      <c r="AX82" s="236"/>
      <c r="AY82" s="236"/>
      <c r="AZ82" s="236"/>
      <c r="BA82" s="236"/>
    </row>
    <row r="83" spans="1:53" s="20" customFormat="1" ht="17.25" customHeight="1">
      <c r="A83" s="236"/>
      <c r="B83" s="236"/>
      <c r="C83" s="236"/>
      <c r="D83" s="236"/>
      <c r="E83" s="237"/>
      <c r="F83" s="236"/>
      <c r="G83" s="236"/>
      <c r="H83" s="236"/>
      <c r="I83" s="237"/>
      <c r="J83" s="236"/>
      <c r="K83" s="236"/>
      <c r="L83" s="236"/>
      <c r="M83" s="237"/>
      <c r="N83" s="236"/>
      <c r="O83" s="236"/>
      <c r="P83" s="236"/>
      <c r="Q83" s="237"/>
      <c r="R83" s="236"/>
      <c r="S83" s="236"/>
      <c r="T83" s="236"/>
      <c r="U83" s="237"/>
      <c r="V83" s="236"/>
      <c r="W83" s="236"/>
      <c r="X83" s="236"/>
      <c r="Y83" s="237"/>
      <c r="Z83" s="236"/>
      <c r="AA83" s="236"/>
      <c r="AB83" s="236"/>
      <c r="AC83" s="237"/>
      <c r="AD83" s="236"/>
      <c r="AE83" s="236"/>
      <c r="AF83" s="236"/>
      <c r="AG83" s="237"/>
      <c r="AH83" s="236"/>
      <c r="AI83" s="236"/>
      <c r="AJ83" s="236"/>
      <c r="AK83" s="237"/>
      <c r="AL83" s="236"/>
      <c r="AM83" s="236"/>
      <c r="AN83" s="236"/>
      <c r="AO83" s="237"/>
      <c r="AP83" s="236"/>
      <c r="AQ83" s="236"/>
      <c r="AR83" s="236"/>
      <c r="AS83" s="237"/>
      <c r="AT83" s="236"/>
      <c r="AU83" s="236"/>
      <c r="AV83" s="236"/>
      <c r="AW83" s="236"/>
      <c r="AX83" s="236"/>
      <c r="AY83" s="236"/>
      <c r="AZ83" s="236"/>
      <c r="BA83" s="236"/>
    </row>
    <row r="84" spans="1:53" s="20" customFormat="1" ht="12.75">
      <c r="A84" s="236"/>
      <c r="B84" s="236"/>
      <c r="C84" s="236"/>
      <c r="D84" s="236"/>
      <c r="E84" s="237"/>
      <c r="F84" s="236"/>
      <c r="G84" s="236"/>
      <c r="H84" s="236"/>
      <c r="I84" s="237"/>
      <c r="J84" s="236"/>
      <c r="K84" s="236"/>
      <c r="L84" s="236"/>
      <c r="M84" s="237"/>
      <c r="N84" s="236"/>
      <c r="O84" s="236"/>
      <c r="P84" s="236"/>
      <c r="Q84" s="237"/>
      <c r="R84" s="236"/>
      <c r="S84" s="236"/>
      <c r="T84" s="236"/>
      <c r="U84" s="237"/>
      <c r="V84" s="236"/>
      <c r="W84" s="236"/>
      <c r="X84" s="236"/>
      <c r="Y84" s="237"/>
      <c r="Z84" s="236"/>
      <c r="AA84" s="236"/>
      <c r="AB84" s="236"/>
      <c r="AC84" s="237"/>
      <c r="AD84" s="236"/>
      <c r="AE84" s="236"/>
      <c r="AF84" s="236"/>
      <c r="AG84" s="237"/>
      <c r="AH84" s="236"/>
      <c r="AI84" s="236"/>
      <c r="AJ84" s="236"/>
      <c r="AK84" s="237"/>
      <c r="AL84" s="236"/>
      <c r="AM84" s="236"/>
      <c r="AN84" s="236"/>
      <c r="AO84" s="237"/>
      <c r="AP84" s="236"/>
      <c r="AQ84" s="236"/>
      <c r="AR84" s="236"/>
      <c r="AS84" s="237"/>
      <c r="AT84" s="236"/>
      <c r="AU84" s="236"/>
      <c r="AV84" s="236"/>
      <c r="AW84" s="236"/>
      <c r="AX84" s="236"/>
      <c r="AY84" s="236"/>
      <c r="AZ84" s="236"/>
      <c r="BA84" s="236"/>
    </row>
    <row r="85" spans="1:53" s="20" customFormat="1" ht="17.25" customHeight="1">
      <c r="A85" s="236"/>
      <c r="B85" s="236"/>
      <c r="C85" s="236"/>
      <c r="D85" s="236"/>
      <c r="E85" s="237"/>
      <c r="F85" s="236"/>
      <c r="G85" s="236"/>
      <c r="H85" s="236"/>
      <c r="I85" s="237"/>
      <c r="J85" s="236"/>
      <c r="K85" s="236"/>
      <c r="L85" s="236"/>
      <c r="M85" s="237"/>
      <c r="N85" s="236"/>
      <c r="O85" s="236"/>
      <c r="P85" s="236"/>
      <c r="Q85" s="237"/>
      <c r="R85" s="236"/>
      <c r="S85" s="236"/>
      <c r="T85" s="236"/>
      <c r="U85" s="237"/>
      <c r="V85" s="236"/>
      <c r="W85" s="236"/>
      <c r="X85" s="236"/>
      <c r="Y85" s="237"/>
      <c r="Z85" s="236"/>
      <c r="AA85" s="236"/>
      <c r="AB85" s="236"/>
      <c r="AC85" s="237"/>
      <c r="AD85" s="236"/>
      <c r="AE85" s="236"/>
      <c r="AF85" s="236"/>
      <c r="AG85" s="237"/>
      <c r="AH85" s="236"/>
      <c r="AI85" s="236"/>
      <c r="AJ85" s="236"/>
      <c r="AK85" s="237"/>
      <c r="AL85" s="236"/>
      <c r="AM85" s="236"/>
      <c r="AN85" s="236"/>
      <c r="AO85" s="237"/>
      <c r="AP85" s="236"/>
      <c r="AQ85" s="236"/>
      <c r="AR85" s="236"/>
      <c r="AS85" s="237"/>
      <c r="AT85" s="236"/>
      <c r="AU85" s="236"/>
      <c r="AV85" s="236"/>
      <c r="AW85" s="236"/>
      <c r="AX85" s="236"/>
      <c r="AY85" s="236"/>
      <c r="AZ85" s="236"/>
      <c r="BA85" s="236"/>
    </row>
    <row r="86" spans="1:53" s="20" customFormat="1" ht="12.75">
      <c r="A86" s="236"/>
      <c r="B86" s="236"/>
      <c r="C86" s="236"/>
      <c r="D86" s="236"/>
      <c r="E86" s="237"/>
      <c r="F86" s="236"/>
      <c r="G86" s="236"/>
      <c r="H86" s="236"/>
      <c r="I86" s="237"/>
      <c r="J86" s="236"/>
      <c r="K86" s="236"/>
      <c r="L86" s="236"/>
      <c r="M86" s="237"/>
      <c r="N86" s="236"/>
      <c r="O86" s="236"/>
      <c r="P86" s="236"/>
      <c r="Q86" s="237"/>
      <c r="R86" s="236"/>
      <c r="S86" s="236"/>
      <c r="T86" s="236"/>
      <c r="U86" s="237"/>
      <c r="V86" s="236"/>
      <c r="W86" s="236"/>
      <c r="X86" s="236"/>
      <c r="Y86" s="237"/>
      <c r="Z86" s="236"/>
      <c r="AA86" s="236"/>
      <c r="AB86" s="236"/>
      <c r="AC86" s="237"/>
      <c r="AD86" s="236"/>
      <c r="AE86" s="236"/>
      <c r="AF86" s="236"/>
      <c r="AG86" s="237"/>
      <c r="AH86" s="236"/>
      <c r="AI86" s="236"/>
      <c r="AJ86" s="236"/>
      <c r="AK86" s="237"/>
      <c r="AL86" s="236"/>
      <c r="AM86" s="236"/>
      <c r="AN86" s="236"/>
      <c r="AO86" s="237"/>
      <c r="AP86" s="236"/>
      <c r="AQ86" s="236"/>
      <c r="AR86" s="236"/>
      <c r="AS86" s="237"/>
      <c r="AT86" s="236"/>
      <c r="AU86" s="236"/>
      <c r="AV86" s="236"/>
      <c r="AW86" s="236"/>
      <c r="AX86" s="236"/>
      <c r="AY86" s="236"/>
      <c r="AZ86" s="236"/>
      <c r="BA86" s="236"/>
    </row>
    <row r="87" spans="1:53" s="20" customFormat="1" ht="17.25" customHeight="1">
      <c r="A87" s="236"/>
      <c r="B87" s="236"/>
      <c r="C87" s="236"/>
      <c r="D87" s="236"/>
      <c r="E87" s="237"/>
      <c r="F87" s="236"/>
      <c r="G87" s="236"/>
      <c r="H87" s="236"/>
      <c r="I87" s="237"/>
      <c r="J87" s="236"/>
      <c r="K87" s="236"/>
      <c r="L87" s="236"/>
      <c r="M87" s="237"/>
      <c r="N87" s="236"/>
      <c r="O87" s="236"/>
      <c r="P87" s="236"/>
      <c r="Q87" s="237"/>
      <c r="R87" s="236"/>
      <c r="S87" s="236"/>
      <c r="T87" s="236"/>
      <c r="U87" s="237"/>
      <c r="V87" s="236"/>
      <c r="W87" s="236"/>
      <c r="X87" s="236"/>
      <c r="Y87" s="237"/>
      <c r="Z87" s="236"/>
      <c r="AA87" s="236"/>
      <c r="AB87" s="236"/>
      <c r="AC87" s="237"/>
      <c r="AD87" s="236"/>
      <c r="AE87" s="236"/>
      <c r="AF87" s="236"/>
      <c r="AG87" s="237"/>
      <c r="AH87" s="236"/>
      <c r="AI87" s="236"/>
      <c r="AJ87" s="236"/>
      <c r="AK87" s="237"/>
      <c r="AL87" s="236"/>
      <c r="AM87" s="236"/>
      <c r="AN87" s="236"/>
      <c r="AO87" s="237"/>
      <c r="AP87" s="236"/>
      <c r="AQ87" s="236"/>
      <c r="AR87" s="236"/>
      <c r="AS87" s="237"/>
      <c r="AT87" s="236"/>
      <c r="AU87" s="236"/>
      <c r="AV87" s="236"/>
      <c r="AW87" s="236"/>
      <c r="AX87" s="236"/>
      <c r="AY87" s="236"/>
      <c r="AZ87" s="236"/>
      <c r="BA87" s="236"/>
    </row>
    <row r="88" spans="1:53" s="20" customFormat="1" ht="12.75">
      <c r="A88" s="236"/>
      <c r="B88" s="236"/>
      <c r="C88" s="236"/>
      <c r="D88" s="236"/>
      <c r="E88" s="237"/>
      <c r="F88" s="236"/>
      <c r="G88" s="236"/>
      <c r="H88" s="236"/>
      <c r="I88" s="237"/>
      <c r="J88" s="236"/>
      <c r="K88" s="236"/>
      <c r="L88" s="236"/>
      <c r="M88" s="237"/>
      <c r="N88" s="236"/>
      <c r="O88" s="236"/>
      <c r="P88" s="236"/>
      <c r="Q88" s="237"/>
      <c r="R88" s="236"/>
      <c r="S88" s="236"/>
      <c r="T88" s="236"/>
      <c r="U88" s="237"/>
      <c r="V88" s="236"/>
      <c r="W88" s="236"/>
      <c r="X88" s="236"/>
      <c r="Y88" s="237"/>
      <c r="Z88" s="236"/>
      <c r="AA88" s="236"/>
      <c r="AB88" s="236"/>
      <c r="AC88" s="237"/>
      <c r="AD88" s="236"/>
      <c r="AE88" s="236"/>
      <c r="AF88" s="236"/>
      <c r="AG88" s="237"/>
      <c r="AH88" s="236"/>
      <c r="AI88" s="236"/>
      <c r="AJ88" s="236"/>
      <c r="AK88" s="237"/>
      <c r="AL88" s="236"/>
      <c r="AM88" s="236"/>
      <c r="AN88" s="236"/>
      <c r="AO88" s="237"/>
      <c r="AP88" s="236"/>
      <c r="AQ88" s="236"/>
      <c r="AR88" s="236"/>
      <c r="AS88" s="237"/>
      <c r="AT88" s="236"/>
      <c r="AU88" s="236"/>
      <c r="AV88" s="236"/>
      <c r="AW88" s="236"/>
      <c r="AX88" s="236"/>
      <c r="AY88" s="236"/>
      <c r="AZ88" s="236"/>
      <c r="BA88" s="236"/>
    </row>
    <row r="89" spans="1:53" s="20" customFormat="1" ht="17.25" customHeight="1">
      <c r="A89" s="236"/>
      <c r="B89" s="236"/>
      <c r="C89" s="236"/>
      <c r="D89" s="236"/>
      <c r="E89" s="237"/>
      <c r="F89" s="236"/>
      <c r="G89" s="236"/>
      <c r="H89" s="236"/>
      <c r="I89" s="237"/>
      <c r="J89" s="236"/>
      <c r="K89" s="236"/>
      <c r="L89" s="236"/>
      <c r="M89" s="237"/>
      <c r="N89" s="236"/>
      <c r="O89" s="236"/>
      <c r="P89" s="236"/>
      <c r="Q89" s="237"/>
      <c r="R89" s="236"/>
      <c r="S89" s="236"/>
      <c r="T89" s="236"/>
      <c r="U89" s="237"/>
      <c r="V89" s="236"/>
      <c r="W89" s="236"/>
      <c r="X89" s="236"/>
      <c r="Y89" s="237"/>
      <c r="Z89" s="236"/>
      <c r="AA89" s="236"/>
      <c r="AB89" s="236"/>
      <c r="AC89" s="237"/>
      <c r="AD89" s="236"/>
      <c r="AE89" s="236"/>
      <c r="AF89" s="236"/>
      <c r="AG89" s="237"/>
      <c r="AH89" s="236"/>
      <c r="AI89" s="236"/>
      <c r="AJ89" s="236"/>
      <c r="AK89" s="237"/>
      <c r="AL89" s="236"/>
      <c r="AM89" s="236"/>
      <c r="AN89" s="236"/>
      <c r="AO89" s="237"/>
      <c r="AP89" s="236"/>
      <c r="AQ89" s="236"/>
      <c r="AR89" s="236"/>
      <c r="AS89" s="237"/>
      <c r="AT89" s="236"/>
      <c r="AU89" s="236"/>
      <c r="AV89" s="236"/>
      <c r="AW89" s="236"/>
      <c r="AX89" s="236"/>
      <c r="AY89" s="236"/>
      <c r="AZ89" s="236"/>
      <c r="BA89" s="236"/>
    </row>
    <row r="90" spans="1:53" s="20" customFormat="1" ht="12.75">
      <c r="E90" s="220"/>
      <c r="I90" s="220"/>
      <c r="M90" s="220"/>
      <c r="Q90" s="220"/>
      <c r="U90" s="220"/>
      <c r="Y90" s="220"/>
      <c r="AC90" s="220"/>
      <c r="AG90" s="220"/>
      <c r="AK90" s="220"/>
      <c r="AO90" s="220"/>
      <c r="AS90" s="220"/>
    </row>
    <row r="91" spans="1:53" s="20" customFormat="1" ht="17.25" customHeight="1">
      <c r="E91" s="220"/>
      <c r="I91" s="220"/>
      <c r="M91" s="220"/>
      <c r="Q91" s="220"/>
      <c r="U91" s="220"/>
      <c r="Y91" s="220"/>
      <c r="AC91" s="220"/>
      <c r="AG91" s="220"/>
      <c r="AK91" s="220"/>
      <c r="AO91" s="220"/>
      <c r="AS91" s="220"/>
    </row>
    <row r="92" spans="1:53" s="20" customFormat="1" ht="12.75">
      <c r="E92" s="220"/>
      <c r="I92" s="220"/>
      <c r="M92" s="220"/>
      <c r="Q92" s="220"/>
      <c r="U92" s="220"/>
      <c r="Y92" s="220"/>
      <c r="AC92" s="220"/>
      <c r="AG92" s="220"/>
      <c r="AK92" s="220"/>
      <c r="AO92" s="220"/>
      <c r="AS92" s="220"/>
    </row>
    <row r="93" spans="1:53" s="20" customFormat="1" ht="17.25" customHeight="1">
      <c r="E93" s="220"/>
      <c r="I93" s="220"/>
      <c r="M93" s="220"/>
      <c r="Q93" s="220"/>
      <c r="U93" s="220"/>
      <c r="Y93" s="220"/>
      <c r="AC93" s="220"/>
      <c r="AG93" s="220"/>
      <c r="AK93" s="220"/>
      <c r="AO93" s="220"/>
      <c r="AS93" s="220"/>
    </row>
    <row r="94" spans="1:53" s="20" customFormat="1" ht="12.75">
      <c r="E94" s="220"/>
      <c r="I94" s="220"/>
      <c r="M94" s="220"/>
      <c r="Q94" s="220"/>
      <c r="U94" s="220"/>
      <c r="Y94" s="220"/>
      <c r="AC94" s="220"/>
      <c r="AG94" s="220"/>
      <c r="AK94" s="220"/>
      <c r="AO94" s="220"/>
      <c r="AS94" s="220"/>
    </row>
    <row r="95" spans="1:53" s="20" customFormat="1" ht="17.25" customHeight="1">
      <c r="E95" s="220"/>
      <c r="I95" s="220"/>
      <c r="M95" s="220"/>
      <c r="Q95" s="220"/>
      <c r="U95" s="220"/>
      <c r="Y95" s="220"/>
      <c r="AC95" s="220"/>
      <c r="AG95" s="220"/>
      <c r="AK95" s="220"/>
      <c r="AO95" s="220"/>
      <c r="AS95" s="220"/>
    </row>
    <row r="96" spans="1:53" s="20" customFormat="1" ht="12.75">
      <c r="E96" s="220"/>
      <c r="I96" s="220"/>
      <c r="M96" s="220"/>
      <c r="Q96" s="220"/>
      <c r="U96" s="220"/>
      <c r="Y96" s="220"/>
      <c r="AC96" s="220"/>
      <c r="AG96" s="220"/>
      <c r="AK96" s="220"/>
      <c r="AO96" s="220"/>
      <c r="AS96" s="220"/>
    </row>
    <row r="97" spans="5:45" s="20" customFormat="1" ht="17.25" customHeight="1">
      <c r="E97" s="220"/>
      <c r="I97" s="220"/>
      <c r="M97" s="220"/>
      <c r="Q97" s="220"/>
      <c r="U97" s="220"/>
      <c r="Y97" s="220"/>
      <c r="AC97" s="220"/>
      <c r="AG97" s="220"/>
      <c r="AK97" s="220"/>
      <c r="AO97" s="220"/>
      <c r="AS97" s="220"/>
    </row>
    <row r="98" spans="5:45" s="20" customFormat="1" ht="12.75">
      <c r="E98" s="220"/>
      <c r="I98" s="220"/>
      <c r="M98" s="220"/>
      <c r="Q98" s="220"/>
      <c r="U98" s="220"/>
      <c r="Y98" s="220"/>
      <c r="AC98" s="220"/>
      <c r="AG98" s="220"/>
      <c r="AK98" s="220"/>
      <c r="AO98" s="220"/>
      <c r="AS98" s="220"/>
    </row>
    <row r="99" spans="5:45" s="20" customFormat="1" ht="17.25" customHeight="1">
      <c r="E99" s="220"/>
      <c r="I99" s="220"/>
      <c r="M99" s="220"/>
      <c r="Q99" s="220"/>
      <c r="U99" s="220"/>
      <c r="Y99" s="220"/>
      <c r="AC99" s="220"/>
      <c r="AG99" s="220"/>
      <c r="AK99" s="220"/>
      <c r="AO99" s="220"/>
      <c r="AS99" s="220"/>
    </row>
    <row r="100" spans="5:45" s="20" customFormat="1" ht="12.75">
      <c r="E100" s="220"/>
      <c r="I100" s="220"/>
      <c r="M100" s="220"/>
      <c r="Q100" s="220"/>
      <c r="U100" s="220"/>
      <c r="Y100" s="220"/>
      <c r="AC100" s="220"/>
      <c r="AG100" s="220"/>
      <c r="AK100" s="220"/>
      <c r="AO100" s="220"/>
      <c r="AS100" s="220"/>
    </row>
    <row r="101" spans="5:45" s="20" customFormat="1" ht="17.25" customHeight="1">
      <c r="E101" s="220"/>
      <c r="I101" s="220"/>
      <c r="M101" s="220"/>
      <c r="Q101" s="220"/>
      <c r="U101" s="220"/>
      <c r="Y101" s="220"/>
      <c r="AC101" s="220"/>
      <c r="AG101" s="220"/>
      <c r="AK101" s="220"/>
      <c r="AO101" s="220"/>
      <c r="AS101" s="220"/>
    </row>
    <row r="102" spans="5:45" s="20" customFormat="1" ht="12.75">
      <c r="E102" s="220"/>
      <c r="I102" s="220"/>
      <c r="M102" s="220"/>
      <c r="Q102" s="220"/>
      <c r="U102" s="220"/>
      <c r="Y102" s="220"/>
      <c r="AC102" s="220"/>
      <c r="AG102" s="220"/>
      <c r="AK102" s="220"/>
      <c r="AO102" s="220"/>
      <c r="AS102" s="220"/>
    </row>
    <row r="103" spans="5:45" s="20" customFormat="1" ht="17.25" customHeight="1">
      <c r="E103" s="220"/>
      <c r="I103" s="220"/>
      <c r="M103" s="220"/>
      <c r="Q103" s="220"/>
      <c r="U103" s="220"/>
      <c r="Y103" s="220"/>
      <c r="AC103" s="220"/>
      <c r="AG103" s="220"/>
      <c r="AK103" s="220"/>
      <c r="AO103" s="220"/>
      <c r="AS103" s="220"/>
    </row>
    <row r="104" spans="5:45" s="20" customFormat="1" ht="12.75">
      <c r="E104" s="220"/>
      <c r="I104" s="220"/>
      <c r="M104" s="220"/>
      <c r="Q104" s="220"/>
      <c r="U104" s="220"/>
      <c r="Y104" s="220"/>
      <c r="AC104" s="220"/>
      <c r="AG104" s="220"/>
      <c r="AK104" s="220"/>
      <c r="AO104" s="220"/>
      <c r="AS104" s="220"/>
    </row>
    <row r="105" spans="5:45" s="20" customFormat="1" ht="17.25" customHeight="1">
      <c r="E105" s="220"/>
      <c r="I105" s="220"/>
      <c r="M105" s="220"/>
      <c r="Q105" s="220"/>
      <c r="U105" s="220"/>
      <c r="Y105" s="220"/>
      <c r="AC105" s="220"/>
      <c r="AG105" s="220"/>
      <c r="AK105" s="220"/>
      <c r="AO105" s="220"/>
      <c r="AS105" s="220"/>
    </row>
    <row r="106" spans="5:45" s="20" customFormat="1" ht="12.75">
      <c r="E106" s="220"/>
      <c r="I106" s="220"/>
      <c r="M106" s="220"/>
      <c r="Q106" s="220"/>
      <c r="U106" s="220"/>
      <c r="Y106" s="220"/>
      <c r="AC106" s="220"/>
      <c r="AG106" s="220"/>
      <c r="AK106" s="220"/>
      <c r="AO106" s="220"/>
      <c r="AS106" s="220"/>
    </row>
    <row r="107" spans="5:45" s="20" customFormat="1" ht="17.25" customHeight="1">
      <c r="E107" s="220"/>
      <c r="I107" s="220"/>
      <c r="M107" s="220"/>
      <c r="Q107" s="220"/>
      <c r="U107" s="220"/>
      <c r="Y107" s="220"/>
      <c r="AC107" s="220"/>
      <c r="AG107" s="220"/>
      <c r="AK107" s="220"/>
      <c r="AO107" s="220"/>
      <c r="AS107" s="220"/>
    </row>
    <row r="108" spans="5:45" s="20" customFormat="1" ht="12.75">
      <c r="E108" s="220"/>
      <c r="I108" s="220"/>
      <c r="M108" s="220"/>
      <c r="Q108" s="220"/>
      <c r="U108" s="220"/>
      <c r="Y108" s="220"/>
      <c r="AC108" s="220"/>
      <c r="AG108" s="220"/>
      <c r="AK108" s="220"/>
      <c r="AO108" s="220"/>
      <c r="AS108" s="220"/>
    </row>
    <row r="109" spans="5:45" s="20" customFormat="1" ht="17.25" customHeight="1">
      <c r="E109" s="220"/>
      <c r="I109" s="220"/>
      <c r="M109" s="220"/>
      <c r="Q109" s="220"/>
      <c r="U109" s="220"/>
      <c r="Y109" s="220"/>
      <c r="AC109" s="220"/>
      <c r="AG109" s="220"/>
      <c r="AK109" s="220"/>
      <c r="AO109" s="220"/>
      <c r="AS109" s="220"/>
    </row>
    <row r="110" spans="5:45" s="20" customFormat="1" ht="12.75">
      <c r="E110" s="220"/>
      <c r="I110" s="220"/>
      <c r="M110" s="220"/>
      <c r="Q110" s="220"/>
      <c r="U110" s="220"/>
      <c r="Y110" s="220"/>
      <c r="AC110" s="220"/>
      <c r="AG110" s="220"/>
      <c r="AK110" s="220"/>
      <c r="AO110" s="220"/>
      <c r="AS110" s="220"/>
    </row>
    <row r="111" spans="5:45" s="20" customFormat="1" ht="17.25" customHeight="1">
      <c r="E111" s="220"/>
      <c r="I111" s="220"/>
      <c r="M111" s="220"/>
      <c r="Q111" s="220"/>
      <c r="U111" s="220"/>
      <c r="Y111" s="220"/>
      <c r="AC111" s="220"/>
      <c r="AG111" s="220"/>
      <c r="AK111" s="220"/>
      <c r="AO111" s="220"/>
      <c r="AS111" s="220"/>
    </row>
    <row r="112" spans="5:45" s="20" customFormat="1" ht="12.75">
      <c r="E112" s="220"/>
      <c r="I112" s="220"/>
      <c r="M112" s="220"/>
      <c r="Q112" s="220"/>
      <c r="U112" s="220"/>
      <c r="Y112" s="220"/>
      <c r="AC112" s="220"/>
      <c r="AG112" s="220"/>
      <c r="AK112" s="220"/>
      <c r="AO112" s="220"/>
      <c r="AS112" s="220"/>
    </row>
    <row r="113" spans="5:45" s="20" customFormat="1" ht="17.25" customHeight="1">
      <c r="E113" s="220"/>
      <c r="I113" s="220"/>
      <c r="M113" s="220"/>
      <c r="Q113" s="220"/>
      <c r="U113" s="220"/>
      <c r="Y113" s="220"/>
      <c r="AC113" s="220"/>
      <c r="AG113" s="220"/>
      <c r="AK113" s="220"/>
      <c r="AO113" s="220"/>
      <c r="AS113" s="220"/>
    </row>
    <row r="114" spans="5:45" s="20" customFormat="1" ht="12.75">
      <c r="E114" s="220"/>
      <c r="I114" s="220"/>
      <c r="M114" s="220"/>
      <c r="Q114" s="220"/>
      <c r="U114" s="220"/>
      <c r="Y114" s="220"/>
      <c r="AC114" s="220"/>
      <c r="AG114" s="220"/>
      <c r="AK114" s="220"/>
      <c r="AO114" s="220"/>
      <c r="AS114" s="220"/>
    </row>
    <row r="115" spans="5:45" s="20" customFormat="1" ht="17.25" customHeight="1">
      <c r="E115" s="220"/>
      <c r="I115" s="220"/>
      <c r="M115" s="220"/>
      <c r="Q115" s="220"/>
      <c r="U115" s="220"/>
      <c r="Y115" s="220"/>
      <c r="AC115" s="220"/>
      <c r="AG115" s="220"/>
      <c r="AK115" s="220"/>
      <c r="AO115" s="220"/>
      <c r="AS115" s="220"/>
    </row>
    <row r="116" spans="5:45" s="20" customFormat="1" ht="12.75">
      <c r="E116" s="220"/>
      <c r="I116" s="220"/>
      <c r="M116" s="220"/>
      <c r="Q116" s="220"/>
      <c r="U116" s="220"/>
      <c r="Y116" s="220"/>
      <c r="AC116" s="220"/>
      <c r="AG116" s="220"/>
      <c r="AK116" s="220"/>
      <c r="AO116" s="220"/>
      <c r="AS116" s="220"/>
    </row>
    <row r="117" spans="5:45" s="20" customFormat="1" ht="17.25" customHeight="1">
      <c r="E117" s="220"/>
      <c r="I117" s="220"/>
      <c r="M117" s="220"/>
      <c r="Q117" s="220"/>
      <c r="U117" s="220"/>
      <c r="Y117" s="220"/>
      <c r="AC117" s="220"/>
      <c r="AG117" s="220"/>
      <c r="AK117" s="220"/>
      <c r="AO117" s="220"/>
      <c r="AS117" s="220"/>
    </row>
    <row r="118" spans="5:45" s="20" customFormat="1" ht="12.75">
      <c r="E118" s="220"/>
      <c r="I118" s="220"/>
      <c r="M118" s="220"/>
      <c r="Q118" s="220"/>
      <c r="U118" s="220"/>
      <c r="Y118" s="220"/>
      <c r="AC118" s="220"/>
      <c r="AG118" s="220"/>
      <c r="AK118" s="220"/>
      <c r="AO118" s="220"/>
      <c r="AS118" s="220"/>
    </row>
    <row r="119" spans="5:45" s="20" customFormat="1" ht="17.25" customHeight="1">
      <c r="E119" s="220"/>
      <c r="I119" s="220"/>
      <c r="M119" s="220"/>
      <c r="Q119" s="220"/>
      <c r="U119" s="220"/>
      <c r="Y119" s="220"/>
      <c r="AC119" s="220"/>
      <c r="AG119" s="220"/>
      <c r="AK119" s="220"/>
      <c r="AO119" s="220"/>
      <c r="AS119" s="220"/>
    </row>
    <row r="120" spans="5:45" s="20" customFormat="1" ht="12.75">
      <c r="E120" s="220"/>
      <c r="I120" s="220"/>
      <c r="M120" s="220"/>
      <c r="Q120" s="220"/>
      <c r="U120" s="220"/>
      <c r="Y120" s="220"/>
      <c r="AC120" s="220"/>
      <c r="AG120" s="220"/>
      <c r="AK120" s="220"/>
      <c r="AO120" s="220"/>
      <c r="AS120" s="220"/>
    </row>
    <row r="121" spans="5:45" s="20" customFormat="1" ht="17.25" customHeight="1">
      <c r="E121" s="220"/>
      <c r="I121" s="220"/>
      <c r="M121" s="220"/>
      <c r="Q121" s="220"/>
      <c r="U121" s="220"/>
      <c r="Y121" s="220"/>
      <c r="AC121" s="220"/>
      <c r="AG121" s="220"/>
      <c r="AK121" s="220"/>
      <c r="AO121" s="220"/>
      <c r="AS121" s="220"/>
    </row>
    <row r="122" spans="5:45" s="20" customFormat="1" ht="12.75">
      <c r="E122" s="220"/>
      <c r="I122" s="220"/>
      <c r="M122" s="220"/>
      <c r="Q122" s="220"/>
      <c r="U122" s="220"/>
      <c r="Y122" s="220"/>
      <c r="AC122" s="220"/>
      <c r="AG122" s="220"/>
      <c r="AK122" s="220"/>
      <c r="AO122" s="220"/>
      <c r="AS122" s="220"/>
    </row>
    <row r="123" spans="5:45" s="20" customFormat="1" ht="17.25" customHeight="1">
      <c r="E123" s="220"/>
      <c r="I123" s="220"/>
      <c r="M123" s="220"/>
      <c r="Q123" s="220"/>
      <c r="U123" s="220"/>
      <c r="Y123" s="220"/>
      <c r="AC123" s="220"/>
      <c r="AG123" s="220"/>
      <c r="AK123" s="220"/>
      <c r="AO123" s="220"/>
      <c r="AS123" s="220"/>
    </row>
    <row r="124" spans="5:45" s="20" customFormat="1" ht="12.75">
      <c r="E124" s="220"/>
      <c r="I124" s="220"/>
      <c r="M124" s="220"/>
      <c r="Q124" s="220"/>
      <c r="U124" s="220"/>
      <c r="Y124" s="220"/>
      <c r="AC124" s="220"/>
      <c r="AG124" s="220"/>
      <c r="AK124" s="220"/>
      <c r="AO124" s="220"/>
      <c r="AS124" s="220"/>
    </row>
    <row r="125" spans="5:45" s="20" customFormat="1" ht="17.25" customHeight="1">
      <c r="E125" s="220"/>
      <c r="I125" s="220"/>
      <c r="M125" s="220"/>
      <c r="Q125" s="220"/>
      <c r="U125" s="220"/>
      <c r="Y125" s="220"/>
      <c r="AC125" s="220"/>
      <c r="AG125" s="220"/>
      <c r="AK125" s="220"/>
      <c r="AO125" s="220"/>
      <c r="AS125" s="220"/>
    </row>
    <row r="126" spans="5:45" s="20" customFormat="1" ht="12.75">
      <c r="E126" s="220"/>
      <c r="I126" s="220"/>
      <c r="M126" s="220"/>
      <c r="Q126" s="220"/>
      <c r="U126" s="220"/>
      <c r="Y126" s="220"/>
      <c r="AC126" s="220"/>
      <c r="AG126" s="220"/>
      <c r="AK126" s="220"/>
      <c r="AO126" s="220"/>
      <c r="AS126" s="220"/>
    </row>
    <row r="127" spans="5:45" s="20" customFormat="1" ht="17.25" customHeight="1">
      <c r="E127" s="220"/>
      <c r="I127" s="220"/>
      <c r="M127" s="220"/>
      <c r="Q127" s="220"/>
      <c r="U127" s="220"/>
      <c r="Y127" s="220"/>
      <c r="AC127" s="220"/>
      <c r="AG127" s="220"/>
      <c r="AK127" s="220"/>
      <c r="AO127" s="220"/>
      <c r="AS127" s="220"/>
    </row>
    <row r="128" spans="5:45" s="20" customFormat="1" ht="12.75">
      <c r="E128" s="220"/>
      <c r="I128" s="220"/>
      <c r="M128" s="220"/>
      <c r="Q128" s="220"/>
      <c r="U128" s="220"/>
      <c r="Y128" s="220"/>
      <c r="AC128" s="220"/>
      <c r="AG128" s="220"/>
      <c r="AK128" s="220"/>
      <c r="AO128" s="220"/>
      <c r="AS128" s="220"/>
    </row>
    <row r="129" spans="5:45" s="20" customFormat="1" ht="17.25" customHeight="1">
      <c r="E129" s="220"/>
      <c r="I129" s="220"/>
      <c r="M129" s="220"/>
      <c r="Q129" s="220"/>
      <c r="U129" s="220"/>
      <c r="Y129" s="220"/>
      <c r="AC129" s="220"/>
      <c r="AG129" s="220"/>
      <c r="AK129" s="220"/>
      <c r="AO129" s="220"/>
      <c r="AS129" s="220"/>
    </row>
    <row r="130" spans="5:45" s="20" customFormat="1" ht="12.75">
      <c r="E130" s="220"/>
      <c r="I130" s="220"/>
      <c r="M130" s="220"/>
      <c r="Q130" s="220"/>
      <c r="U130" s="220"/>
      <c r="Y130" s="220"/>
      <c r="AC130" s="220"/>
      <c r="AG130" s="220"/>
      <c r="AK130" s="220"/>
      <c r="AO130" s="220"/>
      <c r="AS130" s="220"/>
    </row>
    <row r="131" spans="5:45" s="20" customFormat="1" ht="17.25" customHeight="1">
      <c r="E131" s="220"/>
      <c r="I131" s="220"/>
      <c r="M131" s="220"/>
      <c r="Q131" s="220"/>
      <c r="U131" s="220"/>
      <c r="Y131" s="220"/>
      <c r="AC131" s="220"/>
      <c r="AG131" s="220"/>
      <c r="AK131" s="220"/>
      <c r="AO131" s="220"/>
      <c r="AS131" s="220"/>
    </row>
    <row r="132" spans="5:45" s="20" customFormat="1" ht="12.75">
      <c r="E132" s="220"/>
      <c r="I132" s="220"/>
      <c r="M132" s="220"/>
      <c r="Q132" s="220"/>
      <c r="U132" s="220"/>
      <c r="Y132" s="220"/>
      <c r="AC132" s="220"/>
      <c r="AG132" s="220"/>
      <c r="AK132" s="220"/>
      <c r="AO132" s="220"/>
      <c r="AS132" s="220"/>
    </row>
    <row r="133" spans="5:45" s="20" customFormat="1" ht="17.25" customHeight="1">
      <c r="E133" s="220"/>
      <c r="I133" s="220"/>
      <c r="M133" s="220"/>
      <c r="Q133" s="220"/>
      <c r="U133" s="220"/>
      <c r="Y133" s="220"/>
      <c r="AC133" s="220"/>
      <c r="AG133" s="220"/>
      <c r="AK133" s="220"/>
      <c r="AO133" s="220"/>
      <c r="AS133" s="220"/>
    </row>
    <row r="134" spans="5:45" s="20" customFormat="1" ht="12.75">
      <c r="E134" s="220"/>
      <c r="I134" s="220"/>
      <c r="M134" s="220"/>
      <c r="Q134" s="220"/>
      <c r="U134" s="220"/>
      <c r="Y134" s="220"/>
      <c r="AC134" s="220"/>
      <c r="AG134" s="220"/>
      <c r="AK134" s="220"/>
      <c r="AO134" s="220"/>
      <c r="AS134" s="220"/>
    </row>
    <row r="135" spans="5:45" s="20" customFormat="1" ht="17.25" customHeight="1">
      <c r="E135" s="220"/>
      <c r="I135" s="220"/>
      <c r="M135" s="220"/>
      <c r="Q135" s="220"/>
      <c r="U135" s="220"/>
      <c r="Y135" s="220"/>
      <c r="AC135" s="220"/>
      <c r="AG135" s="220"/>
      <c r="AK135" s="220"/>
      <c r="AO135" s="220"/>
      <c r="AS135" s="220"/>
    </row>
    <row r="136" spans="5:45" s="20" customFormat="1" ht="12.75">
      <c r="E136" s="220"/>
      <c r="I136" s="220"/>
      <c r="M136" s="220"/>
      <c r="Q136" s="220"/>
      <c r="U136" s="220"/>
      <c r="Y136" s="220"/>
      <c r="AC136" s="220"/>
      <c r="AG136" s="220"/>
      <c r="AK136" s="220"/>
      <c r="AO136" s="220"/>
      <c r="AS136" s="220"/>
    </row>
    <row r="137" spans="5:45" s="20" customFormat="1" ht="17.25" customHeight="1">
      <c r="E137" s="220"/>
      <c r="I137" s="220"/>
      <c r="M137" s="220"/>
      <c r="Q137" s="220"/>
      <c r="U137" s="220"/>
      <c r="Y137" s="220"/>
      <c r="AC137" s="220"/>
      <c r="AG137" s="220"/>
      <c r="AK137" s="220"/>
      <c r="AO137" s="220"/>
      <c r="AS137" s="220"/>
    </row>
    <row r="138" spans="5:45" s="20" customFormat="1" ht="12.75">
      <c r="E138" s="220"/>
      <c r="I138" s="220"/>
      <c r="M138" s="220"/>
      <c r="Q138" s="220"/>
      <c r="U138" s="220"/>
      <c r="Y138" s="220"/>
      <c r="AC138" s="220"/>
      <c r="AG138" s="220"/>
      <c r="AK138" s="220"/>
      <c r="AO138" s="220"/>
      <c r="AS138" s="220"/>
    </row>
    <row r="139" spans="5:45" s="20" customFormat="1" ht="17.25" customHeight="1">
      <c r="E139" s="220"/>
      <c r="I139" s="220"/>
      <c r="M139" s="220"/>
      <c r="Q139" s="220"/>
      <c r="U139" s="220"/>
      <c r="Y139" s="220"/>
      <c r="AC139" s="220"/>
      <c r="AG139" s="220"/>
      <c r="AK139" s="220"/>
      <c r="AO139" s="220"/>
      <c r="AS139" s="220"/>
    </row>
    <row r="140" spans="5:45" s="20" customFormat="1" ht="12.75">
      <c r="E140" s="220"/>
      <c r="I140" s="220"/>
      <c r="M140" s="220"/>
      <c r="Q140" s="220"/>
      <c r="U140" s="220"/>
      <c r="Y140" s="220"/>
      <c r="AC140" s="220"/>
      <c r="AG140" s="220"/>
      <c r="AK140" s="220"/>
      <c r="AO140" s="220"/>
      <c r="AS140" s="220"/>
    </row>
    <row r="141" spans="5:45" s="20" customFormat="1" ht="17.25" customHeight="1">
      <c r="E141" s="220"/>
      <c r="I141" s="220"/>
      <c r="M141" s="220"/>
      <c r="Q141" s="220"/>
      <c r="U141" s="220"/>
      <c r="Y141" s="220"/>
      <c r="AC141" s="220"/>
      <c r="AG141" s="220"/>
      <c r="AK141" s="220"/>
      <c r="AO141" s="220"/>
      <c r="AS141" s="220"/>
    </row>
    <row r="142" spans="5:45" s="20" customFormat="1" ht="12.75">
      <c r="E142" s="220"/>
      <c r="I142" s="220"/>
      <c r="M142" s="220"/>
      <c r="Q142" s="220"/>
      <c r="U142" s="220"/>
      <c r="Y142" s="220"/>
      <c r="AC142" s="220"/>
      <c r="AG142" s="220"/>
      <c r="AK142" s="220"/>
      <c r="AO142" s="220"/>
      <c r="AS142" s="220"/>
    </row>
  </sheetData>
  <mergeCells count="25">
    <mergeCell ref="A4:Y4"/>
    <mergeCell ref="Z4:AS4"/>
    <mergeCell ref="AL6:AP6"/>
    <mergeCell ref="A7:A11"/>
    <mergeCell ref="B7:E7"/>
    <mergeCell ref="F7:I7"/>
    <mergeCell ref="J7:M7"/>
    <mergeCell ref="N7:Q7"/>
    <mergeCell ref="R7:U7"/>
    <mergeCell ref="V7:Y7"/>
    <mergeCell ref="Z7:AC7"/>
    <mergeCell ref="AD7:AG7"/>
    <mergeCell ref="AH7:AS7"/>
    <mergeCell ref="B8:E10"/>
    <mergeCell ref="F8:I10"/>
    <mergeCell ref="J8:M10"/>
    <mergeCell ref="AH8:AS9"/>
    <mergeCell ref="AH10:AK10"/>
    <mergeCell ref="AL10:AO10"/>
    <mergeCell ref="AP10:AS10"/>
    <mergeCell ref="N8:Q10"/>
    <mergeCell ref="R8:U10"/>
    <mergeCell ref="V8:Y10"/>
    <mergeCell ref="Z8:AC10"/>
    <mergeCell ref="AD8:AG10"/>
  </mergeCells>
  <pageMargins left="0.7" right="0.7" top="0.75" bottom="0.75" header="0.3" footer="0.3"/>
  <pageSetup paperSize="9" scale="30" orientation="landscape" horizontalDpi="300" verticalDpi="300" r:id="rId1"/>
  <colBreaks count="1" manualBreakCount="1">
    <brk id="25" max="3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Z19"/>
  <sheetViews>
    <sheetView view="pageBreakPreview" zoomScale="95" zoomScaleSheetLayoutView="95" workbookViewId="0"/>
  </sheetViews>
  <sheetFormatPr defaultRowHeight="15"/>
  <cols>
    <col min="1" max="1" width="39.5703125" style="25" customWidth="1"/>
    <col min="2" max="17" width="10.7109375" style="25" customWidth="1"/>
    <col min="18" max="18" width="12.140625" style="204" customWidth="1"/>
    <col min="19" max="19" width="12" style="204" customWidth="1"/>
    <col min="20" max="20" width="9.85546875" style="204" customWidth="1"/>
    <col min="21" max="21" width="10.85546875" style="204" customWidth="1"/>
    <col min="22" max="22" width="9.140625" style="204"/>
    <col min="23" max="23" width="11.140625" style="204" customWidth="1"/>
    <col min="24" max="24" width="9.140625" style="204"/>
    <col min="25" max="25" width="11.42578125" style="204" customWidth="1"/>
    <col min="26" max="26" width="12.28515625" style="204" customWidth="1"/>
    <col min="27" max="256" width="9.140625" style="204"/>
    <col min="257" max="257" width="39.5703125" style="204" customWidth="1"/>
    <col min="258" max="273" width="10.7109375" style="204" customWidth="1"/>
    <col min="274" max="274" width="12.140625" style="204" customWidth="1"/>
    <col min="275" max="275" width="12" style="204" customWidth="1"/>
    <col min="276" max="276" width="9.85546875" style="204" customWidth="1"/>
    <col min="277" max="277" width="10.85546875" style="204" customWidth="1"/>
    <col min="278" max="278" width="9.140625" style="204"/>
    <col min="279" max="279" width="11.140625" style="204" customWidth="1"/>
    <col min="280" max="280" width="9.140625" style="204"/>
    <col min="281" max="281" width="11.42578125" style="204" customWidth="1"/>
    <col min="282" max="282" width="12.28515625" style="204" customWidth="1"/>
    <col min="283" max="512" width="9.140625" style="204"/>
    <col min="513" max="513" width="39.5703125" style="204" customWidth="1"/>
    <col min="514" max="529" width="10.7109375" style="204" customWidth="1"/>
    <col min="530" max="530" width="12.140625" style="204" customWidth="1"/>
    <col min="531" max="531" width="12" style="204" customWidth="1"/>
    <col min="532" max="532" width="9.85546875" style="204" customWidth="1"/>
    <col min="533" max="533" width="10.85546875" style="204" customWidth="1"/>
    <col min="534" max="534" width="9.140625" style="204"/>
    <col min="535" max="535" width="11.140625" style="204" customWidth="1"/>
    <col min="536" max="536" width="9.140625" style="204"/>
    <col min="537" max="537" width="11.42578125" style="204" customWidth="1"/>
    <col min="538" max="538" width="12.28515625" style="204" customWidth="1"/>
    <col min="539" max="768" width="9.140625" style="204"/>
    <col min="769" max="769" width="39.5703125" style="204" customWidth="1"/>
    <col min="770" max="785" width="10.7109375" style="204" customWidth="1"/>
    <col min="786" max="786" width="12.140625" style="204" customWidth="1"/>
    <col min="787" max="787" width="12" style="204" customWidth="1"/>
    <col min="788" max="788" width="9.85546875" style="204" customWidth="1"/>
    <col min="789" max="789" width="10.85546875" style="204" customWidth="1"/>
    <col min="790" max="790" width="9.140625" style="204"/>
    <col min="791" max="791" width="11.140625" style="204" customWidth="1"/>
    <col min="792" max="792" width="9.140625" style="204"/>
    <col min="793" max="793" width="11.42578125" style="204" customWidth="1"/>
    <col min="794" max="794" width="12.28515625" style="204" customWidth="1"/>
    <col min="795" max="1024" width="9.140625" style="204"/>
    <col min="1025" max="1025" width="39.5703125" style="204" customWidth="1"/>
    <col min="1026" max="1041" width="10.7109375" style="204" customWidth="1"/>
    <col min="1042" max="1042" width="12.140625" style="204" customWidth="1"/>
    <col min="1043" max="1043" width="12" style="204" customWidth="1"/>
    <col min="1044" max="1044" width="9.85546875" style="204" customWidth="1"/>
    <col min="1045" max="1045" width="10.85546875" style="204" customWidth="1"/>
    <col min="1046" max="1046" width="9.140625" style="204"/>
    <col min="1047" max="1047" width="11.140625" style="204" customWidth="1"/>
    <col min="1048" max="1048" width="9.140625" style="204"/>
    <col min="1049" max="1049" width="11.42578125" style="204" customWidth="1"/>
    <col min="1050" max="1050" width="12.28515625" style="204" customWidth="1"/>
    <col min="1051" max="1280" width="9.140625" style="204"/>
    <col min="1281" max="1281" width="39.5703125" style="204" customWidth="1"/>
    <col min="1282" max="1297" width="10.7109375" style="204" customWidth="1"/>
    <col min="1298" max="1298" width="12.140625" style="204" customWidth="1"/>
    <col min="1299" max="1299" width="12" style="204" customWidth="1"/>
    <col min="1300" max="1300" width="9.85546875" style="204" customWidth="1"/>
    <col min="1301" max="1301" width="10.85546875" style="204" customWidth="1"/>
    <col min="1302" max="1302" width="9.140625" style="204"/>
    <col min="1303" max="1303" width="11.140625" style="204" customWidth="1"/>
    <col min="1304" max="1304" width="9.140625" style="204"/>
    <col min="1305" max="1305" width="11.42578125" style="204" customWidth="1"/>
    <col min="1306" max="1306" width="12.28515625" style="204" customWidth="1"/>
    <col min="1307" max="1536" width="9.140625" style="204"/>
    <col min="1537" max="1537" width="39.5703125" style="204" customWidth="1"/>
    <col min="1538" max="1553" width="10.7109375" style="204" customWidth="1"/>
    <col min="1554" max="1554" width="12.140625" style="204" customWidth="1"/>
    <col min="1555" max="1555" width="12" style="204" customWidth="1"/>
    <col min="1556" max="1556" width="9.85546875" style="204" customWidth="1"/>
    <col min="1557" max="1557" width="10.85546875" style="204" customWidth="1"/>
    <col min="1558" max="1558" width="9.140625" style="204"/>
    <col min="1559" max="1559" width="11.140625" style="204" customWidth="1"/>
    <col min="1560" max="1560" width="9.140625" style="204"/>
    <col min="1561" max="1561" width="11.42578125" style="204" customWidth="1"/>
    <col min="1562" max="1562" width="12.28515625" style="204" customWidth="1"/>
    <col min="1563" max="1792" width="9.140625" style="204"/>
    <col min="1793" max="1793" width="39.5703125" style="204" customWidth="1"/>
    <col min="1794" max="1809" width="10.7109375" style="204" customWidth="1"/>
    <col min="1810" max="1810" width="12.140625" style="204" customWidth="1"/>
    <col min="1811" max="1811" width="12" style="204" customWidth="1"/>
    <col min="1812" max="1812" width="9.85546875" style="204" customWidth="1"/>
    <col min="1813" max="1813" width="10.85546875" style="204" customWidth="1"/>
    <col min="1814" max="1814" width="9.140625" style="204"/>
    <col min="1815" max="1815" width="11.140625" style="204" customWidth="1"/>
    <col min="1816" max="1816" width="9.140625" style="204"/>
    <col min="1817" max="1817" width="11.42578125" style="204" customWidth="1"/>
    <col min="1818" max="1818" width="12.28515625" style="204" customWidth="1"/>
    <col min="1819" max="2048" width="9.140625" style="204"/>
    <col min="2049" max="2049" width="39.5703125" style="204" customWidth="1"/>
    <col min="2050" max="2065" width="10.7109375" style="204" customWidth="1"/>
    <col min="2066" max="2066" width="12.140625" style="204" customWidth="1"/>
    <col min="2067" max="2067" width="12" style="204" customWidth="1"/>
    <col min="2068" max="2068" width="9.85546875" style="204" customWidth="1"/>
    <col min="2069" max="2069" width="10.85546875" style="204" customWidth="1"/>
    <col min="2070" max="2070" width="9.140625" style="204"/>
    <col min="2071" max="2071" width="11.140625" style="204" customWidth="1"/>
    <col min="2072" max="2072" width="9.140625" style="204"/>
    <col min="2073" max="2073" width="11.42578125" style="204" customWidth="1"/>
    <col min="2074" max="2074" width="12.28515625" style="204" customWidth="1"/>
    <col min="2075" max="2304" width="9.140625" style="204"/>
    <col min="2305" max="2305" width="39.5703125" style="204" customWidth="1"/>
    <col min="2306" max="2321" width="10.7109375" style="204" customWidth="1"/>
    <col min="2322" max="2322" width="12.140625" style="204" customWidth="1"/>
    <col min="2323" max="2323" width="12" style="204" customWidth="1"/>
    <col min="2324" max="2324" width="9.85546875" style="204" customWidth="1"/>
    <col min="2325" max="2325" width="10.85546875" style="204" customWidth="1"/>
    <col min="2326" max="2326" width="9.140625" style="204"/>
    <col min="2327" max="2327" width="11.140625" style="204" customWidth="1"/>
    <col min="2328" max="2328" width="9.140625" style="204"/>
    <col min="2329" max="2329" width="11.42578125" style="204" customWidth="1"/>
    <col min="2330" max="2330" width="12.28515625" style="204" customWidth="1"/>
    <col min="2331" max="2560" width="9.140625" style="204"/>
    <col min="2561" max="2561" width="39.5703125" style="204" customWidth="1"/>
    <col min="2562" max="2577" width="10.7109375" style="204" customWidth="1"/>
    <col min="2578" max="2578" width="12.140625" style="204" customWidth="1"/>
    <col min="2579" max="2579" width="12" style="204" customWidth="1"/>
    <col min="2580" max="2580" width="9.85546875" style="204" customWidth="1"/>
    <col min="2581" max="2581" width="10.85546875" style="204" customWidth="1"/>
    <col min="2582" max="2582" width="9.140625" style="204"/>
    <col min="2583" max="2583" width="11.140625" style="204" customWidth="1"/>
    <col min="2584" max="2584" width="9.140625" style="204"/>
    <col min="2585" max="2585" width="11.42578125" style="204" customWidth="1"/>
    <col min="2586" max="2586" width="12.28515625" style="204" customWidth="1"/>
    <col min="2587" max="2816" width="9.140625" style="204"/>
    <col min="2817" max="2817" width="39.5703125" style="204" customWidth="1"/>
    <col min="2818" max="2833" width="10.7109375" style="204" customWidth="1"/>
    <col min="2834" max="2834" width="12.140625" style="204" customWidth="1"/>
    <col min="2835" max="2835" width="12" style="204" customWidth="1"/>
    <col min="2836" max="2836" width="9.85546875" style="204" customWidth="1"/>
    <col min="2837" max="2837" width="10.85546875" style="204" customWidth="1"/>
    <col min="2838" max="2838" width="9.140625" style="204"/>
    <col min="2839" max="2839" width="11.140625" style="204" customWidth="1"/>
    <col min="2840" max="2840" width="9.140625" style="204"/>
    <col min="2841" max="2841" width="11.42578125" style="204" customWidth="1"/>
    <col min="2842" max="2842" width="12.28515625" style="204" customWidth="1"/>
    <col min="2843" max="3072" width="9.140625" style="204"/>
    <col min="3073" max="3073" width="39.5703125" style="204" customWidth="1"/>
    <col min="3074" max="3089" width="10.7109375" style="204" customWidth="1"/>
    <col min="3090" max="3090" width="12.140625" style="204" customWidth="1"/>
    <col min="3091" max="3091" width="12" style="204" customWidth="1"/>
    <col min="3092" max="3092" width="9.85546875" style="204" customWidth="1"/>
    <col min="3093" max="3093" width="10.85546875" style="204" customWidth="1"/>
    <col min="3094" max="3094" width="9.140625" style="204"/>
    <col min="3095" max="3095" width="11.140625" style="204" customWidth="1"/>
    <col min="3096" max="3096" width="9.140625" style="204"/>
    <col min="3097" max="3097" width="11.42578125" style="204" customWidth="1"/>
    <col min="3098" max="3098" width="12.28515625" style="204" customWidth="1"/>
    <col min="3099" max="3328" width="9.140625" style="204"/>
    <col min="3329" max="3329" width="39.5703125" style="204" customWidth="1"/>
    <col min="3330" max="3345" width="10.7109375" style="204" customWidth="1"/>
    <col min="3346" max="3346" width="12.140625" style="204" customWidth="1"/>
    <col min="3347" max="3347" width="12" style="204" customWidth="1"/>
    <col min="3348" max="3348" width="9.85546875" style="204" customWidth="1"/>
    <col min="3349" max="3349" width="10.85546875" style="204" customWidth="1"/>
    <col min="3350" max="3350" width="9.140625" style="204"/>
    <col min="3351" max="3351" width="11.140625" style="204" customWidth="1"/>
    <col min="3352" max="3352" width="9.140625" style="204"/>
    <col min="3353" max="3353" width="11.42578125" style="204" customWidth="1"/>
    <col min="3354" max="3354" width="12.28515625" style="204" customWidth="1"/>
    <col min="3355" max="3584" width="9.140625" style="204"/>
    <col min="3585" max="3585" width="39.5703125" style="204" customWidth="1"/>
    <col min="3586" max="3601" width="10.7109375" style="204" customWidth="1"/>
    <col min="3602" max="3602" width="12.140625" style="204" customWidth="1"/>
    <col min="3603" max="3603" width="12" style="204" customWidth="1"/>
    <col min="3604" max="3604" width="9.85546875" style="204" customWidth="1"/>
    <col min="3605" max="3605" width="10.85546875" style="204" customWidth="1"/>
    <col min="3606" max="3606" width="9.140625" style="204"/>
    <col min="3607" max="3607" width="11.140625" style="204" customWidth="1"/>
    <col min="3608" max="3608" width="9.140625" style="204"/>
    <col min="3609" max="3609" width="11.42578125" style="204" customWidth="1"/>
    <col min="3610" max="3610" width="12.28515625" style="204" customWidth="1"/>
    <col min="3611" max="3840" width="9.140625" style="204"/>
    <col min="3841" max="3841" width="39.5703125" style="204" customWidth="1"/>
    <col min="3842" max="3857" width="10.7109375" style="204" customWidth="1"/>
    <col min="3858" max="3858" width="12.140625" style="204" customWidth="1"/>
    <col min="3859" max="3859" width="12" style="204" customWidth="1"/>
    <col min="3860" max="3860" width="9.85546875" style="204" customWidth="1"/>
    <col min="3861" max="3861" width="10.85546875" style="204" customWidth="1"/>
    <col min="3862" max="3862" width="9.140625" style="204"/>
    <col min="3863" max="3863" width="11.140625" style="204" customWidth="1"/>
    <col min="3864" max="3864" width="9.140625" style="204"/>
    <col min="3865" max="3865" width="11.42578125" style="204" customWidth="1"/>
    <col min="3866" max="3866" width="12.28515625" style="204" customWidth="1"/>
    <col min="3867" max="4096" width="9.140625" style="204"/>
    <col min="4097" max="4097" width="39.5703125" style="204" customWidth="1"/>
    <col min="4098" max="4113" width="10.7109375" style="204" customWidth="1"/>
    <col min="4114" max="4114" width="12.140625" style="204" customWidth="1"/>
    <col min="4115" max="4115" width="12" style="204" customWidth="1"/>
    <col min="4116" max="4116" width="9.85546875" style="204" customWidth="1"/>
    <col min="4117" max="4117" width="10.85546875" style="204" customWidth="1"/>
    <col min="4118" max="4118" width="9.140625" style="204"/>
    <col min="4119" max="4119" width="11.140625" style="204" customWidth="1"/>
    <col min="4120" max="4120" width="9.140625" style="204"/>
    <col min="4121" max="4121" width="11.42578125" style="204" customWidth="1"/>
    <col min="4122" max="4122" width="12.28515625" style="204" customWidth="1"/>
    <col min="4123" max="4352" width="9.140625" style="204"/>
    <col min="4353" max="4353" width="39.5703125" style="204" customWidth="1"/>
    <col min="4354" max="4369" width="10.7109375" style="204" customWidth="1"/>
    <col min="4370" max="4370" width="12.140625" style="204" customWidth="1"/>
    <col min="4371" max="4371" width="12" style="204" customWidth="1"/>
    <col min="4372" max="4372" width="9.85546875" style="204" customWidth="1"/>
    <col min="4373" max="4373" width="10.85546875" style="204" customWidth="1"/>
    <col min="4374" max="4374" width="9.140625" style="204"/>
    <col min="4375" max="4375" width="11.140625" style="204" customWidth="1"/>
    <col min="4376" max="4376" width="9.140625" style="204"/>
    <col min="4377" max="4377" width="11.42578125" style="204" customWidth="1"/>
    <col min="4378" max="4378" width="12.28515625" style="204" customWidth="1"/>
    <col min="4379" max="4608" width="9.140625" style="204"/>
    <col min="4609" max="4609" width="39.5703125" style="204" customWidth="1"/>
    <col min="4610" max="4625" width="10.7109375" style="204" customWidth="1"/>
    <col min="4626" max="4626" width="12.140625" style="204" customWidth="1"/>
    <col min="4627" max="4627" width="12" style="204" customWidth="1"/>
    <col min="4628" max="4628" width="9.85546875" style="204" customWidth="1"/>
    <col min="4629" max="4629" width="10.85546875" style="204" customWidth="1"/>
    <col min="4630" max="4630" width="9.140625" style="204"/>
    <col min="4631" max="4631" width="11.140625" style="204" customWidth="1"/>
    <col min="4632" max="4632" width="9.140625" style="204"/>
    <col min="4633" max="4633" width="11.42578125" style="204" customWidth="1"/>
    <col min="4634" max="4634" width="12.28515625" style="204" customWidth="1"/>
    <col min="4635" max="4864" width="9.140625" style="204"/>
    <col min="4865" max="4865" width="39.5703125" style="204" customWidth="1"/>
    <col min="4866" max="4881" width="10.7109375" style="204" customWidth="1"/>
    <col min="4882" max="4882" width="12.140625" style="204" customWidth="1"/>
    <col min="4883" max="4883" width="12" style="204" customWidth="1"/>
    <col min="4884" max="4884" width="9.85546875" style="204" customWidth="1"/>
    <col min="4885" max="4885" width="10.85546875" style="204" customWidth="1"/>
    <col min="4886" max="4886" width="9.140625" style="204"/>
    <col min="4887" max="4887" width="11.140625" style="204" customWidth="1"/>
    <col min="4888" max="4888" width="9.140625" style="204"/>
    <col min="4889" max="4889" width="11.42578125" style="204" customWidth="1"/>
    <col min="4890" max="4890" width="12.28515625" style="204" customWidth="1"/>
    <col min="4891" max="5120" width="9.140625" style="204"/>
    <col min="5121" max="5121" width="39.5703125" style="204" customWidth="1"/>
    <col min="5122" max="5137" width="10.7109375" style="204" customWidth="1"/>
    <col min="5138" max="5138" width="12.140625" style="204" customWidth="1"/>
    <col min="5139" max="5139" width="12" style="204" customWidth="1"/>
    <col min="5140" max="5140" width="9.85546875" style="204" customWidth="1"/>
    <col min="5141" max="5141" width="10.85546875" style="204" customWidth="1"/>
    <col min="5142" max="5142" width="9.140625" style="204"/>
    <col min="5143" max="5143" width="11.140625" style="204" customWidth="1"/>
    <col min="5144" max="5144" width="9.140625" style="204"/>
    <col min="5145" max="5145" width="11.42578125" style="204" customWidth="1"/>
    <col min="5146" max="5146" width="12.28515625" style="204" customWidth="1"/>
    <col min="5147" max="5376" width="9.140625" style="204"/>
    <col min="5377" max="5377" width="39.5703125" style="204" customWidth="1"/>
    <col min="5378" max="5393" width="10.7109375" style="204" customWidth="1"/>
    <col min="5394" max="5394" width="12.140625" style="204" customWidth="1"/>
    <col min="5395" max="5395" width="12" style="204" customWidth="1"/>
    <col min="5396" max="5396" width="9.85546875" style="204" customWidth="1"/>
    <col min="5397" max="5397" width="10.85546875" style="204" customWidth="1"/>
    <col min="5398" max="5398" width="9.140625" style="204"/>
    <col min="5399" max="5399" width="11.140625" style="204" customWidth="1"/>
    <col min="5400" max="5400" width="9.140625" style="204"/>
    <col min="5401" max="5401" width="11.42578125" style="204" customWidth="1"/>
    <col min="5402" max="5402" width="12.28515625" style="204" customWidth="1"/>
    <col min="5403" max="5632" width="9.140625" style="204"/>
    <col min="5633" max="5633" width="39.5703125" style="204" customWidth="1"/>
    <col min="5634" max="5649" width="10.7109375" style="204" customWidth="1"/>
    <col min="5650" max="5650" width="12.140625" style="204" customWidth="1"/>
    <col min="5651" max="5651" width="12" style="204" customWidth="1"/>
    <col min="5652" max="5652" width="9.85546875" style="204" customWidth="1"/>
    <col min="5653" max="5653" width="10.85546875" style="204" customWidth="1"/>
    <col min="5654" max="5654" width="9.140625" style="204"/>
    <col min="5655" max="5655" width="11.140625" style="204" customWidth="1"/>
    <col min="5656" max="5656" width="9.140625" style="204"/>
    <col min="5657" max="5657" width="11.42578125" style="204" customWidth="1"/>
    <col min="5658" max="5658" width="12.28515625" style="204" customWidth="1"/>
    <col min="5659" max="5888" width="9.140625" style="204"/>
    <col min="5889" max="5889" width="39.5703125" style="204" customWidth="1"/>
    <col min="5890" max="5905" width="10.7109375" style="204" customWidth="1"/>
    <col min="5906" max="5906" width="12.140625" style="204" customWidth="1"/>
    <col min="5907" max="5907" width="12" style="204" customWidth="1"/>
    <col min="5908" max="5908" width="9.85546875" style="204" customWidth="1"/>
    <col min="5909" max="5909" width="10.85546875" style="204" customWidth="1"/>
    <col min="5910" max="5910" width="9.140625" style="204"/>
    <col min="5911" max="5911" width="11.140625" style="204" customWidth="1"/>
    <col min="5912" max="5912" width="9.140625" style="204"/>
    <col min="5913" max="5913" width="11.42578125" style="204" customWidth="1"/>
    <col min="5914" max="5914" width="12.28515625" style="204" customWidth="1"/>
    <col min="5915" max="6144" width="9.140625" style="204"/>
    <col min="6145" max="6145" width="39.5703125" style="204" customWidth="1"/>
    <col min="6146" max="6161" width="10.7109375" style="204" customWidth="1"/>
    <col min="6162" max="6162" width="12.140625" style="204" customWidth="1"/>
    <col min="6163" max="6163" width="12" style="204" customWidth="1"/>
    <col min="6164" max="6164" width="9.85546875" style="204" customWidth="1"/>
    <col min="6165" max="6165" width="10.85546875" style="204" customWidth="1"/>
    <col min="6166" max="6166" width="9.140625" style="204"/>
    <col min="6167" max="6167" width="11.140625" style="204" customWidth="1"/>
    <col min="6168" max="6168" width="9.140625" style="204"/>
    <col min="6169" max="6169" width="11.42578125" style="204" customWidth="1"/>
    <col min="6170" max="6170" width="12.28515625" style="204" customWidth="1"/>
    <col min="6171" max="6400" width="9.140625" style="204"/>
    <col min="6401" max="6401" width="39.5703125" style="204" customWidth="1"/>
    <col min="6402" max="6417" width="10.7109375" style="204" customWidth="1"/>
    <col min="6418" max="6418" width="12.140625" style="204" customWidth="1"/>
    <col min="6419" max="6419" width="12" style="204" customWidth="1"/>
    <col min="6420" max="6420" width="9.85546875" style="204" customWidth="1"/>
    <col min="6421" max="6421" width="10.85546875" style="204" customWidth="1"/>
    <col min="6422" max="6422" width="9.140625" style="204"/>
    <col min="6423" max="6423" width="11.140625" style="204" customWidth="1"/>
    <col min="6424" max="6424" width="9.140625" style="204"/>
    <col min="6425" max="6425" width="11.42578125" style="204" customWidth="1"/>
    <col min="6426" max="6426" width="12.28515625" style="204" customWidth="1"/>
    <col min="6427" max="6656" width="9.140625" style="204"/>
    <col min="6657" max="6657" width="39.5703125" style="204" customWidth="1"/>
    <col min="6658" max="6673" width="10.7109375" style="204" customWidth="1"/>
    <col min="6674" max="6674" width="12.140625" style="204" customWidth="1"/>
    <col min="6675" max="6675" width="12" style="204" customWidth="1"/>
    <col min="6676" max="6676" width="9.85546875" style="204" customWidth="1"/>
    <col min="6677" max="6677" width="10.85546875" style="204" customWidth="1"/>
    <col min="6678" max="6678" width="9.140625" style="204"/>
    <col min="6679" max="6679" width="11.140625" style="204" customWidth="1"/>
    <col min="6680" max="6680" width="9.140625" style="204"/>
    <col min="6681" max="6681" width="11.42578125" style="204" customWidth="1"/>
    <col min="6682" max="6682" width="12.28515625" style="204" customWidth="1"/>
    <col min="6683" max="6912" width="9.140625" style="204"/>
    <col min="6913" max="6913" width="39.5703125" style="204" customWidth="1"/>
    <col min="6914" max="6929" width="10.7109375" style="204" customWidth="1"/>
    <col min="6930" max="6930" width="12.140625" style="204" customWidth="1"/>
    <col min="6931" max="6931" width="12" style="204" customWidth="1"/>
    <col min="6932" max="6932" width="9.85546875" style="204" customWidth="1"/>
    <col min="6933" max="6933" width="10.85546875" style="204" customWidth="1"/>
    <col min="6934" max="6934" width="9.140625" style="204"/>
    <col min="6935" max="6935" width="11.140625" style="204" customWidth="1"/>
    <col min="6936" max="6936" width="9.140625" style="204"/>
    <col min="6937" max="6937" width="11.42578125" style="204" customWidth="1"/>
    <col min="6938" max="6938" width="12.28515625" style="204" customWidth="1"/>
    <col min="6939" max="7168" width="9.140625" style="204"/>
    <col min="7169" max="7169" width="39.5703125" style="204" customWidth="1"/>
    <col min="7170" max="7185" width="10.7109375" style="204" customWidth="1"/>
    <col min="7186" max="7186" width="12.140625" style="204" customWidth="1"/>
    <col min="7187" max="7187" width="12" style="204" customWidth="1"/>
    <col min="7188" max="7188" width="9.85546875" style="204" customWidth="1"/>
    <col min="7189" max="7189" width="10.85546875" style="204" customWidth="1"/>
    <col min="7190" max="7190" width="9.140625" style="204"/>
    <col min="7191" max="7191" width="11.140625" style="204" customWidth="1"/>
    <col min="7192" max="7192" width="9.140625" style="204"/>
    <col min="7193" max="7193" width="11.42578125" style="204" customWidth="1"/>
    <col min="7194" max="7194" width="12.28515625" style="204" customWidth="1"/>
    <col min="7195" max="7424" width="9.140625" style="204"/>
    <col min="7425" max="7425" width="39.5703125" style="204" customWidth="1"/>
    <col min="7426" max="7441" width="10.7109375" style="204" customWidth="1"/>
    <col min="7442" max="7442" width="12.140625" style="204" customWidth="1"/>
    <col min="7443" max="7443" width="12" style="204" customWidth="1"/>
    <col min="7444" max="7444" width="9.85546875" style="204" customWidth="1"/>
    <col min="7445" max="7445" width="10.85546875" style="204" customWidth="1"/>
    <col min="7446" max="7446" width="9.140625" style="204"/>
    <col min="7447" max="7447" width="11.140625" style="204" customWidth="1"/>
    <col min="7448" max="7448" width="9.140625" style="204"/>
    <col min="7449" max="7449" width="11.42578125" style="204" customWidth="1"/>
    <col min="7450" max="7450" width="12.28515625" style="204" customWidth="1"/>
    <col min="7451" max="7680" width="9.140625" style="204"/>
    <col min="7681" max="7681" width="39.5703125" style="204" customWidth="1"/>
    <col min="7682" max="7697" width="10.7109375" style="204" customWidth="1"/>
    <col min="7698" max="7698" width="12.140625" style="204" customWidth="1"/>
    <col min="7699" max="7699" width="12" style="204" customWidth="1"/>
    <col min="7700" max="7700" width="9.85546875" style="204" customWidth="1"/>
    <col min="7701" max="7701" width="10.85546875" style="204" customWidth="1"/>
    <col min="7702" max="7702" width="9.140625" style="204"/>
    <col min="7703" max="7703" width="11.140625" style="204" customWidth="1"/>
    <col min="7704" max="7704" width="9.140625" style="204"/>
    <col min="7705" max="7705" width="11.42578125" style="204" customWidth="1"/>
    <col min="7706" max="7706" width="12.28515625" style="204" customWidth="1"/>
    <col min="7707" max="7936" width="9.140625" style="204"/>
    <col min="7937" max="7937" width="39.5703125" style="204" customWidth="1"/>
    <col min="7938" max="7953" width="10.7109375" style="204" customWidth="1"/>
    <col min="7954" max="7954" width="12.140625" style="204" customWidth="1"/>
    <col min="7955" max="7955" width="12" style="204" customWidth="1"/>
    <col min="7956" max="7956" width="9.85546875" style="204" customWidth="1"/>
    <col min="7957" max="7957" width="10.85546875" style="204" customWidth="1"/>
    <col min="7958" max="7958" width="9.140625" style="204"/>
    <col min="7959" max="7959" width="11.140625" style="204" customWidth="1"/>
    <col min="7960" max="7960" width="9.140625" style="204"/>
    <col min="7961" max="7961" width="11.42578125" style="204" customWidth="1"/>
    <col min="7962" max="7962" width="12.28515625" style="204" customWidth="1"/>
    <col min="7963" max="8192" width="9.140625" style="204"/>
    <col min="8193" max="8193" width="39.5703125" style="204" customWidth="1"/>
    <col min="8194" max="8209" width="10.7109375" style="204" customWidth="1"/>
    <col min="8210" max="8210" width="12.140625" style="204" customWidth="1"/>
    <col min="8211" max="8211" width="12" style="204" customWidth="1"/>
    <col min="8212" max="8212" width="9.85546875" style="204" customWidth="1"/>
    <col min="8213" max="8213" width="10.85546875" style="204" customWidth="1"/>
    <col min="8214" max="8214" width="9.140625" style="204"/>
    <col min="8215" max="8215" width="11.140625" style="204" customWidth="1"/>
    <col min="8216" max="8216" width="9.140625" style="204"/>
    <col min="8217" max="8217" width="11.42578125" style="204" customWidth="1"/>
    <col min="8218" max="8218" width="12.28515625" style="204" customWidth="1"/>
    <col min="8219" max="8448" width="9.140625" style="204"/>
    <col min="8449" max="8449" width="39.5703125" style="204" customWidth="1"/>
    <col min="8450" max="8465" width="10.7109375" style="204" customWidth="1"/>
    <col min="8466" max="8466" width="12.140625" style="204" customWidth="1"/>
    <col min="8467" max="8467" width="12" style="204" customWidth="1"/>
    <col min="8468" max="8468" width="9.85546875" style="204" customWidth="1"/>
    <col min="8469" max="8469" width="10.85546875" style="204" customWidth="1"/>
    <col min="8470" max="8470" width="9.140625" style="204"/>
    <col min="8471" max="8471" width="11.140625" style="204" customWidth="1"/>
    <col min="8472" max="8472" width="9.140625" style="204"/>
    <col min="8473" max="8473" width="11.42578125" style="204" customWidth="1"/>
    <col min="8474" max="8474" width="12.28515625" style="204" customWidth="1"/>
    <col min="8475" max="8704" width="9.140625" style="204"/>
    <col min="8705" max="8705" width="39.5703125" style="204" customWidth="1"/>
    <col min="8706" max="8721" width="10.7109375" style="204" customWidth="1"/>
    <col min="8722" max="8722" width="12.140625" style="204" customWidth="1"/>
    <col min="8723" max="8723" width="12" style="204" customWidth="1"/>
    <col min="8724" max="8724" width="9.85546875" style="204" customWidth="1"/>
    <col min="8725" max="8725" width="10.85546875" style="204" customWidth="1"/>
    <col min="8726" max="8726" width="9.140625" style="204"/>
    <col min="8727" max="8727" width="11.140625" style="204" customWidth="1"/>
    <col min="8728" max="8728" width="9.140625" style="204"/>
    <col min="8729" max="8729" width="11.42578125" style="204" customWidth="1"/>
    <col min="8730" max="8730" width="12.28515625" style="204" customWidth="1"/>
    <col min="8731" max="8960" width="9.140625" style="204"/>
    <col min="8961" max="8961" width="39.5703125" style="204" customWidth="1"/>
    <col min="8962" max="8977" width="10.7109375" style="204" customWidth="1"/>
    <col min="8978" max="8978" width="12.140625" style="204" customWidth="1"/>
    <col min="8979" max="8979" width="12" style="204" customWidth="1"/>
    <col min="8980" max="8980" width="9.85546875" style="204" customWidth="1"/>
    <col min="8981" max="8981" width="10.85546875" style="204" customWidth="1"/>
    <col min="8982" max="8982" width="9.140625" style="204"/>
    <col min="8983" max="8983" width="11.140625" style="204" customWidth="1"/>
    <col min="8984" max="8984" width="9.140625" style="204"/>
    <col min="8985" max="8985" width="11.42578125" style="204" customWidth="1"/>
    <col min="8986" max="8986" width="12.28515625" style="204" customWidth="1"/>
    <col min="8987" max="9216" width="9.140625" style="204"/>
    <col min="9217" max="9217" width="39.5703125" style="204" customWidth="1"/>
    <col min="9218" max="9233" width="10.7109375" style="204" customWidth="1"/>
    <col min="9234" max="9234" width="12.140625" style="204" customWidth="1"/>
    <col min="9235" max="9235" width="12" style="204" customWidth="1"/>
    <col min="9236" max="9236" width="9.85546875" style="204" customWidth="1"/>
    <col min="9237" max="9237" width="10.85546875" style="204" customWidth="1"/>
    <col min="9238" max="9238" width="9.140625" style="204"/>
    <col min="9239" max="9239" width="11.140625" style="204" customWidth="1"/>
    <col min="9240" max="9240" width="9.140625" style="204"/>
    <col min="9241" max="9241" width="11.42578125" style="204" customWidth="1"/>
    <col min="9242" max="9242" width="12.28515625" style="204" customWidth="1"/>
    <col min="9243" max="9472" width="9.140625" style="204"/>
    <col min="9473" max="9473" width="39.5703125" style="204" customWidth="1"/>
    <col min="9474" max="9489" width="10.7109375" style="204" customWidth="1"/>
    <col min="9490" max="9490" width="12.140625" style="204" customWidth="1"/>
    <col min="9491" max="9491" width="12" style="204" customWidth="1"/>
    <col min="9492" max="9492" width="9.85546875" style="204" customWidth="1"/>
    <col min="9493" max="9493" width="10.85546875" style="204" customWidth="1"/>
    <col min="9494" max="9494" width="9.140625" style="204"/>
    <col min="9495" max="9495" width="11.140625" style="204" customWidth="1"/>
    <col min="9496" max="9496" width="9.140625" style="204"/>
    <col min="9497" max="9497" width="11.42578125" style="204" customWidth="1"/>
    <col min="9498" max="9498" width="12.28515625" style="204" customWidth="1"/>
    <col min="9499" max="9728" width="9.140625" style="204"/>
    <col min="9729" max="9729" width="39.5703125" style="204" customWidth="1"/>
    <col min="9730" max="9745" width="10.7109375" style="204" customWidth="1"/>
    <col min="9746" max="9746" width="12.140625" style="204" customWidth="1"/>
    <col min="9747" max="9747" width="12" style="204" customWidth="1"/>
    <col min="9748" max="9748" width="9.85546875" style="204" customWidth="1"/>
    <col min="9749" max="9749" width="10.85546875" style="204" customWidth="1"/>
    <col min="9750" max="9750" width="9.140625" style="204"/>
    <col min="9751" max="9751" width="11.140625" style="204" customWidth="1"/>
    <col min="9752" max="9752" width="9.140625" style="204"/>
    <col min="9753" max="9753" width="11.42578125" style="204" customWidth="1"/>
    <col min="9754" max="9754" width="12.28515625" style="204" customWidth="1"/>
    <col min="9755" max="9984" width="9.140625" style="204"/>
    <col min="9985" max="9985" width="39.5703125" style="204" customWidth="1"/>
    <col min="9986" max="10001" width="10.7109375" style="204" customWidth="1"/>
    <col min="10002" max="10002" width="12.140625" style="204" customWidth="1"/>
    <col min="10003" max="10003" width="12" style="204" customWidth="1"/>
    <col min="10004" max="10004" width="9.85546875" style="204" customWidth="1"/>
    <col min="10005" max="10005" width="10.85546875" style="204" customWidth="1"/>
    <col min="10006" max="10006" width="9.140625" style="204"/>
    <col min="10007" max="10007" width="11.140625" style="204" customWidth="1"/>
    <col min="10008" max="10008" width="9.140625" style="204"/>
    <col min="10009" max="10009" width="11.42578125" style="204" customWidth="1"/>
    <col min="10010" max="10010" width="12.28515625" style="204" customWidth="1"/>
    <col min="10011" max="10240" width="9.140625" style="204"/>
    <col min="10241" max="10241" width="39.5703125" style="204" customWidth="1"/>
    <col min="10242" max="10257" width="10.7109375" style="204" customWidth="1"/>
    <col min="10258" max="10258" width="12.140625" style="204" customWidth="1"/>
    <col min="10259" max="10259" width="12" style="204" customWidth="1"/>
    <col min="10260" max="10260" width="9.85546875" style="204" customWidth="1"/>
    <col min="10261" max="10261" width="10.85546875" style="204" customWidth="1"/>
    <col min="10262" max="10262" width="9.140625" style="204"/>
    <col min="10263" max="10263" width="11.140625" style="204" customWidth="1"/>
    <col min="10264" max="10264" width="9.140625" style="204"/>
    <col min="10265" max="10265" width="11.42578125" style="204" customWidth="1"/>
    <col min="10266" max="10266" width="12.28515625" style="204" customWidth="1"/>
    <col min="10267" max="10496" width="9.140625" style="204"/>
    <col min="10497" max="10497" width="39.5703125" style="204" customWidth="1"/>
    <col min="10498" max="10513" width="10.7109375" style="204" customWidth="1"/>
    <col min="10514" max="10514" width="12.140625" style="204" customWidth="1"/>
    <col min="10515" max="10515" width="12" style="204" customWidth="1"/>
    <col min="10516" max="10516" width="9.85546875" style="204" customWidth="1"/>
    <col min="10517" max="10517" width="10.85546875" style="204" customWidth="1"/>
    <col min="10518" max="10518" width="9.140625" style="204"/>
    <col min="10519" max="10519" width="11.140625" style="204" customWidth="1"/>
    <col min="10520" max="10520" width="9.140625" style="204"/>
    <col min="10521" max="10521" width="11.42578125" style="204" customWidth="1"/>
    <col min="10522" max="10522" width="12.28515625" style="204" customWidth="1"/>
    <col min="10523" max="10752" width="9.140625" style="204"/>
    <col min="10753" max="10753" width="39.5703125" style="204" customWidth="1"/>
    <col min="10754" max="10769" width="10.7109375" style="204" customWidth="1"/>
    <col min="10770" max="10770" width="12.140625" style="204" customWidth="1"/>
    <col min="10771" max="10771" width="12" style="204" customWidth="1"/>
    <col min="10772" max="10772" width="9.85546875" style="204" customWidth="1"/>
    <col min="10773" max="10773" width="10.85546875" style="204" customWidth="1"/>
    <col min="10774" max="10774" width="9.140625" style="204"/>
    <col min="10775" max="10775" width="11.140625" style="204" customWidth="1"/>
    <col min="10776" max="10776" width="9.140625" style="204"/>
    <col min="10777" max="10777" width="11.42578125" style="204" customWidth="1"/>
    <col min="10778" max="10778" width="12.28515625" style="204" customWidth="1"/>
    <col min="10779" max="11008" width="9.140625" style="204"/>
    <col min="11009" max="11009" width="39.5703125" style="204" customWidth="1"/>
    <col min="11010" max="11025" width="10.7109375" style="204" customWidth="1"/>
    <col min="11026" max="11026" width="12.140625" style="204" customWidth="1"/>
    <col min="11027" max="11027" width="12" style="204" customWidth="1"/>
    <col min="11028" max="11028" width="9.85546875" style="204" customWidth="1"/>
    <col min="11029" max="11029" width="10.85546875" style="204" customWidth="1"/>
    <col min="11030" max="11030" width="9.140625" style="204"/>
    <col min="11031" max="11031" width="11.140625" style="204" customWidth="1"/>
    <col min="11032" max="11032" width="9.140625" style="204"/>
    <col min="11033" max="11033" width="11.42578125" style="204" customWidth="1"/>
    <col min="11034" max="11034" width="12.28515625" style="204" customWidth="1"/>
    <col min="11035" max="11264" width="9.140625" style="204"/>
    <col min="11265" max="11265" width="39.5703125" style="204" customWidth="1"/>
    <col min="11266" max="11281" width="10.7109375" style="204" customWidth="1"/>
    <col min="11282" max="11282" width="12.140625" style="204" customWidth="1"/>
    <col min="11283" max="11283" width="12" style="204" customWidth="1"/>
    <col min="11284" max="11284" width="9.85546875" style="204" customWidth="1"/>
    <col min="11285" max="11285" width="10.85546875" style="204" customWidth="1"/>
    <col min="11286" max="11286" width="9.140625" style="204"/>
    <col min="11287" max="11287" width="11.140625" style="204" customWidth="1"/>
    <col min="11288" max="11288" width="9.140625" style="204"/>
    <col min="11289" max="11289" width="11.42578125" style="204" customWidth="1"/>
    <col min="11290" max="11290" width="12.28515625" style="204" customWidth="1"/>
    <col min="11291" max="11520" width="9.140625" style="204"/>
    <col min="11521" max="11521" width="39.5703125" style="204" customWidth="1"/>
    <col min="11522" max="11537" width="10.7109375" style="204" customWidth="1"/>
    <col min="11538" max="11538" width="12.140625" style="204" customWidth="1"/>
    <col min="11539" max="11539" width="12" style="204" customWidth="1"/>
    <col min="11540" max="11540" width="9.85546875" style="204" customWidth="1"/>
    <col min="11541" max="11541" width="10.85546875" style="204" customWidth="1"/>
    <col min="11542" max="11542" width="9.140625" style="204"/>
    <col min="11543" max="11543" width="11.140625" style="204" customWidth="1"/>
    <col min="11544" max="11544" width="9.140625" style="204"/>
    <col min="11545" max="11545" width="11.42578125" style="204" customWidth="1"/>
    <col min="11546" max="11546" width="12.28515625" style="204" customWidth="1"/>
    <col min="11547" max="11776" width="9.140625" style="204"/>
    <col min="11777" max="11777" width="39.5703125" style="204" customWidth="1"/>
    <col min="11778" max="11793" width="10.7109375" style="204" customWidth="1"/>
    <col min="11794" max="11794" width="12.140625" style="204" customWidth="1"/>
    <col min="11795" max="11795" width="12" style="204" customWidth="1"/>
    <col min="11796" max="11796" width="9.85546875" style="204" customWidth="1"/>
    <col min="11797" max="11797" width="10.85546875" style="204" customWidth="1"/>
    <col min="11798" max="11798" width="9.140625" style="204"/>
    <col min="11799" max="11799" width="11.140625" style="204" customWidth="1"/>
    <col min="11800" max="11800" width="9.140625" style="204"/>
    <col min="11801" max="11801" width="11.42578125" style="204" customWidth="1"/>
    <col min="11802" max="11802" width="12.28515625" style="204" customWidth="1"/>
    <col min="11803" max="12032" width="9.140625" style="204"/>
    <col min="12033" max="12033" width="39.5703125" style="204" customWidth="1"/>
    <col min="12034" max="12049" width="10.7109375" style="204" customWidth="1"/>
    <col min="12050" max="12050" width="12.140625" style="204" customWidth="1"/>
    <col min="12051" max="12051" width="12" style="204" customWidth="1"/>
    <col min="12052" max="12052" width="9.85546875" style="204" customWidth="1"/>
    <col min="12053" max="12053" width="10.85546875" style="204" customWidth="1"/>
    <col min="12054" max="12054" width="9.140625" style="204"/>
    <col min="12055" max="12055" width="11.140625" style="204" customWidth="1"/>
    <col min="12056" max="12056" width="9.140625" style="204"/>
    <col min="12057" max="12057" width="11.42578125" style="204" customWidth="1"/>
    <col min="12058" max="12058" width="12.28515625" style="204" customWidth="1"/>
    <col min="12059" max="12288" width="9.140625" style="204"/>
    <col min="12289" max="12289" width="39.5703125" style="204" customWidth="1"/>
    <col min="12290" max="12305" width="10.7109375" style="204" customWidth="1"/>
    <col min="12306" max="12306" width="12.140625" style="204" customWidth="1"/>
    <col min="12307" max="12307" width="12" style="204" customWidth="1"/>
    <col min="12308" max="12308" width="9.85546875" style="204" customWidth="1"/>
    <col min="12309" max="12309" width="10.85546875" style="204" customWidth="1"/>
    <col min="12310" max="12310" width="9.140625" style="204"/>
    <col min="12311" max="12311" width="11.140625" style="204" customWidth="1"/>
    <col min="12312" max="12312" width="9.140625" style="204"/>
    <col min="12313" max="12313" width="11.42578125" style="204" customWidth="1"/>
    <col min="12314" max="12314" width="12.28515625" style="204" customWidth="1"/>
    <col min="12315" max="12544" width="9.140625" style="204"/>
    <col min="12545" max="12545" width="39.5703125" style="204" customWidth="1"/>
    <col min="12546" max="12561" width="10.7109375" style="204" customWidth="1"/>
    <col min="12562" max="12562" width="12.140625" style="204" customWidth="1"/>
    <col min="12563" max="12563" width="12" style="204" customWidth="1"/>
    <col min="12564" max="12564" width="9.85546875" style="204" customWidth="1"/>
    <col min="12565" max="12565" width="10.85546875" style="204" customWidth="1"/>
    <col min="12566" max="12566" width="9.140625" style="204"/>
    <col min="12567" max="12567" width="11.140625" style="204" customWidth="1"/>
    <col min="12568" max="12568" width="9.140625" style="204"/>
    <col min="12569" max="12569" width="11.42578125" style="204" customWidth="1"/>
    <col min="12570" max="12570" width="12.28515625" style="204" customWidth="1"/>
    <col min="12571" max="12800" width="9.140625" style="204"/>
    <col min="12801" max="12801" width="39.5703125" style="204" customWidth="1"/>
    <col min="12802" max="12817" width="10.7109375" style="204" customWidth="1"/>
    <col min="12818" max="12818" width="12.140625" style="204" customWidth="1"/>
    <col min="12819" max="12819" width="12" style="204" customWidth="1"/>
    <col min="12820" max="12820" width="9.85546875" style="204" customWidth="1"/>
    <col min="12821" max="12821" width="10.85546875" style="204" customWidth="1"/>
    <col min="12822" max="12822" width="9.140625" style="204"/>
    <col min="12823" max="12823" width="11.140625" style="204" customWidth="1"/>
    <col min="12824" max="12824" width="9.140625" style="204"/>
    <col min="12825" max="12825" width="11.42578125" style="204" customWidth="1"/>
    <col min="12826" max="12826" width="12.28515625" style="204" customWidth="1"/>
    <col min="12827" max="13056" width="9.140625" style="204"/>
    <col min="13057" max="13057" width="39.5703125" style="204" customWidth="1"/>
    <col min="13058" max="13073" width="10.7109375" style="204" customWidth="1"/>
    <col min="13074" max="13074" width="12.140625" style="204" customWidth="1"/>
    <col min="13075" max="13075" width="12" style="204" customWidth="1"/>
    <col min="13076" max="13076" width="9.85546875" style="204" customWidth="1"/>
    <col min="13077" max="13077" width="10.85546875" style="204" customWidth="1"/>
    <col min="13078" max="13078" width="9.140625" style="204"/>
    <col min="13079" max="13079" width="11.140625" style="204" customWidth="1"/>
    <col min="13080" max="13080" width="9.140625" style="204"/>
    <col min="13081" max="13081" width="11.42578125" style="204" customWidth="1"/>
    <col min="13082" max="13082" width="12.28515625" style="204" customWidth="1"/>
    <col min="13083" max="13312" width="9.140625" style="204"/>
    <col min="13313" max="13313" width="39.5703125" style="204" customWidth="1"/>
    <col min="13314" max="13329" width="10.7109375" style="204" customWidth="1"/>
    <col min="13330" max="13330" width="12.140625" style="204" customWidth="1"/>
    <col min="13331" max="13331" width="12" style="204" customWidth="1"/>
    <col min="13332" max="13332" width="9.85546875" style="204" customWidth="1"/>
    <col min="13333" max="13333" width="10.85546875" style="204" customWidth="1"/>
    <col min="13334" max="13334" width="9.140625" style="204"/>
    <col min="13335" max="13335" width="11.140625" style="204" customWidth="1"/>
    <col min="13336" max="13336" width="9.140625" style="204"/>
    <col min="13337" max="13337" width="11.42578125" style="204" customWidth="1"/>
    <col min="13338" max="13338" width="12.28515625" style="204" customWidth="1"/>
    <col min="13339" max="13568" width="9.140625" style="204"/>
    <col min="13569" max="13569" width="39.5703125" style="204" customWidth="1"/>
    <col min="13570" max="13585" width="10.7109375" style="204" customWidth="1"/>
    <col min="13586" max="13586" width="12.140625" style="204" customWidth="1"/>
    <col min="13587" max="13587" width="12" style="204" customWidth="1"/>
    <col min="13588" max="13588" width="9.85546875" style="204" customWidth="1"/>
    <col min="13589" max="13589" width="10.85546875" style="204" customWidth="1"/>
    <col min="13590" max="13590" width="9.140625" style="204"/>
    <col min="13591" max="13591" width="11.140625" style="204" customWidth="1"/>
    <col min="13592" max="13592" width="9.140625" style="204"/>
    <col min="13593" max="13593" width="11.42578125" style="204" customWidth="1"/>
    <col min="13594" max="13594" width="12.28515625" style="204" customWidth="1"/>
    <col min="13595" max="13824" width="9.140625" style="204"/>
    <col min="13825" max="13825" width="39.5703125" style="204" customWidth="1"/>
    <col min="13826" max="13841" width="10.7109375" style="204" customWidth="1"/>
    <col min="13842" max="13842" width="12.140625" style="204" customWidth="1"/>
    <col min="13843" max="13843" width="12" style="204" customWidth="1"/>
    <col min="13844" max="13844" width="9.85546875" style="204" customWidth="1"/>
    <col min="13845" max="13845" width="10.85546875" style="204" customWidth="1"/>
    <col min="13846" max="13846" width="9.140625" style="204"/>
    <col min="13847" max="13847" width="11.140625" style="204" customWidth="1"/>
    <col min="13848" max="13848" width="9.140625" style="204"/>
    <col min="13849" max="13849" width="11.42578125" style="204" customWidth="1"/>
    <col min="13850" max="13850" width="12.28515625" style="204" customWidth="1"/>
    <col min="13851" max="14080" width="9.140625" style="204"/>
    <col min="14081" max="14081" width="39.5703125" style="204" customWidth="1"/>
    <col min="14082" max="14097" width="10.7109375" style="204" customWidth="1"/>
    <col min="14098" max="14098" width="12.140625" style="204" customWidth="1"/>
    <col min="14099" max="14099" width="12" style="204" customWidth="1"/>
    <col min="14100" max="14100" width="9.85546875" style="204" customWidth="1"/>
    <col min="14101" max="14101" width="10.85546875" style="204" customWidth="1"/>
    <col min="14102" max="14102" width="9.140625" style="204"/>
    <col min="14103" max="14103" width="11.140625" style="204" customWidth="1"/>
    <col min="14104" max="14104" width="9.140625" style="204"/>
    <col min="14105" max="14105" width="11.42578125" style="204" customWidth="1"/>
    <col min="14106" max="14106" width="12.28515625" style="204" customWidth="1"/>
    <col min="14107" max="14336" width="9.140625" style="204"/>
    <col min="14337" max="14337" width="39.5703125" style="204" customWidth="1"/>
    <col min="14338" max="14353" width="10.7109375" style="204" customWidth="1"/>
    <col min="14354" max="14354" width="12.140625" style="204" customWidth="1"/>
    <col min="14355" max="14355" width="12" style="204" customWidth="1"/>
    <col min="14356" max="14356" width="9.85546875" style="204" customWidth="1"/>
    <col min="14357" max="14357" width="10.85546875" style="204" customWidth="1"/>
    <col min="14358" max="14358" width="9.140625" style="204"/>
    <col min="14359" max="14359" width="11.140625" style="204" customWidth="1"/>
    <col min="14360" max="14360" width="9.140625" style="204"/>
    <col min="14361" max="14361" width="11.42578125" style="204" customWidth="1"/>
    <col min="14362" max="14362" width="12.28515625" style="204" customWidth="1"/>
    <col min="14363" max="14592" width="9.140625" style="204"/>
    <col min="14593" max="14593" width="39.5703125" style="204" customWidth="1"/>
    <col min="14594" max="14609" width="10.7109375" style="204" customWidth="1"/>
    <col min="14610" max="14610" width="12.140625" style="204" customWidth="1"/>
    <col min="14611" max="14611" width="12" style="204" customWidth="1"/>
    <col min="14612" max="14612" width="9.85546875" style="204" customWidth="1"/>
    <col min="14613" max="14613" width="10.85546875" style="204" customWidth="1"/>
    <col min="14614" max="14614" width="9.140625" style="204"/>
    <col min="14615" max="14615" width="11.140625" style="204" customWidth="1"/>
    <col min="14616" max="14616" width="9.140625" style="204"/>
    <col min="14617" max="14617" width="11.42578125" style="204" customWidth="1"/>
    <col min="14618" max="14618" width="12.28515625" style="204" customWidth="1"/>
    <col min="14619" max="14848" width="9.140625" style="204"/>
    <col min="14849" max="14849" width="39.5703125" style="204" customWidth="1"/>
    <col min="14850" max="14865" width="10.7109375" style="204" customWidth="1"/>
    <col min="14866" max="14866" width="12.140625" style="204" customWidth="1"/>
    <col min="14867" max="14867" width="12" style="204" customWidth="1"/>
    <col min="14868" max="14868" width="9.85546875" style="204" customWidth="1"/>
    <col min="14869" max="14869" width="10.85546875" style="204" customWidth="1"/>
    <col min="14870" max="14870" width="9.140625" style="204"/>
    <col min="14871" max="14871" width="11.140625" style="204" customWidth="1"/>
    <col min="14872" max="14872" width="9.140625" style="204"/>
    <col min="14873" max="14873" width="11.42578125" style="204" customWidth="1"/>
    <col min="14874" max="14874" width="12.28515625" style="204" customWidth="1"/>
    <col min="14875" max="15104" width="9.140625" style="204"/>
    <col min="15105" max="15105" width="39.5703125" style="204" customWidth="1"/>
    <col min="15106" max="15121" width="10.7109375" style="204" customWidth="1"/>
    <col min="15122" max="15122" width="12.140625" style="204" customWidth="1"/>
    <col min="15123" max="15123" width="12" style="204" customWidth="1"/>
    <col min="15124" max="15124" width="9.85546875" style="204" customWidth="1"/>
    <col min="15125" max="15125" width="10.85546875" style="204" customWidth="1"/>
    <col min="15126" max="15126" width="9.140625" style="204"/>
    <col min="15127" max="15127" width="11.140625" style="204" customWidth="1"/>
    <col min="15128" max="15128" width="9.140625" style="204"/>
    <col min="15129" max="15129" width="11.42578125" style="204" customWidth="1"/>
    <col min="15130" max="15130" width="12.28515625" style="204" customWidth="1"/>
    <col min="15131" max="15360" width="9.140625" style="204"/>
    <col min="15361" max="15361" width="39.5703125" style="204" customWidth="1"/>
    <col min="15362" max="15377" width="10.7109375" style="204" customWidth="1"/>
    <col min="15378" max="15378" width="12.140625" style="204" customWidth="1"/>
    <col min="15379" max="15379" width="12" style="204" customWidth="1"/>
    <col min="15380" max="15380" width="9.85546875" style="204" customWidth="1"/>
    <col min="15381" max="15381" width="10.85546875" style="204" customWidth="1"/>
    <col min="15382" max="15382" width="9.140625" style="204"/>
    <col min="15383" max="15383" width="11.140625" style="204" customWidth="1"/>
    <col min="15384" max="15384" width="9.140625" style="204"/>
    <col min="15385" max="15385" width="11.42578125" style="204" customWidth="1"/>
    <col min="15386" max="15386" width="12.28515625" style="204" customWidth="1"/>
    <col min="15387" max="15616" width="9.140625" style="204"/>
    <col min="15617" max="15617" width="39.5703125" style="204" customWidth="1"/>
    <col min="15618" max="15633" width="10.7109375" style="204" customWidth="1"/>
    <col min="15634" max="15634" width="12.140625" style="204" customWidth="1"/>
    <col min="15635" max="15635" width="12" style="204" customWidth="1"/>
    <col min="15636" max="15636" width="9.85546875" style="204" customWidth="1"/>
    <col min="15637" max="15637" width="10.85546875" style="204" customWidth="1"/>
    <col min="15638" max="15638" width="9.140625" style="204"/>
    <col min="15639" max="15639" width="11.140625" style="204" customWidth="1"/>
    <col min="15640" max="15640" width="9.140625" style="204"/>
    <col min="15641" max="15641" width="11.42578125" style="204" customWidth="1"/>
    <col min="15642" max="15642" width="12.28515625" style="204" customWidth="1"/>
    <col min="15643" max="15872" width="9.140625" style="204"/>
    <col min="15873" max="15873" width="39.5703125" style="204" customWidth="1"/>
    <col min="15874" max="15889" width="10.7109375" style="204" customWidth="1"/>
    <col min="15890" max="15890" width="12.140625" style="204" customWidth="1"/>
    <col min="15891" max="15891" width="12" style="204" customWidth="1"/>
    <col min="15892" max="15892" width="9.85546875" style="204" customWidth="1"/>
    <col min="15893" max="15893" width="10.85546875" style="204" customWidth="1"/>
    <col min="15894" max="15894" width="9.140625" style="204"/>
    <col min="15895" max="15895" width="11.140625" style="204" customWidth="1"/>
    <col min="15896" max="15896" width="9.140625" style="204"/>
    <col min="15897" max="15897" width="11.42578125" style="204" customWidth="1"/>
    <col min="15898" max="15898" width="12.28515625" style="204" customWidth="1"/>
    <col min="15899" max="16128" width="9.140625" style="204"/>
    <col min="16129" max="16129" width="39.5703125" style="204" customWidth="1"/>
    <col min="16130" max="16145" width="10.7109375" style="204" customWidth="1"/>
    <col min="16146" max="16146" width="12.140625" style="204" customWidth="1"/>
    <col min="16147" max="16147" width="12" style="204" customWidth="1"/>
    <col min="16148" max="16148" width="9.85546875" style="204" customWidth="1"/>
    <col min="16149" max="16149" width="10.85546875" style="204" customWidth="1"/>
    <col min="16150" max="16150" width="9.140625" style="204"/>
    <col min="16151" max="16151" width="11.140625" style="204" customWidth="1"/>
    <col min="16152" max="16152" width="9.140625" style="204"/>
    <col min="16153" max="16153" width="11.42578125" style="204" customWidth="1"/>
    <col min="16154" max="16154" width="12.28515625" style="204" customWidth="1"/>
    <col min="16155" max="16384" width="9.140625" style="204"/>
  </cols>
  <sheetData>
    <row r="1" spans="1:26">
      <c r="A1" s="25" t="s">
        <v>1040</v>
      </c>
    </row>
    <row r="3" spans="1:26" ht="15.75">
      <c r="A3" s="323"/>
    </row>
    <row r="4" spans="1:26" ht="15.75">
      <c r="A4" s="926" t="s">
        <v>830</v>
      </c>
      <c r="B4" s="926"/>
      <c r="C4" s="926"/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926"/>
      <c r="P4" s="926"/>
      <c r="Q4" s="926"/>
      <c r="R4" s="926"/>
      <c r="S4" s="926"/>
      <c r="T4" s="926"/>
      <c r="U4" s="926"/>
      <c r="V4" s="926"/>
      <c r="W4" s="926"/>
      <c r="X4" s="926"/>
      <c r="Y4" s="926"/>
      <c r="Z4" s="926"/>
    </row>
    <row r="5" spans="1:26" ht="16.5" thickBot="1">
      <c r="A5" s="324"/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</row>
    <row r="6" spans="1:26" s="347" customFormat="1" ht="15.75" thickBot="1">
      <c r="A6" s="927" t="s">
        <v>533</v>
      </c>
      <c r="B6" s="924" t="s">
        <v>422</v>
      </c>
      <c r="C6" s="925"/>
      <c r="D6" s="925"/>
      <c r="E6" s="925"/>
      <c r="F6" s="925"/>
      <c r="G6" s="345"/>
      <c r="H6" s="930" t="s">
        <v>534</v>
      </c>
      <c r="I6" s="931"/>
      <c r="J6" s="931"/>
      <c r="K6" s="931"/>
      <c r="L6" s="931"/>
      <c r="M6" s="931"/>
      <c r="N6" s="931"/>
      <c r="O6" s="931"/>
      <c r="P6" s="931"/>
      <c r="Q6" s="931"/>
      <c r="R6" s="931"/>
      <c r="S6" s="931"/>
      <c r="T6" s="931"/>
      <c r="U6" s="931"/>
      <c r="V6" s="931"/>
      <c r="W6" s="931"/>
      <c r="X6" s="931"/>
      <c r="Y6" s="346"/>
      <c r="Z6" s="932" t="s">
        <v>535</v>
      </c>
    </row>
    <row r="7" spans="1:26" s="347" customFormat="1" ht="15.75" thickBot="1">
      <c r="A7" s="928"/>
      <c r="B7" s="924" t="s">
        <v>536</v>
      </c>
      <c r="C7" s="933"/>
      <c r="D7" s="927" t="s">
        <v>537</v>
      </c>
      <c r="E7" s="927" t="s">
        <v>538</v>
      </c>
      <c r="F7" s="927" t="s">
        <v>539</v>
      </c>
      <c r="G7" s="927" t="s">
        <v>540</v>
      </c>
      <c r="H7" s="924" t="s">
        <v>541</v>
      </c>
      <c r="I7" s="925"/>
      <c r="J7" s="925"/>
      <c r="K7" s="925"/>
      <c r="L7" s="925"/>
      <c r="M7" s="348"/>
      <c r="N7" s="924" t="s">
        <v>542</v>
      </c>
      <c r="O7" s="925"/>
      <c r="P7" s="925"/>
      <c r="Q7" s="925"/>
      <c r="R7" s="925"/>
      <c r="S7" s="345"/>
      <c r="T7" s="924" t="s">
        <v>543</v>
      </c>
      <c r="U7" s="925"/>
      <c r="V7" s="925"/>
      <c r="W7" s="925"/>
      <c r="X7" s="925"/>
      <c r="Y7" s="345"/>
      <c r="Z7" s="932"/>
    </row>
    <row r="8" spans="1:26" s="347" customFormat="1" ht="74.25" thickBot="1">
      <c r="A8" s="929"/>
      <c r="B8" s="349" t="s">
        <v>544</v>
      </c>
      <c r="C8" s="350" t="s">
        <v>545</v>
      </c>
      <c r="D8" s="934"/>
      <c r="E8" s="934"/>
      <c r="F8" s="934"/>
      <c r="G8" s="934"/>
      <c r="H8" s="351" t="s">
        <v>546</v>
      </c>
      <c r="I8" s="351" t="s">
        <v>545</v>
      </c>
      <c r="J8" s="351" t="s">
        <v>547</v>
      </c>
      <c r="K8" s="351" t="s">
        <v>548</v>
      </c>
      <c r="L8" s="351" t="s">
        <v>549</v>
      </c>
      <c r="M8" s="351" t="s">
        <v>550</v>
      </c>
      <c r="N8" s="351" t="s">
        <v>546</v>
      </c>
      <c r="O8" s="351" t="s">
        <v>545</v>
      </c>
      <c r="P8" s="351" t="s">
        <v>547</v>
      </c>
      <c r="Q8" s="351" t="s">
        <v>548</v>
      </c>
      <c r="R8" s="351" t="s">
        <v>549</v>
      </c>
      <c r="S8" s="351" t="s">
        <v>550</v>
      </c>
      <c r="T8" s="351" t="s">
        <v>546</v>
      </c>
      <c r="U8" s="351" t="s">
        <v>545</v>
      </c>
      <c r="V8" s="351" t="s">
        <v>547</v>
      </c>
      <c r="W8" s="351" t="s">
        <v>548</v>
      </c>
      <c r="X8" s="351" t="s">
        <v>549</v>
      </c>
      <c r="Y8" s="351" t="s">
        <v>550</v>
      </c>
      <c r="Z8" s="932"/>
    </row>
    <row r="9" spans="1:26" ht="21" customHeight="1" thickBot="1">
      <c r="A9" s="326" t="s">
        <v>551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8"/>
      <c r="P9" s="328"/>
      <c r="Q9" s="328"/>
      <c r="R9" s="328"/>
      <c r="S9" s="329"/>
      <c r="T9" s="327"/>
      <c r="U9" s="328"/>
      <c r="V9" s="328"/>
      <c r="W9" s="328"/>
      <c r="X9" s="328"/>
      <c r="Y9" s="328"/>
      <c r="Z9" s="330"/>
    </row>
    <row r="10" spans="1:26" ht="21" customHeight="1" thickBot="1">
      <c r="A10" s="722" t="s">
        <v>370</v>
      </c>
      <c r="B10" s="723">
        <v>120.5</v>
      </c>
      <c r="C10" s="723">
        <v>120.5</v>
      </c>
      <c r="D10" s="723">
        <v>138.5</v>
      </c>
      <c r="E10" s="723">
        <v>22.5</v>
      </c>
      <c r="F10" s="723">
        <v>116.5</v>
      </c>
      <c r="G10" s="723">
        <v>22</v>
      </c>
      <c r="H10" s="724">
        <v>116</v>
      </c>
      <c r="I10" s="724">
        <v>116</v>
      </c>
      <c r="J10" s="724">
        <v>134</v>
      </c>
      <c r="K10" s="724">
        <v>18</v>
      </c>
      <c r="L10" s="724">
        <v>116</v>
      </c>
      <c r="M10" s="723">
        <v>18</v>
      </c>
      <c r="N10" s="725">
        <v>4.5</v>
      </c>
      <c r="O10" s="725">
        <v>4.5</v>
      </c>
      <c r="P10" s="725">
        <v>4.5</v>
      </c>
      <c r="Q10" s="725">
        <v>4.5</v>
      </c>
      <c r="R10" s="725">
        <v>0.5</v>
      </c>
      <c r="S10" s="724">
        <v>4</v>
      </c>
      <c r="T10" s="726">
        <v>9</v>
      </c>
      <c r="U10" s="726">
        <v>9</v>
      </c>
      <c r="V10" s="726">
        <v>9</v>
      </c>
      <c r="W10" s="726">
        <v>9</v>
      </c>
      <c r="X10" s="726">
        <v>1</v>
      </c>
      <c r="Y10" s="727">
        <v>8</v>
      </c>
      <c r="Z10" s="727">
        <v>4</v>
      </c>
    </row>
    <row r="11" spans="1:26" ht="23.25" thickBot="1">
      <c r="A11" s="331" t="s">
        <v>552</v>
      </c>
      <c r="B11" s="530">
        <f t="shared" ref="B11:C17" si="0">H11+N11</f>
        <v>27.5</v>
      </c>
      <c r="C11" s="530">
        <f t="shared" si="0"/>
        <v>28.5</v>
      </c>
      <c r="D11" s="530">
        <f t="shared" ref="D11:G11" si="1">SUM(J11+P11)</f>
        <v>26.5</v>
      </c>
      <c r="E11" s="530">
        <f t="shared" si="1"/>
        <v>20.5</v>
      </c>
      <c r="F11" s="530">
        <f t="shared" si="1"/>
        <v>46.5</v>
      </c>
      <c r="G11" s="530">
        <f t="shared" si="1"/>
        <v>46.5</v>
      </c>
      <c r="H11" s="531">
        <v>27</v>
      </c>
      <c r="I11" s="531">
        <v>28</v>
      </c>
      <c r="J11" s="531">
        <v>26</v>
      </c>
      <c r="K11" s="531">
        <v>20</v>
      </c>
      <c r="L11" s="530">
        <v>46</v>
      </c>
      <c r="M11" s="530">
        <v>46</v>
      </c>
      <c r="N11" s="530">
        <v>0.5</v>
      </c>
      <c r="O11" s="532">
        <v>0.5</v>
      </c>
      <c r="P11" s="532">
        <v>0.5</v>
      </c>
      <c r="Q11" s="532">
        <v>0.5</v>
      </c>
      <c r="R11" s="532">
        <v>0.5</v>
      </c>
      <c r="S11" s="532">
        <v>0.5</v>
      </c>
      <c r="T11" s="531">
        <v>1</v>
      </c>
      <c r="U11" s="533">
        <v>1</v>
      </c>
      <c r="V11" s="533">
        <v>1</v>
      </c>
      <c r="W11" s="533">
        <v>1</v>
      </c>
      <c r="X11" s="533">
        <v>1</v>
      </c>
      <c r="Y11" s="533">
        <v>1</v>
      </c>
      <c r="Z11" s="336">
        <v>4</v>
      </c>
    </row>
    <row r="12" spans="1:26" ht="21" customHeight="1" thickBot="1">
      <c r="A12" s="331" t="s">
        <v>553</v>
      </c>
      <c r="B12" s="332">
        <f t="shared" si="0"/>
        <v>9.75</v>
      </c>
      <c r="C12" s="332">
        <f t="shared" si="0"/>
        <v>9.75</v>
      </c>
      <c r="D12" s="332">
        <f t="shared" ref="D12:D13" si="2">SUM(J12+P12)</f>
        <v>0</v>
      </c>
      <c r="E12" s="332">
        <f t="shared" ref="E12:G13" si="3">SUM(K12+Q12)</f>
        <v>0</v>
      </c>
      <c r="F12" s="332">
        <f>SUM(L12+R12)</f>
        <v>0</v>
      </c>
      <c r="G12" s="332">
        <f t="shared" si="3"/>
        <v>0</v>
      </c>
      <c r="H12" s="333">
        <v>9</v>
      </c>
      <c r="I12" s="333">
        <v>9</v>
      </c>
      <c r="J12" s="333"/>
      <c r="K12" s="333"/>
      <c r="L12" s="333"/>
      <c r="M12" s="333"/>
      <c r="N12" s="332">
        <v>0.75</v>
      </c>
      <c r="O12" s="334">
        <v>0.75</v>
      </c>
      <c r="P12" s="334"/>
      <c r="Q12" s="334"/>
      <c r="R12" s="334"/>
      <c r="S12" s="334"/>
      <c r="T12" s="333">
        <v>1</v>
      </c>
      <c r="U12" s="335">
        <v>1</v>
      </c>
      <c r="V12" s="335"/>
      <c r="W12" s="335"/>
      <c r="X12" s="335"/>
      <c r="Y12" s="335"/>
      <c r="Z12" s="336">
        <v>6</v>
      </c>
    </row>
    <row r="13" spans="1:26" ht="21" customHeight="1" thickBot="1">
      <c r="A13" s="331" t="s">
        <v>555</v>
      </c>
      <c r="B13" s="332">
        <f t="shared" si="0"/>
        <v>41.25</v>
      </c>
      <c r="C13" s="332">
        <f t="shared" si="0"/>
        <v>41.25</v>
      </c>
      <c r="D13" s="332">
        <f t="shared" si="2"/>
        <v>0</v>
      </c>
      <c r="E13" s="332">
        <f t="shared" si="3"/>
        <v>0</v>
      </c>
      <c r="F13" s="332">
        <f t="shared" si="3"/>
        <v>0</v>
      </c>
      <c r="G13" s="332">
        <f t="shared" si="3"/>
        <v>0</v>
      </c>
      <c r="H13" s="333">
        <v>40</v>
      </c>
      <c r="I13" s="333">
        <v>40</v>
      </c>
      <c r="J13" s="333"/>
      <c r="K13" s="333"/>
      <c r="L13" s="333"/>
      <c r="M13" s="333"/>
      <c r="N13" s="332">
        <v>1.25</v>
      </c>
      <c r="O13" s="334">
        <v>1.25</v>
      </c>
      <c r="P13" s="334"/>
      <c r="Q13" s="334"/>
      <c r="R13" s="334"/>
      <c r="S13" s="334"/>
      <c r="T13" s="333">
        <v>2</v>
      </c>
      <c r="U13" s="335">
        <v>2</v>
      </c>
      <c r="V13" s="335"/>
      <c r="W13" s="335"/>
      <c r="X13" s="335"/>
      <c r="Y13" s="335"/>
      <c r="Z13" s="336" t="s">
        <v>554</v>
      </c>
    </row>
    <row r="14" spans="1:26" ht="21" customHeight="1" thickBot="1">
      <c r="A14" s="337" t="s">
        <v>556</v>
      </c>
      <c r="B14" s="338">
        <f t="shared" si="0"/>
        <v>199</v>
      </c>
      <c r="C14" s="338">
        <f t="shared" si="0"/>
        <v>200</v>
      </c>
      <c r="D14" s="338">
        <f t="shared" ref="D14:F17" si="4">J14+V14</f>
        <v>170</v>
      </c>
      <c r="E14" s="338">
        <f t="shared" si="4"/>
        <v>48</v>
      </c>
      <c r="F14" s="338">
        <f t="shared" si="4"/>
        <v>164</v>
      </c>
      <c r="G14" s="338">
        <f t="shared" ref="G14:G17" si="5">M14+S14</f>
        <v>68.5</v>
      </c>
      <c r="H14" s="339">
        <f>SUM(H10:H13)</f>
        <v>192</v>
      </c>
      <c r="I14" s="339">
        <f t="shared" ref="I14:Y14" si="6">SUM(I10:I13)</f>
        <v>193</v>
      </c>
      <c r="J14" s="339">
        <f t="shared" si="6"/>
        <v>160</v>
      </c>
      <c r="K14" s="339">
        <f t="shared" si="6"/>
        <v>38</v>
      </c>
      <c r="L14" s="339">
        <f t="shared" si="6"/>
        <v>162</v>
      </c>
      <c r="M14" s="339">
        <f t="shared" si="6"/>
        <v>64</v>
      </c>
      <c r="N14" s="338">
        <f t="shared" si="6"/>
        <v>7</v>
      </c>
      <c r="O14" s="338">
        <f t="shared" si="6"/>
        <v>7</v>
      </c>
      <c r="P14" s="338">
        <f t="shared" si="6"/>
        <v>5</v>
      </c>
      <c r="Q14" s="338">
        <f t="shared" si="6"/>
        <v>5</v>
      </c>
      <c r="R14" s="338">
        <f>SUM(R10:R13)</f>
        <v>1</v>
      </c>
      <c r="S14" s="338">
        <f>SUM(S10:S13)</f>
        <v>4.5</v>
      </c>
      <c r="T14" s="339">
        <f t="shared" si="6"/>
        <v>13</v>
      </c>
      <c r="U14" s="339">
        <f t="shared" si="6"/>
        <v>13</v>
      </c>
      <c r="V14" s="339">
        <f t="shared" si="6"/>
        <v>10</v>
      </c>
      <c r="W14" s="339">
        <f t="shared" si="6"/>
        <v>10</v>
      </c>
      <c r="X14" s="339">
        <f t="shared" si="6"/>
        <v>2</v>
      </c>
      <c r="Y14" s="339">
        <f t="shared" si="6"/>
        <v>9</v>
      </c>
      <c r="Z14" s="330"/>
    </row>
    <row r="15" spans="1:26" ht="21" customHeight="1" thickBot="1">
      <c r="A15" s="337" t="s">
        <v>557</v>
      </c>
      <c r="B15" s="338">
        <f t="shared" si="0"/>
        <v>73</v>
      </c>
      <c r="C15" s="338">
        <f t="shared" si="0"/>
        <v>73</v>
      </c>
      <c r="D15" s="338">
        <f>SUM(J15+P15)</f>
        <v>70</v>
      </c>
      <c r="E15" s="338">
        <f t="shared" ref="E15:F16" si="7">SUM(K15+Q15)</f>
        <v>3</v>
      </c>
      <c r="F15" s="338">
        <f>SUM(L15+R15)</f>
        <v>71</v>
      </c>
      <c r="G15" s="338">
        <f t="shared" ref="G15:G16" si="8">SUM(M15+S15)</f>
        <v>3</v>
      </c>
      <c r="H15" s="339">
        <v>73</v>
      </c>
      <c r="I15" s="339">
        <v>73</v>
      </c>
      <c r="J15" s="339">
        <v>70</v>
      </c>
      <c r="K15" s="339">
        <v>3</v>
      </c>
      <c r="L15" s="339">
        <v>71</v>
      </c>
      <c r="M15" s="339">
        <v>3</v>
      </c>
      <c r="N15" s="338"/>
      <c r="O15" s="340"/>
      <c r="P15" s="340"/>
      <c r="Q15" s="340"/>
      <c r="R15" s="340"/>
      <c r="S15" s="340"/>
      <c r="T15" s="339"/>
      <c r="U15" s="341"/>
      <c r="V15" s="341"/>
      <c r="W15" s="341"/>
      <c r="X15" s="341"/>
      <c r="Y15" s="341"/>
      <c r="Z15" s="330"/>
    </row>
    <row r="16" spans="1:26" ht="21" customHeight="1" thickBot="1">
      <c r="A16" s="337" t="s">
        <v>558</v>
      </c>
      <c r="B16" s="338">
        <f t="shared" si="0"/>
        <v>2</v>
      </c>
      <c r="C16" s="338">
        <f t="shared" si="0"/>
        <v>2</v>
      </c>
      <c r="D16" s="338">
        <f t="shared" ref="D16" si="9">SUM(J16+P16)</f>
        <v>2</v>
      </c>
      <c r="E16" s="338">
        <f t="shared" si="7"/>
        <v>0</v>
      </c>
      <c r="F16" s="338">
        <f t="shared" si="7"/>
        <v>2</v>
      </c>
      <c r="G16" s="338">
        <f t="shared" si="8"/>
        <v>0</v>
      </c>
      <c r="H16" s="339">
        <v>2</v>
      </c>
      <c r="I16" s="339">
        <v>2</v>
      </c>
      <c r="J16" s="339">
        <v>2</v>
      </c>
      <c r="K16" s="339"/>
      <c r="L16" s="339">
        <v>2</v>
      </c>
      <c r="M16" s="339"/>
      <c r="N16" s="338"/>
      <c r="O16" s="340"/>
      <c r="P16" s="340"/>
      <c r="Q16" s="340"/>
      <c r="R16" s="340"/>
      <c r="S16" s="340"/>
      <c r="T16" s="339"/>
      <c r="U16" s="341"/>
      <c r="V16" s="341"/>
      <c r="W16" s="341"/>
      <c r="X16" s="341"/>
      <c r="Y16" s="341"/>
      <c r="Z16" s="330"/>
    </row>
    <row r="17" spans="1:26" s="355" customFormat="1" ht="21" customHeight="1" thickBot="1">
      <c r="A17" s="352" t="s">
        <v>559</v>
      </c>
      <c r="B17" s="353">
        <f t="shared" si="0"/>
        <v>274</v>
      </c>
      <c r="C17" s="353">
        <f t="shared" si="0"/>
        <v>275</v>
      </c>
      <c r="D17" s="353">
        <f t="shared" si="4"/>
        <v>242</v>
      </c>
      <c r="E17" s="353">
        <f t="shared" si="4"/>
        <v>51</v>
      </c>
      <c r="F17" s="353">
        <f>L17+X17</f>
        <v>237</v>
      </c>
      <c r="G17" s="353">
        <f t="shared" si="5"/>
        <v>71.5</v>
      </c>
      <c r="H17" s="354">
        <f>SUM(H14+H15+H16)</f>
        <v>267</v>
      </c>
      <c r="I17" s="354">
        <f t="shared" ref="I17:Y17" si="10">SUM(I14+I15+I16)</f>
        <v>268</v>
      </c>
      <c r="J17" s="354">
        <f t="shared" si="10"/>
        <v>232</v>
      </c>
      <c r="K17" s="354">
        <f t="shared" si="10"/>
        <v>41</v>
      </c>
      <c r="L17" s="354">
        <f t="shared" si="10"/>
        <v>235</v>
      </c>
      <c r="M17" s="354">
        <f t="shared" si="10"/>
        <v>67</v>
      </c>
      <c r="N17" s="353">
        <f t="shared" si="10"/>
        <v>7</v>
      </c>
      <c r="O17" s="353">
        <f t="shared" si="10"/>
        <v>7</v>
      </c>
      <c r="P17" s="353">
        <f t="shared" si="10"/>
        <v>5</v>
      </c>
      <c r="Q17" s="353">
        <f t="shared" si="10"/>
        <v>5</v>
      </c>
      <c r="R17" s="353">
        <f>SUM(R14+R15+R16)</f>
        <v>1</v>
      </c>
      <c r="S17" s="353">
        <f t="shared" si="10"/>
        <v>4.5</v>
      </c>
      <c r="T17" s="354">
        <f t="shared" si="10"/>
        <v>13</v>
      </c>
      <c r="U17" s="354">
        <f t="shared" si="10"/>
        <v>13</v>
      </c>
      <c r="V17" s="354">
        <f t="shared" si="10"/>
        <v>10</v>
      </c>
      <c r="W17" s="354">
        <f t="shared" si="10"/>
        <v>10</v>
      </c>
      <c r="X17" s="354">
        <f t="shared" si="10"/>
        <v>2</v>
      </c>
      <c r="Y17" s="354">
        <f t="shared" si="10"/>
        <v>9</v>
      </c>
      <c r="Z17" s="356"/>
    </row>
    <row r="18" spans="1:26">
      <c r="A18" s="342"/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</row>
    <row r="19" spans="1:26">
      <c r="A19" s="344"/>
    </row>
  </sheetData>
  <mergeCells count="13">
    <mergeCell ref="H7:L7"/>
    <mergeCell ref="N7:R7"/>
    <mergeCell ref="T7:X7"/>
    <mergeCell ref="A4:Z4"/>
    <mergeCell ref="A6:A8"/>
    <mergeCell ref="B6:F6"/>
    <mergeCell ref="H6:X6"/>
    <mergeCell ref="Z6:Z8"/>
    <mergeCell ref="B7:C7"/>
    <mergeCell ref="D7:D8"/>
    <mergeCell ref="E7:E8"/>
    <mergeCell ref="F7:F8"/>
    <mergeCell ref="G7:G8"/>
  </mergeCells>
  <pageMargins left="0.7" right="0.7" top="0.75" bottom="0.75" header="0.3" footer="0.3"/>
  <pageSetup paperSize="9" scale="43" orientation="landscape" horizontalDpi="300" verticalDpi="300" r:id="rId1"/>
  <colBreaks count="1" manualBreakCount="1">
    <brk id="2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WVN36"/>
  <sheetViews>
    <sheetView view="pageBreakPreview" zoomScale="106" zoomScaleSheetLayoutView="106" workbookViewId="0"/>
  </sheetViews>
  <sheetFormatPr defaultRowHeight="12.75"/>
  <cols>
    <col min="1" max="1" width="56.42578125" style="20" customWidth="1"/>
    <col min="2" max="2" width="16.28515625" style="20" customWidth="1"/>
    <col min="3" max="3" width="16.5703125" style="20" customWidth="1"/>
    <col min="4" max="4" width="19.28515625" style="20" bestFit="1" customWidth="1"/>
    <col min="5" max="5" width="16.5703125" style="20" customWidth="1"/>
    <col min="6" max="6" width="16.5703125" style="519" customWidth="1"/>
    <col min="7" max="254" width="9.140625" style="20"/>
    <col min="255" max="256" width="16.28515625" style="20" customWidth="1"/>
    <col min="257" max="257" width="9.140625" style="20"/>
    <col min="258" max="258" width="4.7109375" style="20" customWidth="1"/>
    <col min="259" max="259" width="1" style="20" customWidth="1"/>
    <col min="260" max="260" width="14.42578125" style="20" customWidth="1"/>
    <col min="261" max="262" width="11.85546875" style="20" customWidth="1"/>
    <col min="263" max="510" width="9.140625" style="20"/>
    <col min="511" max="512" width="16.28515625" style="20" customWidth="1"/>
    <col min="513" max="513" width="9.140625" style="20"/>
    <col min="514" max="514" width="4.7109375" style="20" customWidth="1"/>
    <col min="515" max="515" width="1" style="20" customWidth="1"/>
    <col min="516" max="516" width="14.42578125" style="20" customWidth="1"/>
    <col min="517" max="518" width="11.85546875" style="20" customWidth="1"/>
    <col min="519" max="766" width="9.140625" style="20"/>
    <col min="767" max="768" width="16.28515625" style="20" customWidth="1"/>
    <col min="769" max="769" width="9.140625" style="20"/>
    <col min="770" max="770" width="4.7109375" style="20" customWidth="1"/>
    <col min="771" max="771" width="1" style="20" customWidth="1"/>
    <col min="772" max="772" width="14.42578125" style="20" customWidth="1"/>
    <col min="773" max="774" width="11.85546875" style="20" customWidth="1"/>
    <col min="775" max="1022" width="9.140625" style="20"/>
    <col min="1023" max="1024" width="16.28515625" style="20" customWidth="1"/>
    <col min="1025" max="1025" width="9.140625" style="20"/>
    <col min="1026" max="1026" width="4.7109375" style="20" customWidth="1"/>
    <col min="1027" max="1027" width="1" style="20" customWidth="1"/>
    <col min="1028" max="1028" width="14.42578125" style="20" customWidth="1"/>
    <col min="1029" max="1030" width="11.85546875" style="20" customWidth="1"/>
    <col min="1031" max="1278" width="9.140625" style="20"/>
    <col min="1279" max="1280" width="16.28515625" style="20" customWidth="1"/>
    <col min="1281" max="1281" width="9.140625" style="20"/>
    <col min="1282" max="1282" width="4.7109375" style="20" customWidth="1"/>
    <col min="1283" max="1283" width="1" style="20" customWidth="1"/>
    <col min="1284" max="1284" width="14.42578125" style="20" customWidth="1"/>
    <col min="1285" max="1286" width="11.85546875" style="20" customWidth="1"/>
    <col min="1287" max="1534" width="9.140625" style="20"/>
    <col min="1535" max="1536" width="16.28515625" style="20" customWidth="1"/>
    <col min="1537" max="1537" width="9.140625" style="20"/>
    <col min="1538" max="1538" width="4.7109375" style="20" customWidth="1"/>
    <col min="1539" max="1539" width="1" style="20" customWidth="1"/>
    <col min="1540" max="1540" width="14.42578125" style="20" customWidth="1"/>
    <col min="1541" max="1542" width="11.85546875" style="20" customWidth="1"/>
    <col min="1543" max="1790" width="9.140625" style="20"/>
    <col min="1791" max="1792" width="16.28515625" style="20" customWidth="1"/>
    <col min="1793" max="1793" width="9.140625" style="20"/>
    <col min="1794" max="1794" width="4.7109375" style="20" customWidth="1"/>
    <col min="1795" max="1795" width="1" style="20" customWidth="1"/>
    <col min="1796" max="1796" width="14.42578125" style="20" customWidth="1"/>
    <col min="1797" max="1798" width="11.85546875" style="20" customWidth="1"/>
    <col min="1799" max="2046" width="9.140625" style="20"/>
    <col min="2047" max="2048" width="16.28515625" style="20" customWidth="1"/>
    <col min="2049" max="2049" width="9.140625" style="20"/>
    <col min="2050" max="2050" width="4.7109375" style="20" customWidth="1"/>
    <col min="2051" max="2051" width="1" style="20" customWidth="1"/>
    <col min="2052" max="2052" width="14.42578125" style="20" customWidth="1"/>
    <col min="2053" max="2054" width="11.85546875" style="20" customWidth="1"/>
    <col min="2055" max="2302" width="9.140625" style="20"/>
    <col min="2303" max="2304" width="16.28515625" style="20" customWidth="1"/>
    <col min="2305" max="2305" width="9.140625" style="20"/>
    <col min="2306" max="2306" width="4.7109375" style="20" customWidth="1"/>
    <col min="2307" max="2307" width="1" style="20" customWidth="1"/>
    <col min="2308" max="2308" width="14.42578125" style="20" customWidth="1"/>
    <col min="2309" max="2310" width="11.85546875" style="20" customWidth="1"/>
    <col min="2311" max="2558" width="9.140625" style="20"/>
    <col min="2559" max="2560" width="16.28515625" style="20" customWidth="1"/>
    <col min="2561" max="2561" width="9.140625" style="20"/>
    <col min="2562" max="2562" width="4.7109375" style="20" customWidth="1"/>
    <col min="2563" max="2563" width="1" style="20" customWidth="1"/>
    <col min="2564" max="2564" width="14.42578125" style="20" customWidth="1"/>
    <col min="2565" max="2566" width="11.85546875" style="20" customWidth="1"/>
    <col min="2567" max="2814" width="9.140625" style="20"/>
    <col min="2815" max="2816" width="16.28515625" style="20" customWidth="1"/>
    <col min="2817" max="2817" width="9.140625" style="20"/>
    <col min="2818" max="2818" width="4.7109375" style="20" customWidth="1"/>
    <col min="2819" max="2819" width="1" style="20" customWidth="1"/>
    <col min="2820" max="2820" width="14.42578125" style="20" customWidth="1"/>
    <col min="2821" max="2822" width="11.85546875" style="20" customWidth="1"/>
    <col min="2823" max="3070" width="9.140625" style="20"/>
    <col min="3071" max="3072" width="16.28515625" style="20" customWidth="1"/>
    <col min="3073" max="3073" width="9.140625" style="20"/>
    <col min="3074" max="3074" width="4.7109375" style="20" customWidth="1"/>
    <col min="3075" max="3075" width="1" style="20" customWidth="1"/>
    <col min="3076" max="3076" width="14.42578125" style="20" customWidth="1"/>
    <col min="3077" max="3078" width="11.85546875" style="20" customWidth="1"/>
    <col min="3079" max="3326" width="9.140625" style="20"/>
    <col min="3327" max="3328" width="16.28515625" style="20" customWidth="1"/>
    <col min="3329" max="3329" width="9.140625" style="20"/>
    <col min="3330" max="3330" width="4.7109375" style="20" customWidth="1"/>
    <col min="3331" max="3331" width="1" style="20" customWidth="1"/>
    <col min="3332" max="3332" width="14.42578125" style="20" customWidth="1"/>
    <col min="3333" max="3334" width="11.85546875" style="20" customWidth="1"/>
    <col min="3335" max="3582" width="9.140625" style="20"/>
    <col min="3583" max="3584" width="16.28515625" style="20" customWidth="1"/>
    <col min="3585" max="3585" width="9.140625" style="20"/>
    <col min="3586" max="3586" width="4.7109375" style="20" customWidth="1"/>
    <col min="3587" max="3587" width="1" style="20" customWidth="1"/>
    <col min="3588" max="3588" width="14.42578125" style="20" customWidth="1"/>
    <col min="3589" max="3590" width="11.85546875" style="20" customWidth="1"/>
    <col min="3591" max="3838" width="9.140625" style="20"/>
    <col min="3839" max="3840" width="16.28515625" style="20" customWidth="1"/>
    <col min="3841" max="3841" width="9.140625" style="20"/>
    <col min="3842" max="3842" width="4.7109375" style="20" customWidth="1"/>
    <col min="3843" max="3843" width="1" style="20" customWidth="1"/>
    <col min="3844" max="3844" width="14.42578125" style="20" customWidth="1"/>
    <col min="3845" max="3846" width="11.85546875" style="20" customWidth="1"/>
    <col min="3847" max="4094" width="9.140625" style="20"/>
    <col min="4095" max="4096" width="16.28515625" style="20" customWidth="1"/>
    <col min="4097" max="4097" width="9.140625" style="20"/>
    <col min="4098" max="4098" width="4.7109375" style="20" customWidth="1"/>
    <col min="4099" max="4099" width="1" style="20" customWidth="1"/>
    <col min="4100" max="4100" width="14.42578125" style="20" customWidth="1"/>
    <col min="4101" max="4102" width="11.85546875" style="20" customWidth="1"/>
    <col min="4103" max="4350" width="9.140625" style="20"/>
    <col min="4351" max="4352" width="16.28515625" style="20" customWidth="1"/>
    <col min="4353" max="4353" width="9.140625" style="20"/>
    <col min="4354" max="4354" width="4.7109375" style="20" customWidth="1"/>
    <col min="4355" max="4355" width="1" style="20" customWidth="1"/>
    <col min="4356" max="4356" width="14.42578125" style="20" customWidth="1"/>
    <col min="4357" max="4358" width="11.85546875" style="20" customWidth="1"/>
    <col min="4359" max="4606" width="9.140625" style="20"/>
    <col min="4607" max="4608" width="16.28515625" style="20" customWidth="1"/>
    <col min="4609" max="4609" width="9.140625" style="20"/>
    <col min="4610" max="4610" width="4.7109375" style="20" customWidth="1"/>
    <col min="4611" max="4611" width="1" style="20" customWidth="1"/>
    <col min="4612" max="4612" width="14.42578125" style="20" customWidth="1"/>
    <col min="4613" max="4614" width="11.85546875" style="20" customWidth="1"/>
    <col min="4615" max="4862" width="9.140625" style="20"/>
    <col min="4863" max="4864" width="16.28515625" style="20" customWidth="1"/>
    <col min="4865" max="4865" width="9.140625" style="20"/>
    <col min="4866" max="4866" width="4.7109375" style="20" customWidth="1"/>
    <col min="4867" max="4867" width="1" style="20" customWidth="1"/>
    <col min="4868" max="4868" width="14.42578125" style="20" customWidth="1"/>
    <col min="4869" max="4870" width="11.85546875" style="20" customWidth="1"/>
    <col min="4871" max="5118" width="9.140625" style="20"/>
    <col min="5119" max="5120" width="16.28515625" style="20" customWidth="1"/>
    <col min="5121" max="5121" width="9.140625" style="20"/>
    <col min="5122" max="5122" width="4.7109375" style="20" customWidth="1"/>
    <col min="5123" max="5123" width="1" style="20" customWidth="1"/>
    <col min="5124" max="5124" width="14.42578125" style="20" customWidth="1"/>
    <col min="5125" max="5126" width="11.85546875" style="20" customWidth="1"/>
    <col min="5127" max="5374" width="9.140625" style="20"/>
    <col min="5375" max="5376" width="16.28515625" style="20" customWidth="1"/>
    <col min="5377" max="5377" width="9.140625" style="20"/>
    <col min="5378" max="5378" width="4.7109375" style="20" customWidth="1"/>
    <col min="5379" max="5379" width="1" style="20" customWidth="1"/>
    <col min="5380" max="5380" width="14.42578125" style="20" customWidth="1"/>
    <col min="5381" max="5382" width="11.85546875" style="20" customWidth="1"/>
    <col min="5383" max="5630" width="9.140625" style="20"/>
    <col min="5631" max="5632" width="16.28515625" style="20" customWidth="1"/>
    <col min="5633" max="5633" width="9.140625" style="20"/>
    <col min="5634" max="5634" width="4.7109375" style="20" customWidth="1"/>
    <col min="5635" max="5635" width="1" style="20" customWidth="1"/>
    <col min="5636" max="5636" width="14.42578125" style="20" customWidth="1"/>
    <col min="5637" max="5638" width="11.85546875" style="20" customWidth="1"/>
    <col min="5639" max="5886" width="9.140625" style="20"/>
    <col min="5887" max="5888" width="16.28515625" style="20" customWidth="1"/>
    <col min="5889" max="5889" width="9.140625" style="20"/>
    <col min="5890" max="5890" width="4.7109375" style="20" customWidth="1"/>
    <col min="5891" max="5891" width="1" style="20" customWidth="1"/>
    <col min="5892" max="5892" width="14.42578125" style="20" customWidth="1"/>
    <col min="5893" max="5894" width="11.85546875" style="20" customWidth="1"/>
    <col min="5895" max="6142" width="9.140625" style="20"/>
    <col min="6143" max="6144" width="16.28515625" style="20" customWidth="1"/>
    <col min="6145" max="6145" width="9.140625" style="20"/>
    <col min="6146" max="6146" width="4.7109375" style="20" customWidth="1"/>
    <col min="6147" max="6147" width="1" style="20" customWidth="1"/>
    <col min="6148" max="6148" width="14.42578125" style="20" customWidth="1"/>
    <col min="6149" max="6150" width="11.85546875" style="20" customWidth="1"/>
    <col min="6151" max="6398" width="9.140625" style="20"/>
    <col min="6399" max="6400" width="16.28515625" style="20" customWidth="1"/>
    <col min="6401" max="6401" width="9.140625" style="20"/>
    <col min="6402" max="6402" width="4.7109375" style="20" customWidth="1"/>
    <col min="6403" max="6403" width="1" style="20" customWidth="1"/>
    <col min="6404" max="6404" width="14.42578125" style="20" customWidth="1"/>
    <col min="6405" max="6406" width="11.85546875" style="20" customWidth="1"/>
    <col min="6407" max="6654" width="9.140625" style="20"/>
    <col min="6655" max="6656" width="16.28515625" style="20" customWidth="1"/>
    <col min="6657" max="6657" width="9.140625" style="20"/>
    <col min="6658" max="6658" width="4.7109375" style="20" customWidth="1"/>
    <col min="6659" max="6659" width="1" style="20" customWidth="1"/>
    <col min="6660" max="6660" width="14.42578125" style="20" customWidth="1"/>
    <col min="6661" max="6662" width="11.85546875" style="20" customWidth="1"/>
    <col min="6663" max="6910" width="9.140625" style="20"/>
    <col min="6911" max="6912" width="16.28515625" style="20" customWidth="1"/>
    <col min="6913" max="6913" width="9.140625" style="20"/>
    <col min="6914" max="6914" width="4.7109375" style="20" customWidth="1"/>
    <col min="6915" max="6915" width="1" style="20" customWidth="1"/>
    <col min="6916" max="6916" width="14.42578125" style="20" customWidth="1"/>
    <col min="6917" max="6918" width="11.85546875" style="20" customWidth="1"/>
    <col min="6919" max="7166" width="9.140625" style="20"/>
    <col min="7167" max="7168" width="16.28515625" style="20" customWidth="1"/>
    <col min="7169" max="7169" width="9.140625" style="20"/>
    <col min="7170" max="7170" width="4.7109375" style="20" customWidth="1"/>
    <col min="7171" max="7171" width="1" style="20" customWidth="1"/>
    <col min="7172" max="7172" width="14.42578125" style="20" customWidth="1"/>
    <col min="7173" max="7174" width="11.85546875" style="20" customWidth="1"/>
    <col min="7175" max="7422" width="9.140625" style="20"/>
    <col min="7423" max="7424" width="16.28515625" style="20" customWidth="1"/>
    <col min="7425" max="7425" width="9.140625" style="20"/>
    <col min="7426" max="7426" width="4.7109375" style="20" customWidth="1"/>
    <col min="7427" max="7427" width="1" style="20" customWidth="1"/>
    <col min="7428" max="7428" width="14.42578125" style="20" customWidth="1"/>
    <col min="7429" max="7430" width="11.85546875" style="20" customWidth="1"/>
    <col min="7431" max="7678" width="9.140625" style="20"/>
    <col min="7679" max="7680" width="16.28515625" style="20" customWidth="1"/>
    <col min="7681" max="7681" width="9.140625" style="20"/>
    <col min="7682" max="7682" width="4.7109375" style="20" customWidth="1"/>
    <col min="7683" max="7683" width="1" style="20" customWidth="1"/>
    <col min="7684" max="7684" width="14.42578125" style="20" customWidth="1"/>
    <col min="7685" max="7686" width="11.85546875" style="20" customWidth="1"/>
    <col min="7687" max="7934" width="9.140625" style="20"/>
    <col min="7935" max="7936" width="16.28515625" style="20" customWidth="1"/>
    <col min="7937" max="7937" width="9.140625" style="20"/>
    <col min="7938" max="7938" width="4.7109375" style="20" customWidth="1"/>
    <col min="7939" max="7939" width="1" style="20" customWidth="1"/>
    <col min="7940" max="7940" width="14.42578125" style="20" customWidth="1"/>
    <col min="7941" max="7942" width="11.85546875" style="20" customWidth="1"/>
    <col min="7943" max="8190" width="9.140625" style="20"/>
    <col min="8191" max="8192" width="16.28515625" style="20" customWidth="1"/>
    <col min="8193" max="8193" width="9.140625" style="20"/>
    <col min="8194" max="8194" width="4.7109375" style="20" customWidth="1"/>
    <col min="8195" max="8195" width="1" style="20" customWidth="1"/>
    <col min="8196" max="8196" width="14.42578125" style="20" customWidth="1"/>
    <col min="8197" max="8198" width="11.85546875" style="20" customWidth="1"/>
    <col min="8199" max="8446" width="9.140625" style="20"/>
    <col min="8447" max="8448" width="16.28515625" style="20" customWidth="1"/>
    <col min="8449" max="8449" width="9.140625" style="20"/>
    <col min="8450" max="8450" width="4.7109375" style="20" customWidth="1"/>
    <col min="8451" max="8451" width="1" style="20" customWidth="1"/>
    <col min="8452" max="8452" width="14.42578125" style="20" customWidth="1"/>
    <col min="8453" max="8454" width="11.85546875" style="20" customWidth="1"/>
    <col min="8455" max="8702" width="9.140625" style="20"/>
    <col min="8703" max="8704" width="16.28515625" style="20" customWidth="1"/>
    <col min="8705" max="8705" width="9.140625" style="20"/>
    <col min="8706" max="8706" width="4.7109375" style="20" customWidth="1"/>
    <col min="8707" max="8707" width="1" style="20" customWidth="1"/>
    <col min="8708" max="8708" width="14.42578125" style="20" customWidth="1"/>
    <col min="8709" max="8710" width="11.85546875" style="20" customWidth="1"/>
    <col min="8711" max="8958" width="9.140625" style="20"/>
    <col min="8959" max="8960" width="16.28515625" style="20" customWidth="1"/>
    <col min="8961" max="8961" width="9.140625" style="20"/>
    <col min="8962" max="8962" width="4.7109375" style="20" customWidth="1"/>
    <col min="8963" max="8963" width="1" style="20" customWidth="1"/>
    <col min="8964" max="8964" width="14.42578125" style="20" customWidth="1"/>
    <col min="8965" max="8966" width="11.85546875" style="20" customWidth="1"/>
    <col min="8967" max="9214" width="9.140625" style="20"/>
    <col min="9215" max="9216" width="16.28515625" style="20" customWidth="1"/>
    <col min="9217" max="9217" width="9.140625" style="20"/>
    <col min="9218" max="9218" width="4.7109375" style="20" customWidth="1"/>
    <col min="9219" max="9219" width="1" style="20" customWidth="1"/>
    <col min="9220" max="9220" width="14.42578125" style="20" customWidth="1"/>
    <col min="9221" max="9222" width="11.85546875" style="20" customWidth="1"/>
    <col min="9223" max="9470" width="9.140625" style="20"/>
    <col min="9471" max="9472" width="16.28515625" style="20" customWidth="1"/>
    <col min="9473" max="9473" width="9.140625" style="20"/>
    <col min="9474" max="9474" width="4.7109375" style="20" customWidth="1"/>
    <col min="9475" max="9475" width="1" style="20" customWidth="1"/>
    <col min="9476" max="9476" width="14.42578125" style="20" customWidth="1"/>
    <col min="9477" max="9478" width="11.85546875" style="20" customWidth="1"/>
    <col min="9479" max="9726" width="9.140625" style="20"/>
    <col min="9727" max="9728" width="16.28515625" style="20" customWidth="1"/>
    <col min="9729" max="9729" width="9.140625" style="20"/>
    <col min="9730" max="9730" width="4.7109375" style="20" customWidth="1"/>
    <col min="9731" max="9731" width="1" style="20" customWidth="1"/>
    <col min="9732" max="9732" width="14.42578125" style="20" customWidth="1"/>
    <col min="9733" max="9734" width="11.85546875" style="20" customWidth="1"/>
    <col min="9735" max="9982" width="9.140625" style="20"/>
    <col min="9983" max="9984" width="16.28515625" style="20" customWidth="1"/>
    <col min="9985" max="9985" width="9.140625" style="20"/>
    <col min="9986" max="9986" width="4.7109375" style="20" customWidth="1"/>
    <col min="9987" max="9987" width="1" style="20" customWidth="1"/>
    <col min="9988" max="9988" width="14.42578125" style="20" customWidth="1"/>
    <col min="9989" max="9990" width="11.85546875" style="20" customWidth="1"/>
    <col min="9991" max="10238" width="9.140625" style="20"/>
    <col min="10239" max="10240" width="16.28515625" style="20" customWidth="1"/>
    <col min="10241" max="10241" width="9.140625" style="20"/>
    <col min="10242" max="10242" width="4.7109375" style="20" customWidth="1"/>
    <col min="10243" max="10243" width="1" style="20" customWidth="1"/>
    <col min="10244" max="10244" width="14.42578125" style="20" customWidth="1"/>
    <col min="10245" max="10246" width="11.85546875" style="20" customWidth="1"/>
    <col min="10247" max="10494" width="9.140625" style="20"/>
    <col min="10495" max="10496" width="16.28515625" style="20" customWidth="1"/>
    <col min="10497" max="10497" width="9.140625" style="20"/>
    <col min="10498" max="10498" width="4.7109375" style="20" customWidth="1"/>
    <col min="10499" max="10499" width="1" style="20" customWidth="1"/>
    <col min="10500" max="10500" width="14.42578125" style="20" customWidth="1"/>
    <col min="10501" max="10502" width="11.85546875" style="20" customWidth="1"/>
    <col min="10503" max="10750" width="9.140625" style="20"/>
    <col min="10751" max="10752" width="16.28515625" style="20" customWidth="1"/>
    <col min="10753" max="10753" width="9.140625" style="20"/>
    <col min="10754" max="10754" width="4.7109375" style="20" customWidth="1"/>
    <col min="10755" max="10755" width="1" style="20" customWidth="1"/>
    <col min="10756" max="10756" width="14.42578125" style="20" customWidth="1"/>
    <col min="10757" max="10758" width="11.85546875" style="20" customWidth="1"/>
    <col min="10759" max="11006" width="9.140625" style="20"/>
    <col min="11007" max="11008" width="16.28515625" style="20" customWidth="1"/>
    <col min="11009" max="11009" width="9.140625" style="20"/>
    <col min="11010" max="11010" width="4.7109375" style="20" customWidth="1"/>
    <col min="11011" max="11011" width="1" style="20" customWidth="1"/>
    <col min="11012" max="11012" width="14.42578125" style="20" customWidth="1"/>
    <col min="11013" max="11014" width="11.85546875" style="20" customWidth="1"/>
    <col min="11015" max="11262" width="9.140625" style="20"/>
    <col min="11263" max="11264" width="16.28515625" style="20" customWidth="1"/>
    <col min="11265" max="11265" width="9.140625" style="20"/>
    <col min="11266" max="11266" width="4.7109375" style="20" customWidth="1"/>
    <col min="11267" max="11267" width="1" style="20" customWidth="1"/>
    <col min="11268" max="11268" width="14.42578125" style="20" customWidth="1"/>
    <col min="11269" max="11270" width="11.85546875" style="20" customWidth="1"/>
    <col min="11271" max="11518" width="9.140625" style="20"/>
    <col min="11519" max="11520" width="16.28515625" style="20" customWidth="1"/>
    <col min="11521" max="11521" width="9.140625" style="20"/>
    <col min="11522" max="11522" width="4.7109375" style="20" customWidth="1"/>
    <col min="11523" max="11523" width="1" style="20" customWidth="1"/>
    <col min="11524" max="11524" width="14.42578125" style="20" customWidth="1"/>
    <col min="11525" max="11526" width="11.85546875" style="20" customWidth="1"/>
    <col min="11527" max="11774" width="9.140625" style="20"/>
    <col min="11775" max="11776" width="16.28515625" style="20" customWidth="1"/>
    <col min="11777" max="11777" width="9.140625" style="20"/>
    <col min="11778" max="11778" width="4.7109375" style="20" customWidth="1"/>
    <col min="11779" max="11779" width="1" style="20" customWidth="1"/>
    <col min="11780" max="11780" width="14.42578125" style="20" customWidth="1"/>
    <col min="11781" max="11782" width="11.85546875" style="20" customWidth="1"/>
    <col min="11783" max="12030" width="9.140625" style="20"/>
    <col min="12031" max="12032" width="16.28515625" style="20" customWidth="1"/>
    <col min="12033" max="12033" width="9.140625" style="20"/>
    <col min="12034" max="12034" width="4.7109375" style="20" customWidth="1"/>
    <col min="12035" max="12035" width="1" style="20" customWidth="1"/>
    <col min="12036" max="12036" width="14.42578125" style="20" customWidth="1"/>
    <col min="12037" max="12038" width="11.85546875" style="20" customWidth="1"/>
    <col min="12039" max="12286" width="9.140625" style="20"/>
    <col min="12287" max="12288" width="16.28515625" style="20" customWidth="1"/>
    <col min="12289" max="12289" width="9.140625" style="20"/>
    <col min="12290" max="12290" width="4.7109375" style="20" customWidth="1"/>
    <col min="12291" max="12291" width="1" style="20" customWidth="1"/>
    <col min="12292" max="12292" width="14.42578125" style="20" customWidth="1"/>
    <col min="12293" max="12294" width="11.85546875" style="20" customWidth="1"/>
    <col min="12295" max="12542" width="9.140625" style="20"/>
    <col min="12543" max="12544" width="16.28515625" style="20" customWidth="1"/>
    <col min="12545" max="12545" width="9.140625" style="20"/>
    <col min="12546" max="12546" width="4.7109375" style="20" customWidth="1"/>
    <col min="12547" max="12547" width="1" style="20" customWidth="1"/>
    <col min="12548" max="12548" width="14.42578125" style="20" customWidth="1"/>
    <col min="12549" max="12550" width="11.85546875" style="20" customWidth="1"/>
    <col min="12551" max="12798" width="9.140625" style="20"/>
    <col min="12799" max="12800" width="16.28515625" style="20" customWidth="1"/>
    <col min="12801" max="12801" width="9.140625" style="20"/>
    <col min="12802" max="12802" width="4.7109375" style="20" customWidth="1"/>
    <col min="12803" max="12803" width="1" style="20" customWidth="1"/>
    <col min="12804" max="12804" width="14.42578125" style="20" customWidth="1"/>
    <col min="12805" max="12806" width="11.85546875" style="20" customWidth="1"/>
    <col min="12807" max="13054" width="9.140625" style="20"/>
    <col min="13055" max="13056" width="16.28515625" style="20" customWidth="1"/>
    <col min="13057" max="13057" width="9.140625" style="20"/>
    <col min="13058" max="13058" width="4.7109375" style="20" customWidth="1"/>
    <col min="13059" max="13059" width="1" style="20" customWidth="1"/>
    <col min="13060" max="13060" width="14.42578125" style="20" customWidth="1"/>
    <col min="13061" max="13062" width="11.85546875" style="20" customWidth="1"/>
    <col min="13063" max="13310" width="9.140625" style="20"/>
    <col min="13311" max="13312" width="16.28515625" style="20" customWidth="1"/>
    <col min="13313" max="13313" width="9.140625" style="20"/>
    <col min="13314" max="13314" width="4.7109375" style="20" customWidth="1"/>
    <col min="13315" max="13315" width="1" style="20" customWidth="1"/>
    <col min="13316" max="13316" width="14.42578125" style="20" customWidth="1"/>
    <col min="13317" max="13318" width="11.85546875" style="20" customWidth="1"/>
    <col min="13319" max="13566" width="9.140625" style="20"/>
    <col min="13567" max="13568" width="16.28515625" style="20" customWidth="1"/>
    <col min="13569" max="13569" width="9.140625" style="20"/>
    <col min="13570" max="13570" width="4.7109375" style="20" customWidth="1"/>
    <col min="13571" max="13571" width="1" style="20" customWidth="1"/>
    <col min="13572" max="13572" width="14.42578125" style="20" customWidth="1"/>
    <col min="13573" max="13574" width="11.85546875" style="20" customWidth="1"/>
    <col min="13575" max="13822" width="9.140625" style="20"/>
    <col min="13823" max="13824" width="16.28515625" style="20" customWidth="1"/>
    <col min="13825" max="13825" width="9.140625" style="20"/>
    <col min="13826" max="13826" width="4.7109375" style="20" customWidth="1"/>
    <col min="13827" max="13827" width="1" style="20" customWidth="1"/>
    <col min="13828" max="13828" width="14.42578125" style="20" customWidth="1"/>
    <col min="13829" max="13830" width="11.85546875" style="20" customWidth="1"/>
    <col min="13831" max="14078" width="9.140625" style="20"/>
    <col min="14079" max="14080" width="16.28515625" style="20" customWidth="1"/>
    <col min="14081" max="14081" width="9.140625" style="20"/>
    <col min="14082" max="14082" width="4.7109375" style="20" customWidth="1"/>
    <col min="14083" max="14083" width="1" style="20" customWidth="1"/>
    <col min="14084" max="14084" width="14.42578125" style="20" customWidth="1"/>
    <col min="14085" max="14086" width="11.85546875" style="20" customWidth="1"/>
    <col min="14087" max="14334" width="9.140625" style="20"/>
    <col min="14335" max="14336" width="16.28515625" style="20" customWidth="1"/>
    <col min="14337" max="14337" width="9.140625" style="20"/>
    <col min="14338" max="14338" width="4.7109375" style="20" customWidth="1"/>
    <col min="14339" max="14339" width="1" style="20" customWidth="1"/>
    <col min="14340" max="14340" width="14.42578125" style="20" customWidth="1"/>
    <col min="14341" max="14342" width="11.85546875" style="20" customWidth="1"/>
    <col min="14343" max="14590" width="9.140625" style="20"/>
    <col min="14591" max="14592" width="16.28515625" style="20" customWidth="1"/>
    <col min="14593" max="14593" width="9.140625" style="20"/>
    <col min="14594" max="14594" width="4.7109375" style="20" customWidth="1"/>
    <col min="14595" max="14595" width="1" style="20" customWidth="1"/>
    <col min="14596" max="14596" width="14.42578125" style="20" customWidth="1"/>
    <col min="14597" max="14598" width="11.85546875" style="20" customWidth="1"/>
    <col min="14599" max="14846" width="9.140625" style="20"/>
    <col min="14847" max="14848" width="16.28515625" style="20" customWidth="1"/>
    <col min="14849" max="14849" width="9.140625" style="20"/>
    <col min="14850" max="14850" width="4.7109375" style="20" customWidth="1"/>
    <col min="14851" max="14851" width="1" style="20" customWidth="1"/>
    <col min="14852" max="14852" width="14.42578125" style="20" customWidth="1"/>
    <col min="14853" max="14854" width="11.85546875" style="20" customWidth="1"/>
    <col min="14855" max="15102" width="9.140625" style="20"/>
    <col min="15103" max="15104" width="16.28515625" style="20" customWidth="1"/>
    <col min="15105" max="15105" width="9.140625" style="20"/>
    <col min="15106" max="15106" width="4.7109375" style="20" customWidth="1"/>
    <col min="15107" max="15107" width="1" style="20" customWidth="1"/>
    <col min="15108" max="15108" width="14.42578125" style="20" customWidth="1"/>
    <col min="15109" max="15110" width="11.85546875" style="20" customWidth="1"/>
    <col min="15111" max="15358" width="9.140625" style="20"/>
    <col min="15359" max="15360" width="16.28515625" style="20" customWidth="1"/>
    <col min="15361" max="15361" width="9.140625" style="20"/>
    <col min="15362" max="15362" width="4.7109375" style="20" customWidth="1"/>
    <col min="15363" max="15363" width="1" style="20" customWidth="1"/>
    <col min="15364" max="15364" width="14.42578125" style="20" customWidth="1"/>
    <col min="15365" max="15366" width="11.85546875" style="20" customWidth="1"/>
    <col min="15367" max="15614" width="9.140625" style="20"/>
    <col min="15615" max="15616" width="16.28515625" style="20" customWidth="1"/>
    <col min="15617" max="15617" width="9.140625" style="20"/>
    <col min="15618" max="15618" width="4.7109375" style="20" customWidth="1"/>
    <col min="15619" max="15619" width="1" style="20" customWidth="1"/>
    <col min="15620" max="15620" width="14.42578125" style="20" customWidth="1"/>
    <col min="15621" max="15622" width="11.85546875" style="20" customWidth="1"/>
    <col min="15623" max="15870" width="9.140625" style="20"/>
    <col min="15871" max="15872" width="16.28515625" style="20" customWidth="1"/>
    <col min="15873" max="15873" width="9.140625" style="20"/>
    <col min="15874" max="15874" width="4.7109375" style="20" customWidth="1"/>
    <col min="15875" max="15875" width="1" style="20" customWidth="1"/>
    <col min="15876" max="15876" width="14.42578125" style="20" customWidth="1"/>
    <col min="15877" max="15878" width="11.85546875" style="20" customWidth="1"/>
    <col min="15879" max="16126" width="9.140625" style="20"/>
    <col min="16127" max="16128" width="16.28515625" style="20" customWidth="1"/>
    <col min="16129" max="16129" width="9.140625" style="20"/>
    <col min="16130" max="16130" width="4.7109375" style="20" customWidth="1"/>
    <col min="16131" max="16131" width="1" style="20" customWidth="1"/>
    <col min="16132" max="16132" width="14.42578125" style="20" customWidth="1"/>
    <col min="16133" max="16134" width="11.85546875" style="20" customWidth="1"/>
    <col min="16135" max="16384" width="9.140625" style="20"/>
  </cols>
  <sheetData>
    <row r="1" spans="1:16134" s="1" customFormat="1" ht="15.75">
      <c r="A1" s="417" t="s">
        <v>1041</v>
      </c>
      <c r="B1" s="416"/>
      <c r="C1" s="416"/>
      <c r="D1" s="416"/>
      <c r="E1" s="416"/>
      <c r="F1" s="517"/>
    </row>
    <row r="2" spans="1:16134">
      <c r="A2" s="414"/>
      <c r="B2" s="415"/>
      <c r="C2" s="415"/>
      <c r="D2" s="415"/>
      <c r="E2" s="415"/>
      <c r="F2" s="518"/>
    </row>
    <row r="3" spans="1:16134">
      <c r="A3" s="414"/>
      <c r="B3" s="415"/>
      <c r="C3" s="415"/>
      <c r="D3" s="415"/>
      <c r="E3" s="415"/>
      <c r="F3" s="518"/>
    </row>
    <row r="4" spans="1:16134" s="357" customFormat="1" ht="45.75" customHeight="1">
      <c r="A4" s="945" t="s">
        <v>831</v>
      </c>
      <c r="B4" s="945"/>
      <c r="C4" s="945"/>
      <c r="D4" s="945"/>
      <c r="E4" s="945"/>
      <c r="F4" s="945"/>
    </row>
    <row r="5" spans="1:16134" s="357" customFormat="1">
      <c r="A5" s="945"/>
      <c r="B5" s="945"/>
      <c r="C5" s="945"/>
      <c r="D5" s="945"/>
      <c r="E5" s="945"/>
      <c r="F5" s="945"/>
    </row>
    <row r="6" spans="1:16134">
      <c r="A6" s="945"/>
      <c r="B6" s="945"/>
      <c r="C6" s="945"/>
      <c r="D6" s="945"/>
      <c r="E6" s="945"/>
      <c r="F6" s="945"/>
    </row>
    <row r="7" spans="1:16134" s="244" customFormat="1" ht="13.5" thickBot="1">
      <c r="A7" s="935" t="s">
        <v>628</v>
      </c>
      <c r="B7" s="935"/>
      <c r="C7" s="935"/>
      <c r="D7" s="935"/>
      <c r="E7" s="935"/>
      <c r="F7" s="935"/>
    </row>
    <row r="8" spans="1:16134" s="244" customFormat="1" ht="63" customHeight="1">
      <c r="A8" s="936" t="s">
        <v>560</v>
      </c>
      <c r="B8" s="937"/>
      <c r="C8" s="942" t="s">
        <v>283</v>
      </c>
      <c r="D8" s="946" t="s">
        <v>284</v>
      </c>
      <c r="E8" s="946" t="s">
        <v>574</v>
      </c>
      <c r="F8" s="949" t="s">
        <v>575</v>
      </c>
    </row>
    <row r="9" spans="1:16134" s="244" customFormat="1" ht="24.75" customHeight="1">
      <c r="A9" s="938"/>
      <c r="B9" s="939"/>
      <c r="C9" s="943"/>
      <c r="D9" s="947"/>
      <c r="E9" s="947"/>
      <c r="F9" s="950"/>
    </row>
    <row r="10" spans="1:16134" s="244" customFormat="1" ht="24.75" customHeight="1">
      <c r="A10" s="938"/>
      <c r="B10" s="939"/>
      <c r="C10" s="943"/>
      <c r="D10" s="947"/>
      <c r="E10" s="947"/>
      <c r="F10" s="950"/>
    </row>
    <row r="11" spans="1:16134" ht="36" customHeight="1" thickBot="1">
      <c r="A11" s="940"/>
      <c r="B11" s="941"/>
      <c r="C11" s="944"/>
      <c r="D11" s="948"/>
      <c r="E11" s="948"/>
      <c r="F11" s="951"/>
    </row>
    <row r="12" spans="1:16134" s="391" customFormat="1" ht="52.5" customHeight="1" thickBot="1">
      <c r="A12" s="405" t="s">
        <v>508</v>
      </c>
      <c r="B12" s="406"/>
      <c r="C12" s="407">
        <v>200000000</v>
      </c>
      <c r="D12" s="407">
        <v>83051101</v>
      </c>
      <c r="E12" s="407"/>
      <c r="F12" s="320">
        <f>SUM(E12/D12)</f>
        <v>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  <c r="AHL12" s="20"/>
      <c r="AHM12" s="20"/>
      <c r="AHN12" s="20"/>
      <c r="AHO12" s="20"/>
      <c r="AHP12" s="20"/>
      <c r="AHQ12" s="20"/>
      <c r="AHR12" s="20"/>
      <c r="AHS12" s="20"/>
      <c r="AHT12" s="20"/>
      <c r="AHU12" s="20"/>
      <c r="AHV12" s="20"/>
      <c r="AHW12" s="20"/>
      <c r="AHX12" s="20"/>
      <c r="AHY12" s="20"/>
      <c r="AHZ12" s="20"/>
      <c r="AIA12" s="20"/>
      <c r="AIB12" s="20"/>
      <c r="AIC12" s="20"/>
      <c r="AID12" s="20"/>
      <c r="AIE12" s="20"/>
      <c r="AIF12" s="20"/>
      <c r="AIG12" s="20"/>
      <c r="AIH12" s="20"/>
      <c r="AII12" s="20"/>
      <c r="AIJ12" s="20"/>
      <c r="AIK12" s="20"/>
      <c r="AIL12" s="20"/>
      <c r="AIM12" s="20"/>
      <c r="AIN12" s="20"/>
      <c r="AIO12" s="20"/>
      <c r="AIP12" s="20"/>
      <c r="AIQ12" s="20"/>
      <c r="AIR12" s="20"/>
      <c r="AIS12" s="20"/>
      <c r="AIT12" s="20"/>
      <c r="AIU12" s="20"/>
      <c r="AIV12" s="20"/>
      <c r="AIW12" s="20"/>
      <c r="AIX12" s="20"/>
      <c r="AIY12" s="20"/>
      <c r="AIZ12" s="20"/>
      <c r="AJA12" s="20"/>
      <c r="AJB12" s="20"/>
      <c r="AJC12" s="20"/>
      <c r="AJD12" s="20"/>
      <c r="AJE12" s="20"/>
      <c r="AJF12" s="20"/>
      <c r="AJG12" s="20"/>
      <c r="AJH12" s="20"/>
      <c r="AJI12" s="20"/>
      <c r="AJJ12" s="20"/>
      <c r="AJK12" s="20"/>
      <c r="AJL12" s="20"/>
      <c r="AJM12" s="20"/>
      <c r="AJN12" s="20"/>
      <c r="AJO12" s="20"/>
      <c r="AJP12" s="20"/>
      <c r="AJQ12" s="20"/>
      <c r="AJR12" s="20"/>
      <c r="AJS12" s="20"/>
      <c r="AJT12" s="20"/>
      <c r="AJU12" s="20"/>
      <c r="AJV12" s="20"/>
      <c r="AJW12" s="20"/>
      <c r="AJX12" s="20"/>
      <c r="AJY12" s="20"/>
      <c r="AJZ12" s="20"/>
      <c r="AKA12" s="20"/>
      <c r="AKB12" s="20"/>
      <c r="AKC12" s="20"/>
      <c r="AKD12" s="20"/>
      <c r="AKE12" s="20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  <c r="AKQ12" s="20"/>
      <c r="AKR12" s="20"/>
      <c r="AKS12" s="20"/>
      <c r="AKT12" s="20"/>
      <c r="AKU12" s="20"/>
      <c r="AKV12" s="20"/>
      <c r="AKW12" s="20"/>
      <c r="AKX12" s="20"/>
      <c r="AKY12" s="20"/>
      <c r="AKZ12" s="20"/>
      <c r="ALA12" s="20"/>
      <c r="ALB12" s="20"/>
      <c r="ALC12" s="20"/>
      <c r="ALD12" s="20"/>
      <c r="ALE12" s="20"/>
      <c r="ALF12" s="20"/>
      <c r="ALG12" s="20"/>
      <c r="ALH12" s="20"/>
      <c r="ALI12" s="20"/>
      <c r="ALJ12" s="20"/>
      <c r="ALK12" s="20"/>
      <c r="ALL12" s="20"/>
      <c r="ALM12" s="20"/>
      <c r="ALN12" s="20"/>
      <c r="ALO12" s="20"/>
      <c r="ALP12" s="20"/>
      <c r="ALQ12" s="20"/>
      <c r="ALR12" s="20"/>
      <c r="ALS12" s="20"/>
      <c r="ALT12" s="20"/>
      <c r="ALU12" s="20"/>
      <c r="ALV12" s="20"/>
      <c r="ALW12" s="20"/>
      <c r="ALX12" s="20"/>
      <c r="ALY12" s="20"/>
      <c r="ALZ12" s="20"/>
      <c r="AMA12" s="20"/>
      <c r="AMB12" s="20"/>
      <c r="AMC12" s="20"/>
      <c r="AMD12" s="20"/>
      <c r="AME12" s="20"/>
      <c r="AMF12" s="20"/>
      <c r="AMG12" s="20"/>
      <c r="AMH12" s="20"/>
      <c r="AMI12" s="20"/>
      <c r="AMJ12" s="20"/>
      <c r="AMK12" s="20"/>
      <c r="AML12" s="20"/>
      <c r="AMM12" s="20"/>
      <c r="AMN12" s="20"/>
      <c r="AMO12" s="20"/>
      <c r="AMP12" s="20"/>
      <c r="AMQ12" s="20"/>
      <c r="AMR12" s="20"/>
      <c r="AMS12" s="20"/>
      <c r="AMT12" s="20"/>
      <c r="AMU12" s="20"/>
      <c r="AMV12" s="20"/>
      <c r="AMW12" s="20"/>
      <c r="AMX12" s="20"/>
      <c r="AMY12" s="20"/>
      <c r="AMZ12" s="20"/>
      <c r="ANA12" s="20"/>
      <c r="ANB12" s="20"/>
      <c r="ANC12" s="20"/>
      <c r="AND12" s="20"/>
      <c r="ANE12" s="20"/>
      <c r="ANF12" s="20"/>
      <c r="ANG12" s="20"/>
      <c r="ANH12" s="20"/>
      <c r="ANI12" s="20"/>
      <c r="ANJ12" s="20"/>
      <c r="ANK12" s="20"/>
      <c r="ANL12" s="20"/>
      <c r="ANM12" s="20"/>
      <c r="ANN12" s="20"/>
      <c r="ANO12" s="20"/>
      <c r="ANP12" s="20"/>
      <c r="ANQ12" s="20"/>
      <c r="ANR12" s="20"/>
      <c r="ANS12" s="20"/>
      <c r="ANT12" s="20"/>
      <c r="ANU12" s="20"/>
      <c r="ANV12" s="20"/>
      <c r="ANW12" s="20"/>
      <c r="ANX12" s="20"/>
      <c r="ANY12" s="20"/>
      <c r="ANZ12" s="20"/>
      <c r="AOA12" s="20"/>
      <c r="AOB12" s="20"/>
      <c r="AOC12" s="20"/>
      <c r="AOD12" s="20"/>
      <c r="AOE12" s="20"/>
      <c r="AOF12" s="20"/>
      <c r="AOG12" s="20"/>
      <c r="AOH12" s="20"/>
      <c r="AOI12" s="20"/>
      <c r="AOJ12" s="20"/>
      <c r="AOK12" s="20"/>
      <c r="AOL12" s="20"/>
      <c r="AOM12" s="20"/>
      <c r="AON12" s="20"/>
      <c r="AOO12" s="20"/>
      <c r="AOP12" s="20"/>
      <c r="AOQ12" s="20"/>
      <c r="AOR12" s="20"/>
      <c r="AOS12" s="20"/>
      <c r="AOT12" s="20"/>
      <c r="AOU12" s="20"/>
      <c r="AOV12" s="20"/>
      <c r="AOW12" s="20"/>
      <c r="AOX12" s="20"/>
      <c r="AOY12" s="20"/>
      <c r="AOZ12" s="20"/>
      <c r="APA12" s="20"/>
      <c r="APB12" s="20"/>
      <c r="APC12" s="20"/>
      <c r="APD12" s="20"/>
      <c r="APE12" s="20"/>
      <c r="APF12" s="20"/>
      <c r="APG12" s="20"/>
      <c r="APH12" s="20"/>
      <c r="API12" s="20"/>
      <c r="APJ12" s="20"/>
      <c r="APK12" s="20"/>
      <c r="APL12" s="20"/>
      <c r="APM12" s="20"/>
      <c r="APN12" s="20"/>
      <c r="APO12" s="20"/>
      <c r="APP12" s="20"/>
      <c r="APQ12" s="20"/>
      <c r="APR12" s="20"/>
      <c r="APS12" s="20"/>
      <c r="APT12" s="20"/>
      <c r="APU12" s="20"/>
      <c r="APV12" s="20"/>
      <c r="APW12" s="20"/>
      <c r="APX12" s="20"/>
      <c r="APY12" s="20"/>
      <c r="APZ12" s="20"/>
      <c r="AQA12" s="20"/>
      <c r="AQB12" s="20"/>
      <c r="AQC12" s="20"/>
      <c r="AQD12" s="20"/>
      <c r="AQE12" s="20"/>
      <c r="AQF12" s="20"/>
      <c r="AQG12" s="20"/>
      <c r="AQH12" s="20"/>
      <c r="AQI12" s="20"/>
      <c r="AQJ12" s="20"/>
      <c r="AQK12" s="20"/>
      <c r="AQL12" s="20"/>
      <c r="AQM12" s="20"/>
      <c r="AQN12" s="20"/>
      <c r="AQO12" s="20"/>
      <c r="AQP12" s="20"/>
      <c r="AQQ12" s="20"/>
      <c r="AQR12" s="20"/>
      <c r="AQS12" s="20"/>
      <c r="AQT12" s="20"/>
      <c r="AQU12" s="20"/>
      <c r="AQV12" s="20"/>
      <c r="AQW12" s="20"/>
      <c r="AQX12" s="20"/>
      <c r="AQY12" s="20"/>
      <c r="AQZ12" s="20"/>
      <c r="ARA12" s="20"/>
      <c r="ARB12" s="20"/>
      <c r="ARC12" s="20"/>
      <c r="ARD12" s="20"/>
      <c r="ARE12" s="20"/>
      <c r="ARF12" s="20"/>
      <c r="ARG12" s="20"/>
      <c r="ARH12" s="20"/>
      <c r="ARI12" s="20"/>
      <c r="ARJ12" s="20"/>
      <c r="ARK12" s="20"/>
      <c r="ARL12" s="20"/>
      <c r="ARM12" s="20"/>
      <c r="ARN12" s="20"/>
      <c r="ARO12" s="20"/>
      <c r="ARP12" s="20"/>
      <c r="ARQ12" s="20"/>
      <c r="ARR12" s="20"/>
      <c r="ARS12" s="20"/>
      <c r="ART12" s="20"/>
      <c r="ARU12" s="20"/>
      <c r="ARV12" s="20"/>
      <c r="ARW12" s="20"/>
      <c r="ARX12" s="20"/>
      <c r="ARY12" s="20"/>
      <c r="ARZ12" s="20"/>
      <c r="ASA12" s="20"/>
      <c r="ASB12" s="20"/>
      <c r="ASC12" s="20"/>
      <c r="ASD12" s="20"/>
      <c r="ASE12" s="20"/>
      <c r="ASF12" s="20"/>
      <c r="ASG12" s="20"/>
      <c r="ASH12" s="20"/>
      <c r="ASI12" s="20"/>
      <c r="ASJ12" s="20"/>
      <c r="ASK12" s="20"/>
      <c r="ASL12" s="20"/>
      <c r="ASM12" s="20"/>
      <c r="ASN12" s="20"/>
      <c r="ASO12" s="20"/>
      <c r="ASP12" s="20"/>
      <c r="ASQ12" s="20"/>
      <c r="ASR12" s="20"/>
      <c r="ASS12" s="20"/>
      <c r="AST12" s="20"/>
      <c r="ASU12" s="20"/>
      <c r="ASV12" s="20"/>
      <c r="ASW12" s="20"/>
      <c r="ASX12" s="20"/>
      <c r="ASY12" s="20"/>
      <c r="ASZ12" s="20"/>
      <c r="ATA12" s="20"/>
      <c r="ATB12" s="20"/>
      <c r="ATC12" s="20"/>
      <c r="ATD12" s="20"/>
      <c r="ATE12" s="20"/>
      <c r="ATF12" s="20"/>
      <c r="ATG12" s="20"/>
      <c r="ATH12" s="20"/>
      <c r="ATI12" s="20"/>
      <c r="ATJ12" s="20"/>
      <c r="ATK12" s="20"/>
      <c r="ATL12" s="20"/>
      <c r="ATM12" s="20"/>
      <c r="ATN12" s="20"/>
      <c r="ATO12" s="20"/>
      <c r="ATP12" s="20"/>
      <c r="ATQ12" s="20"/>
      <c r="ATR12" s="20"/>
      <c r="ATS12" s="20"/>
      <c r="ATT12" s="20"/>
      <c r="ATU12" s="20"/>
      <c r="ATV12" s="20"/>
      <c r="ATW12" s="20"/>
      <c r="ATX12" s="20"/>
      <c r="ATY12" s="20"/>
      <c r="ATZ12" s="20"/>
      <c r="AUA12" s="20"/>
      <c r="AUB12" s="20"/>
      <c r="AUC12" s="20"/>
      <c r="AUD12" s="20"/>
      <c r="AUE12" s="20"/>
      <c r="AUF12" s="20"/>
      <c r="AUG12" s="20"/>
      <c r="AUH12" s="20"/>
      <c r="AUI12" s="20"/>
      <c r="AUJ12" s="20"/>
      <c r="AUK12" s="20"/>
      <c r="AUL12" s="20"/>
      <c r="AUM12" s="20"/>
      <c r="AUN12" s="20"/>
      <c r="AUO12" s="20"/>
      <c r="AUP12" s="20"/>
      <c r="AUQ12" s="20"/>
      <c r="AUR12" s="20"/>
      <c r="AUS12" s="20"/>
      <c r="AUT12" s="20"/>
      <c r="AUU12" s="20"/>
      <c r="AUV12" s="20"/>
      <c r="AUW12" s="20"/>
      <c r="AUX12" s="20"/>
      <c r="AUY12" s="20"/>
      <c r="AUZ12" s="20"/>
      <c r="AVA12" s="20"/>
      <c r="AVB12" s="20"/>
      <c r="AVC12" s="20"/>
      <c r="AVD12" s="20"/>
      <c r="AVE12" s="20"/>
      <c r="AVF12" s="20"/>
      <c r="AVG12" s="20"/>
      <c r="AVH12" s="20"/>
      <c r="AVI12" s="20"/>
      <c r="AVJ12" s="20"/>
      <c r="AVK12" s="20"/>
      <c r="AVL12" s="20"/>
      <c r="AVM12" s="20"/>
      <c r="AVN12" s="20"/>
      <c r="AVO12" s="20"/>
      <c r="AVP12" s="20"/>
      <c r="AVQ12" s="20"/>
      <c r="AVR12" s="20"/>
      <c r="AVS12" s="20"/>
      <c r="AVT12" s="20"/>
      <c r="AVU12" s="20"/>
      <c r="AVV12" s="20"/>
      <c r="AVW12" s="20"/>
      <c r="AVX12" s="20"/>
      <c r="AVY12" s="20"/>
      <c r="AVZ12" s="20"/>
      <c r="AWA12" s="20"/>
      <c r="AWB12" s="20"/>
      <c r="AWC12" s="20"/>
      <c r="AWD12" s="20"/>
      <c r="AWE12" s="20"/>
      <c r="AWF12" s="20"/>
      <c r="AWG12" s="20"/>
      <c r="AWH12" s="20"/>
      <c r="AWI12" s="20"/>
      <c r="AWJ12" s="20"/>
      <c r="AWK12" s="20"/>
      <c r="AWL12" s="20"/>
      <c r="AWM12" s="20"/>
      <c r="AWN12" s="20"/>
      <c r="AWO12" s="20"/>
      <c r="AWP12" s="20"/>
      <c r="AWQ12" s="20"/>
      <c r="AWR12" s="20"/>
      <c r="AWS12" s="20"/>
      <c r="AWT12" s="20"/>
      <c r="AWU12" s="20"/>
      <c r="AWV12" s="20"/>
      <c r="AWW12" s="20"/>
      <c r="AWX12" s="20"/>
      <c r="AWY12" s="20"/>
      <c r="AWZ12" s="20"/>
      <c r="AXA12" s="20"/>
      <c r="AXB12" s="20"/>
      <c r="AXC12" s="20"/>
      <c r="AXD12" s="20"/>
      <c r="AXE12" s="20"/>
      <c r="AXF12" s="20"/>
      <c r="AXG12" s="20"/>
      <c r="AXH12" s="20"/>
      <c r="AXI12" s="20"/>
      <c r="AXJ12" s="20"/>
      <c r="AXK12" s="20"/>
      <c r="AXL12" s="20"/>
      <c r="AXM12" s="20"/>
      <c r="AXN12" s="20"/>
      <c r="AXO12" s="20"/>
      <c r="AXP12" s="20"/>
      <c r="AXQ12" s="20"/>
      <c r="AXR12" s="20"/>
      <c r="AXS12" s="20"/>
      <c r="AXT12" s="20"/>
      <c r="AXU12" s="20"/>
      <c r="AXV12" s="20"/>
      <c r="AXW12" s="20"/>
      <c r="AXX12" s="20"/>
      <c r="AXY12" s="20"/>
      <c r="AXZ12" s="20"/>
      <c r="AYA12" s="20"/>
      <c r="AYB12" s="20"/>
      <c r="AYC12" s="20"/>
      <c r="AYD12" s="20"/>
      <c r="AYE12" s="20"/>
      <c r="AYF12" s="20"/>
      <c r="AYG12" s="20"/>
      <c r="AYH12" s="20"/>
      <c r="AYI12" s="20"/>
      <c r="AYJ12" s="20"/>
      <c r="AYK12" s="20"/>
      <c r="AYL12" s="20"/>
      <c r="AYM12" s="20"/>
      <c r="AYN12" s="20"/>
      <c r="AYO12" s="20"/>
      <c r="AYP12" s="20"/>
      <c r="AYQ12" s="20"/>
      <c r="AYR12" s="20"/>
      <c r="AYS12" s="20"/>
      <c r="AYT12" s="20"/>
      <c r="AYU12" s="20"/>
      <c r="AYV12" s="20"/>
      <c r="AYW12" s="20"/>
      <c r="AYX12" s="20"/>
      <c r="AYY12" s="20"/>
      <c r="AYZ12" s="20"/>
      <c r="AZA12" s="20"/>
      <c r="AZB12" s="20"/>
      <c r="AZC12" s="20"/>
      <c r="AZD12" s="20"/>
      <c r="AZE12" s="20"/>
      <c r="AZF12" s="20"/>
      <c r="AZG12" s="20"/>
      <c r="AZH12" s="20"/>
      <c r="AZI12" s="20"/>
      <c r="AZJ12" s="20"/>
      <c r="AZK12" s="20"/>
      <c r="AZL12" s="20"/>
      <c r="AZM12" s="20"/>
      <c r="AZN12" s="20"/>
      <c r="AZO12" s="20"/>
      <c r="AZP12" s="20"/>
      <c r="AZQ12" s="20"/>
      <c r="AZR12" s="20"/>
      <c r="AZS12" s="20"/>
      <c r="AZT12" s="20"/>
      <c r="AZU12" s="20"/>
      <c r="AZV12" s="20"/>
      <c r="AZW12" s="20"/>
      <c r="AZX12" s="20"/>
      <c r="AZY12" s="20"/>
      <c r="AZZ12" s="20"/>
      <c r="BAA12" s="20"/>
      <c r="BAB12" s="20"/>
      <c r="BAC12" s="20"/>
      <c r="BAD12" s="20"/>
      <c r="BAE12" s="20"/>
      <c r="BAF12" s="20"/>
      <c r="BAG12" s="20"/>
      <c r="BAH12" s="20"/>
      <c r="BAI12" s="20"/>
      <c r="BAJ12" s="20"/>
      <c r="BAK12" s="20"/>
      <c r="BAL12" s="20"/>
      <c r="BAM12" s="20"/>
      <c r="BAN12" s="20"/>
      <c r="BAO12" s="20"/>
      <c r="BAP12" s="20"/>
      <c r="BAQ12" s="20"/>
      <c r="BAR12" s="20"/>
      <c r="BAS12" s="20"/>
      <c r="BAT12" s="20"/>
      <c r="BAU12" s="20"/>
      <c r="BAV12" s="20"/>
      <c r="BAW12" s="20"/>
      <c r="BAX12" s="20"/>
      <c r="BAY12" s="20"/>
      <c r="BAZ12" s="20"/>
      <c r="BBA12" s="20"/>
      <c r="BBB12" s="20"/>
      <c r="BBC12" s="20"/>
      <c r="BBD12" s="20"/>
      <c r="BBE12" s="20"/>
      <c r="BBF12" s="20"/>
      <c r="BBG12" s="20"/>
      <c r="BBH12" s="20"/>
      <c r="BBI12" s="20"/>
      <c r="BBJ12" s="20"/>
      <c r="BBK12" s="20"/>
      <c r="BBL12" s="20"/>
      <c r="BBM12" s="20"/>
      <c r="BBN12" s="20"/>
      <c r="BBO12" s="20"/>
      <c r="BBP12" s="20"/>
      <c r="BBQ12" s="20"/>
      <c r="BBR12" s="20"/>
      <c r="BBS12" s="20"/>
      <c r="BBT12" s="20"/>
      <c r="BBU12" s="20"/>
      <c r="BBV12" s="20"/>
      <c r="BBW12" s="20"/>
      <c r="BBX12" s="20"/>
      <c r="BBY12" s="20"/>
      <c r="BBZ12" s="20"/>
      <c r="BCA12" s="20"/>
      <c r="BCB12" s="20"/>
      <c r="BCC12" s="20"/>
      <c r="BCD12" s="20"/>
      <c r="BCE12" s="20"/>
      <c r="BCF12" s="20"/>
      <c r="BCG12" s="20"/>
      <c r="BCH12" s="20"/>
      <c r="BCI12" s="20"/>
      <c r="BCJ12" s="20"/>
      <c r="BCK12" s="20"/>
      <c r="BCL12" s="20"/>
      <c r="BCM12" s="20"/>
      <c r="BCN12" s="20"/>
      <c r="BCO12" s="20"/>
      <c r="BCP12" s="20"/>
      <c r="BCQ12" s="20"/>
      <c r="BCR12" s="20"/>
      <c r="BCS12" s="20"/>
      <c r="BCT12" s="20"/>
      <c r="BCU12" s="20"/>
      <c r="BCV12" s="20"/>
      <c r="BCW12" s="20"/>
      <c r="BCX12" s="20"/>
      <c r="BCY12" s="20"/>
      <c r="BCZ12" s="20"/>
      <c r="BDA12" s="20"/>
      <c r="BDB12" s="20"/>
      <c r="BDC12" s="20"/>
      <c r="BDD12" s="20"/>
      <c r="BDE12" s="20"/>
      <c r="BDF12" s="20"/>
      <c r="BDG12" s="20"/>
      <c r="BDH12" s="20"/>
      <c r="BDI12" s="20"/>
      <c r="BDJ12" s="20"/>
      <c r="BDK12" s="20"/>
      <c r="BDL12" s="20"/>
      <c r="BDM12" s="20"/>
      <c r="BDN12" s="20"/>
      <c r="BDO12" s="20"/>
      <c r="BDP12" s="20"/>
      <c r="BDQ12" s="20"/>
      <c r="BDR12" s="20"/>
      <c r="BDS12" s="20"/>
      <c r="BDT12" s="20"/>
      <c r="BDU12" s="20"/>
      <c r="BDV12" s="20"/>
      <c r="BDW12" s="20"/>
      <c r="BDX12" s="20"/>
      <c r="BDY12" s="20"/>
      <c r="BDZ12" s="20"/>
      <c r="BEA12" s="20"/>
      <c r="BEB12" s="20"/>
      <c r="BEC12" s="20"/>
      <c r="BED12" s="20"/>
      <c r="BEE12" s="20"/>
      <c r="BEF12" s="20"/>
      <c r="BEG12" s="20"/>
      <c r="BEH12" s="20"/>
      <c r="BEI12" s="20"/>
      <c r="BEJ12" s="20"/>
      <c r="BEK12" s="20"/>
      <c r="BEL12" s="20"/>
      <c r="BEM12" s="20"/>
      <c r="BEN12" s="20"/>
      <c r="BEO12" s="20"/>
      <c r="BEP12" s="20"/>
      <c r="BEQ12" s="20"/>
      <c r="BER12" s="20"/>
      <c r="BES12" s="20"/>
      <c r="BET12" s="20"/>
      <c r="BEU12" s="20"/>
      <c r="BEV12" s="20"/>
      <c r="BEW12" s="20"/>
      <c r="BEX12" s="20"/>
      <c r="BEY12" s="20"/>
      <c r="BEZ12" s="20"/>
      <c r="BFA12" s="20"/>
      <c r="BFB12" s="20"/>
      <c r="BFC12" s="20"/>
      <c r="BFD12" s="20"/>
      <c r="BFE12" s="20"/>
      <c r="BFF12" s="20"/>
      <c r="BFG12" s="20"/>
      <c r="BFH12" s="20"/>
      <c r="BFI12" s="20"/>
      <c r="BFJ12" s="20"/>
      <c r="BFK12" s="20"/>
      <c r="BFL12" s="20"/>
      <c r="BFM12" s="20"/>
      <c r="BFN12" s="20"/>
      <c r="BFO12" s="20"/>
      <c r="BFP12" s="20"/>
      <c r="BFQ12" s="20"/>
      <c r="BFR12" s="20"/>
      <c r="BFS12" s="20"/>
      <c r="BFT12" s="20"/>
      <c r="BFU12" s="20"/>
      <c r="BFV12" s="20"/>
      <c r="BFW12" s="20"/>
      <c r="BFX12" s="20"/>
      <c r="BFY12" s="20"/>
      <c r="BFZ12" s="20"/>
      <c r="BGA12" s="20"/>
      <c r="BGB12" s="20"/>
      <c r="BGC12" s="20"/>
      <c r="BGD12" s="20"/>
      <c r="BGE12" s="20"/>
      <c r="BGF12" s="20"/>
      <c r="BGG12" s="20"/>
      <c r="BGH12" s="20"/>
      <c r="BGI12" s="20"/>
      <c r="BGJ12" s="20"/>
      <c r="BGK12" s="20"/>
      <c r="BGL12" s="20"/>
      <c r="BGM12" s="20"/>
      <c r="BGN12" s="20"/>
      <c r="BGO12" s="20"/>
      <c r="BGP12" s="20"/>
      <c r="BGQ12" s="20"/>
      <c r="BGR12" s="20"/>
      <c r="BGS12" s="20"/>
      <c r="BGT12" s="20"/>
      <c r="BGU12" s="20"/>
      <c r="BGV12" s="20"/>
      <c r="BGW12" s="20"/>
      <c r="BGX12" s="20"/>
      <c r="BGY12" s="20"/>
      <c r="BGZ12" s="20"/>
      <c r="BHA12" s="20"/>
      <c r="BHB12" s="20"/>
      <c r="BHC12" s="20"/>
      <c r="BHD12" s="20"/>
      <c r="BHE12" s="20"/>
      <c r="BHF12" s="20"/>
      <c r="BHG12" s="20"/>
      <c r="BHH12" s="20"/>
      <c r="BHI12" s="20"/>
      <c r="BHJ12" s="20"/>
      <c r="BHK12" s="20"/>
      <c r="BHL12" s="20"/>
      <c r="BHM12" s="20"/>
      <c r="BHN12" s="20"/>
      <c r="BHO12" s="20"/>
      <c r="BHP12" s="20"/>
      <c r="BHQ12" s="20"/>
      <c r="BHR12" s="20"/>
      <c r="BHS12" s="20"/>
      <c r="BHT12" s="20"/>
      <c r="BHU12" s="20"/>
      <c r="BHV12" s="20"/>
      <c r="BHW12" s="20"/>
      <c r="BHX12" s="20"/>
      <c r="BHY12" s="20"/>
      <c r="BHZ12" s="20"/>
      <c r="BIA12" s="20"/>
      <c r="BIB12" s="20"/>
      <c r="BIC12" s="20"/>
      <c r="BID12" s="20"/>
      <c r="BIE12" s="20"/>
      <c r="BIF12" s="20"/>
      <c r="BIG12" s="20"/>
      <c r="BIH12" s="20"/>
      <c r="BII12" s="20"/>
      <c r="BIJ12" s="20"/>
      <c r="BIK12" s="20"/>
      <c r="BIL12" s="20"/>
      <c r="BIM12" s="20"/>
      <c r="BIN12" s="20"/>
      <c r="BIO12" s="20"/>
      <c r="BIP12" s="20"/>
      <c r="BIQ12" s="20"/>
      <c r="BIR12" s="20"/>
      <c r="BIS12" s="20"/>
      <c r="BIT12" s="20"/>
      <c r="BIU12" s="20"/>
      <c r="BIV12" s="20"/>
      <c r="BIW12" s="20"/>
      <c r="BIX12" s="20"/>
      <c r="BIY12" s="20"/>
      <c r="BIZ12" s="20"/>
      <c r="BJA12" s="20"/>
      <c r="BJB12" s="20"/>
      <c r="BJC12" s="20"/>
      <c r="BJD12" s="20"/>
      <c r="BJE12" s="20"/>
      <c r="BJF12" s="20"/>
      <c r="BJG12" s="20"/>
      <c r="BJH12" s="20"/>
      <c r="BJI12" s="20"/>
      <c r="BJJ12" s="20"/>
      <c r="BJK12" s="20"/>
      <c r="BJL12" s="20"/>
      <c r="BJM12" s="20"/>
      <c r="BJN12" s="20"/>
      <c r="BJO12" s="20"/>
      <c r="BJP12" s="20"/>
      <c r="BJQ12" s="20"/>
      <c r="BJR12" s="20"/>
      <c r="BJS12" s="20"/>
      <c r="BJT12" s="20"/>
      <c r="BJU12" s="20"/>
      <c r="BJV12" s="20"/>
      <c r="BJW12" s="20"/>
      <c r="BJX12" s="20"/>
      <c r="BJY12" s="20"/>
      <c r="BJZ12" s="20"/>
      <c r="BKA12" s="20"/>
      <c r="BKB12" s="20"/>
      <c r="BKC12" s="20"/>
      <c r="BKD12" s="20"/>
      <c r="BKE12" s="20"/>
      <c r="BKF12" s="20"/>
      <c r="BKG12" s="20"/>
      <c r="BKH12" s="20"/>
      <c r="BKI12" s="20"/>
      <c r="BKJ12" s="20"/>
      <c r="BKK12" s="20"/>
      <c r="BKL12" s="20"/>
      <c r="BKM12" s="20"/>
      <c r="BKN12" s="20"/>
      <c r="BKO12" s="20"/>
      <c r="BKP12" s="20"/>
      <c r="BKQ12" s="20"/>
      <c r="BKR12" s="20"/>
      <c r="BKS12" s="20"/>
      <c r="BKT12" s="20"/>
      <c r="BKU12" s="20"/>
      <c r="BKV12" s="20"/>
      <c r="BKW12" s="20"/>
      <c r="BKX12" s="20"/>
      <c r="BKY12" s="20"/>
      <c r="BKZ12" s="20"/>
      <c r="BLA12" s="20"/>
      <c r="BLB12" s="20"/>
      <c r="BLC12" s="20"/>
      <c r="BLD12" s="20"/>
      <c r="BLE12" s="20"/>
      <c r="BLF12" s="20"/>
      <c r="BLG12" s="20"/>
      <c r="BLH12" s="20"/>
      <c r="BLI12" s="20"/>
      <c r="BLJ12" s="20"/>
      <c r="BLK12" s="20"/>
      <c r="BLL12" s="20"/>
      <c r="BLM12" s="20"/>
      <c r="BLN12" s="20"/>
      <c r="BLO12" s="20"/>
      <c r="BLP12" s="20"/>
      <c r="BLQ12" s="20"/>
      <c r="BLR12" s="20"/>
      <c r="BLS12" s="20"/>
      <c r="BLT12" s="20"/>
      <c r="BLU12" s="20"/>
      <c r="BLV12" s="20"/>
      <c r="BLW12" s="20"/>
      <c r="BLX12" s="20"/>
      <c r="BLY12" s="20"/>
      <c r="BLZ12" s="20"/>
      <c r="BMA12" s="20"/>
      <c r="BMB12" s="20"/>
      <c r="BMC12" s="20"/>
      <c r="BMD12" s="20"/>
      <c r="BME12" s="20"/>
      <c r="BMF12" s="20"/>
      <c r="BMG12" s="20"/>
      <c r="BMH12" s="20"/>
      <c r="BMI12" s="20"/>
      <c r="BMJ12" s="20"/>
      <c r="BMK12" s="20"/>
      <c r="BML12" s="20"/>
      <c r="BMM12" s="20"/>
      <c r="BMN12" s="20"/>
      <c r="BMO12" s="20"/>
      <c r="BMP12" s="20"/>
      <c r="BMQ12" s="20"/>
      <c r="BMR12" s="20"/>
      <c r="BMS12" s="20"/>
      <c r="BMT12" s="20"/>
      <c r="BMU12" s="20"/>
      <c r="BMV12" s="20"/>
      <c r="BMW12" s="20"/>
      <c r="BMX12" s="20"/>
      <c r="BMY12" s="20"/>
      <c r="BMZ12" s="20"/>
      <c r="BNA12" s="20"/>
      <c r="BNB12" s="20"/>
      <c r="BNC12" s="20"/>
      <c r="BND12" s="20"/>
      <c r="BNE12" s="20"/>
      <c r="BNF12" s="20"/>
      <c r="BNG12" s="20"/>
      <c r="BNH12" s="20"/>
      <c r="BNI12" s="20"/>
      <c r="BNJ12" s="20"/>
      <c r="BNK12" s="20"/>
      <c r="BNL12" s="20"/>
      <c r="BNM12" s="20"/>
      <c r="BNN12" s="20"/>
      <c r="BNO12" s="20"/>
      <c r="BNP12" s="20"/>
      <c r="BNQ12" s="20"/>
      <c r="BNR12" s="20"/>
      <c r="BNS12" s="20"/>
      <c r="BNT12" s="20"/>
      <c r="BNU12" s="20"/>
      <c r="BNV12" s="20"/>
      <c r="BNW12" s="20"/>
      <c r="BNX12" s="20"/>
      <c r="BNY12" s="20"/>
      <c r="BNZ12" s="20"/>
      <c r="BOA12" s="20"/>
      <c r="BOB12" s="20"/>
      <c r="BOC12" s="20"/>
      <c r="BOD12" s="20"/>
      <c r="BOE12" s="20"/>
      <c r="BOF12" s="20"/>
      <c r="BOG12" s="20"/>
      <c r="BOH12" s="20"/>
      <c r="BOI12" s="20"/>
      <c r="BOJ12" s="20"/>
      <c r="BOK12" s="20"/>
      <c r="BOL12" s="20"/>
      <c r="BOM12" s="20"/>
      <c r="BON12" s="20"/>
      <c r="BOO12" s="20"/>
      <c r="BOP12" s="20"/>
      <c r="BOQ12" s="20"/>
      <c r="BOR12" s="20"/>
      <c r="BOS12" s="20"/>
      <c r="BOT12" s="20"/>
      <c r="BOU12" s="20"/>
      <c r="BOV12" s="20"/>
      <c r="BOW12" s="20"/>
      <c r="BOX12" s="20"/>
      <c r="BOY12" s="20"/>
      <c r="BOZ12" s="20"/>
      <c r="BPA12" s="20"/>
      <c r="BPB12" s="20"/>
      <c r="BPC12" s="20"/>
      <c r="BPD12" s="20"/>
      <c r="BPE12" s="20"/>
      <c r="BPF12" s="20"/>
      <c r="BPG12" s="20"/>
      <c r="BPH12" s="20"/>
      <c r="BPI12" s="20"/>
      <c r="BPJ12" s="20"/>
      <c r="BPK12" s="20"/>
      <c r="BPL12" s="20"/>
      <c r="BPM12" s="20"/>
      <c r="BPN12" s="20"/>
      <c r="BPO12" s="20"/>
      <c r="BPP12" s="20"/>
      <c r="BPQ12" s="20"/>
      <c r="BPR12" s="20"/>
      <c r="BPS12" s="20"/>
      <c r="BPT12" s="20"/>
      <c r="BPU12" s="20"/>
      <c r="BPV12" s="20"/>
      <c r="BPW12" s="20"/>
      <c r="BPX12" s="20"/>
      <c r="BPY12" s="20"/>
      <c r="BPZ12" s="20"/>
      <c r="BQA12" s="20"/>
      <c r="BQB12" s="20"/>
      <c r="BQC12" s="20"/>
      <c r="BQD12" s="20"/>
      <c r="BQE12" s="20"/>
      <c r="BQF12" s="20"/>
      <c r="BQG12" s="20"/>
      <c r="BQH12" s="20"/>
      <c r="BQI12" s="20"/>
      <c r="BQJ12" s="20"/>
      <c r="BQK12" s="20"/>
      <c r="BQL12" s="20"/>
      <c r="BQM12" s="20"/>
      <c r="BQN12" s="20"/>
      <c r="BQO12" s="20"/>
      <c r="BQP12" s="20"/>
      <c r="BQQ12" s="20"/>
      <c r="BQR12" s="20"/>
      <c r="BQS12" s="20"/>
      <c r="BQT12" s="20"/>
      <c r="BQU12" s="20"/>
      <c r="BQV12" s="20"/>
      <c r="BQW12" s="20"/>
      <c r="BQX12" s="20"/>
      <c r="BQY12" s="20"/>
      <c r="BQZ12" s="20"/>
      <c r="BRA12" s="20"/>
      <c r="BRB12" s="20"/>
      <c r="BRC12" s="20"/>
      <c r="BRD12" s="20"/>
      <c r="BRE12" s="20"/>
      <c r="BRF12" s="20"/>
      <c r="BRG12" s="20"/>
      <c r="BRH12" s="20"/>
      <c r="BRI12" s="20"/>
      <c r="BRJ12" s="20"/>
      <c r="BRK12" s="20"/>
      <c r="BRL12" s="20"/>
      <c r="BRM12" s="20"/>
      <c r="BRN12" s="20"/>
      <c r="BRO12" s="20"/>
      <c r="BRP12" s="20"/>
      <c r="BRQ12" s="20"/>
      <c r="BRR12" s="20"/>
      <c r="BRS12" s="20"/>
      <c r="BRT12" s="20"/>
      <c r="BRU12" s="20"/>
      <c r="BRV12" s="20"/>
      <c r="BRW12" s="20"/>
      <c r="BRX12" s="20"/>
      <c r="BRY12" s="20"/>
      <c r="BRZ12" s="20"/>
      <c r="BSA12" s="20"/>
      <c r="BSB12" s="20"/>
      <c r="BSC12" s="20"/>
      <c r="BSD12" s="20"/>
      <c r="BSE12" s="20"/>
      <c r="BSF12" s="20"/>
      <c r="BSG12" s="20"/>
      <c r="BSH12" s="20"/>
      <c r="BSI12" s="20"/>
      <c r="BSJ12" s="20"/>
      <c r="BSK12" s="20"/>
      <c r="BSL12" s="20"/>
      <c r="BSM12" s="20"/>
      <c r="BSN12" s="20"/>
      <c r="BSO12" s="20"/>
      <c r="BSP12" s="20"/>
      <c r="BSQ12" s="20"/>
      <c r="BSR12" s="20"/>
      <c r="BSS12" s="20"/>
      <c r="BST12" s="20"/>
      <c r="BSU12" s="20"/>
      <c r="BSV12" s="20"/>
      <c r="BSW12" s="20"/>
      <c r="BSX12" s="20"/>
      <c r="BSY12" s="20"/>
      <c r="BSZ12" s="20"/>
      <c r="BTA12" s="20"/>
      <c r="BTB12" s="20"/>
      <c r="BTC12" s="20"/>
      <c r="BTD12" s="20"/>
      <c r="BTE12" s="20"/>
      <c r="BTF12" s="20"/>
      <c r="BTG12" s="20"/>
      <c r="BTH12" s="20"/>
      <c r="BTI12" s="20"/>
      <c r="BTJ12" s="20"/>
      <c r="BTK12" s="20"/>
      <c r="BTL12" s="20"/>
      <c r="BTM12" s="20"/>
      <c r="BTN12" s="20"/>
      <c r="BTO12" s="20"/>
      <c r="BTP12" s="20"/>
      <c r="BTQ12" s="20"/>
      <c r="BTR12" s="20"/>
      <c r="BTS12" s="20"/>
      <c r="BTT12" s="20"/>
      <c r="BTU12" s="20"/>
      <c r="BTV12" s="20"/>
      <c r="BTW12" s="20"/>
      <c r="BTX12" s="20"/>
      <c r="BTY12" s="20"/>
      <c r="BTZ12" s="20"/>
      <c r="BUA12" s="20"/>
      <c r="BUB12" s="20"/>
      <c r="BUC12" s="20"/>
      <c r="BUD12" s="20"/>
      <c r="BUE12" s="20"/>
      <c r="BUF12" s="20"/>
      <c r="BUG12" s="20"/>
      <c r="BUH12" s="20"/>
      <c r="BUI12" s="20"/>
      <c r="BUJ12" s="20"/>
      <c r="BUK12" s="20"/>
      <c r="BUL12" s="20"/>
      <c r="BUM12" s="20"/>
      <c r="BUN12" s="20"/>
      <c r="BUO12" s="20"/>
      <c r="BUP12" s="20"/>
      <c r="BUQ12" s="20"/>
      <c r="BUR12" s="20"/>
      <c r="BUS12" s="20"/>
      <c r="BUT12" s="20"/>
      <c r="BUU12" s="20"/>
      <c r="BUV12" s="20"/>
      <c r="BUW12" s="20"/>
      <c r="BUX12" s="20"/>
      <c r="BUY12" s="20"/>
      <c r="BUZ12" s="20"/>
      <c r="BVA12" s="20"/>
      <c r="BVB12" s="20"/>
      <c r="BVC12" s="20"/>
      <c r="BVD12" s="20"/>
      <c r="BVE12" s="20"/>
      <c r="BVF12" s="20"/>
      <c r="BVG12" s="20"/>
      <c r="BVH12" s="20"/>
      <c r="BVI12" s="20"/>
      <c r="BVJ12" s="20"/>
      <c r="BVK12" s="20"/>
      <c r="BVL12" s="20"/>
      <c r="BVM12" s="20"/>
      <c r="BVN12" s="20"/>
      <c r="BVO12" s="20"/>
      <c r="BVP12" s="20"/>
      <c r="BVQ12" s="20"/>
      <c r="BVR12" s="20"/>
      <c r="BVS12" s="20"/>
      <c r="BVT12" s="20"/>
      <c r="BVU12" s="20"/>
      <c r="BVV12" s="20"/>
      <c r="BVW12" s="20"/>
      <c r="BVX12" s="20"/>
      <c r="BVY12" s="20"/>
      <c r="BVZ12" s="20"/>
      <c r="BWA12" s="20"/>
      <c r="BWB12" s="20"/>
      <c r="BWC12" s="20"/>
      <c r="BWD12" s="20"/>
      <c r="BWE12" s="20"/>
      <c r="BWF12" s="20"/>
      <c r="BWG12" s="20"/>
      <c r="BWH12" s="20"/>
      <c r="BWI12" s="20"/>
      <c r="BWJ12" s="20"/>
      <c r="BWK12" s="20"/>
      <c r="BWL12" s="20"/>
      <c r="BWM12" s="20"/>
      <c r="BWN12" s="20"/>
      <c r="BWO12" s="20"/>
      <c r="BWP12" s="20"/>
      <c r="BWQ12" s="20"/>
      <c r="BWR12" s="20"/>
      <c r="BWS12" s="20"/>
      <c r="BWT12" s="20"/>
      <c r="BWU12" s="20"/>
      <c r="BWV12" s="20"/>
      <c r="BWW12" s="20"/>
      <c r="BWX12" s="20"/>
      <c r="BWY12" s="20"/>
      <c r="BWZ12" s="20"/>
      <c r="BXA12" s="20"/>
      <c r="BXB12" s="20"/>
      <c r="BXC12" s="20"/>
      <c r="BXD12" s="20"/>
      <c r="BXE12" s="20"/>
      <c r="BXF12" s="20"/>
      <c r="BXG12" s="20"/>
      <c r="BXH12" s="20"/>
      <c r="BXI12" s="20"/>
      <c r="BXJ12" s="20"/>
      <c r="BXK12" s="20"/>
      <c r="BXL12" s="20"/>
      <c r="BXM12" s="20"/>
      <c r="BXN12" s="20"/>
      <c r="BXO12" s="20"/>
      <c r="BXP12" s="20"/>
      <c r="BXQ12" s="20"/>
      <c r="BXR12" s="20"/>
      <c r="BXS12" s="20"/>
      <c r="BXT12" s="20"/>
      <c r="BXU12" s="20"/>
      <c r="BXV12" s="20"/>
      <c r="BXW12" s="20"/>
      <c r="BXX12" s="20"/>
      <c r="BXY12" s="20"/>
      <c r="BXZ12" s="20"/>
      <c r="BYA12" s="20"/>
      <c r="BYB12" s="20"/>
      <c r="BYC12" s="20"/>
      <c r="BYD12" s="20"/>
      <c r="BYE12" s="20"/>
      <c r="BYF12" s="20"/>
      <c r="BYG12" s="20"/>
      <c r="BYH12" s="20"/>
      <c r="BYI12" s="20"/>
      <c r="BYJ12" s="20"/>
      <c r="BYK12" s="20"/>
      <c r="BYL12" s="20"/>
      <c r="BYM12" s="20"/>
      <c r="BYN12" s="20"/>
      <c r="BYO12" s="20"/>
      <c r="BYP12" s="20"/>
      <c r="BYQ12" s="20"/>
      <c r="BYR12" s="20"/>
      <c r="BYS12" s="20"/>
      <c r="BYT12" s="20"/>
      <c r="BYU12" s="20"/>
      <c r="BYV12" s="20"/>
      <c r="BYW12" s="20"/>
      <c r="BYX12" s="20"/>
      <c r="BYY12" s="20"/>
      <c r="BYZ12" s="20"/>
      <c r="BZA12" s="20"/>
      <c r="BZB12" s="20"/>
      <c r="BZC12" s="20"/>
      <c r="BZD12" s="20"/>
      <c r="BZE12" s="20"/>
      <c r="BZF12" s="20"/>
      <c r="BZG12" s="20"/>
      <c r="BZH12" s="20"/>
      <c r="BZI12" s="20"/>
      <c r="BZJ12" s="20"/>
      <c r="BZK12" s="20"/>
      <c r="BZL12" s="20"/>
      <c r="BZM12" s="20"/>
      <c r="BZN12" s="20"/>
      <c r="BZO12" s="20"/>
      <c r="BZP12" s="20"/>
      <c r="BZQ12" s="20"/>
      <c r="BZR12" s="20"/>
      <c r="BZS12" s="20"/>
      <c r="BZT12" s="20"/>
      <c r="BZU12" s="20"/>
      <c r="BZV12" s="20"/>
      <c r="BZW12" s="20"/>
      <c r="BZX12" s="20"/>
      <c r="BZY12" s="20"/>
      <c r="BZZ12" s="20"/>
      <c r="CAA12" s="20"/>
      <c r="CAB12" s="20"/>
      <c r="CAC12" s="20"/>
      <c r="CAD12" s="20"/>
      <c r="CAE12" s="20"/>
      <c r="CAF12" s="20"/>
      <c r="CAG12" s="20"/>
      <c r="CAH12" s="20"/>
      <c r="CAI12" s="20"/>
      <c r="CAJ12" s="20"/>
      <c r="CAK12" s="20"/>
      <c r="CAL12" s="20"/>
      <c r="CAM12" s="20"/>
      <c r="CAN12" s="20"/>
      <c r="CAO12" s="20"/>
      <c r="CAP12" s="20"/>
      <c r="CAQ12" s="20"/>
      <c r="CAR12" s="20"/>
      <c r="CAS12" s="20"/>
      <c r="CAT12" s="20"/>
      <c r="CAU12" s="20"/>
      <c r="CAV12" s="20"/>
      <c r="CAW12" s="20"/>
      <c r="CAX12" s="20"/>
      <c r="CAY12" s="20"/>
      <c r="CAZ12" s="20"/>
      <c r="CBA12" s="20"/>
      <c r="CBB12" s="20"/>
      <c r="CBC12" s="20"/>
      <c r="CBD12" s="20"/>
      <c r="CBE12" s="20"/>
      <c r="CBF12" s="20"/>
      <c r="CBG12" s="20"/>
      <c r="CBH12" s="20"/>
      <c r="CBI12" s="20"/>
      <c r="CBJ12" s="20"/>
      <c r="CBK12" s="20"/>
      <c r="CBL12" s="20"/>
      <c r="CBM12" s="20"/>
      <c r="CBN12" s="20"/>
      <c r="CBO12" s="20"/>
      <c r="CBP12" s="20"/>
      <c r="CBQ12" s="20"/>
      <c r="CBR12" s="20"/>
      <c r="CBS12" s="20"/>
      <c r="CBT12" s="20"/>
      <c r="CBU12" s="20"/>
      <c r="CBV12" s="20"/>
      <c r="CBW12" s="20"/>
      <c r="CBX12" s="20"/>
      <c r="CBY12" s="20"/>
      <c r="CBZ12" s="20"/>
      <c r="CCA12" s="20"/>
      <c r="CCB12" s="20"/>
      <c r="CCC12" s="20"/>
      <c r="CCD12" s="20"/>
      <c r="CCE12" s="20"/>
      <c r="CCF12" s="20"/>
      <c r="CCG12" s="20"/>
      <c r="CCH12" s="20"/>
      <c r="CCI12" s="20"/>
      <c r="CCJ12" s="20"/>
      <c r="CCK12" s="20"/>
      <c r="CCL12" s="20"/>
      <c r="CCM12" s="20"/>
      <c r="CCN12" s="20"/>
      <c r="CCO12" s="20"/>
      <c r="CCP12" s="20"/>
      <c r="CCQ12" s="20"/>
      <c r="CCR12" s="20"/>
      <c r="CCS12" s="20"/>
      <c r="CCT12" s="20"/>
      <c r="CCU12" s="20"/>
      <c r="CCV12" s="20"/>
      <c r="CCW12" s="20"/>
      <c r="CCX12" s="20"/>
      <c r="CCY12" s="20"/>
      <c r="CCZ12" s="20"/>
      <c r="CDA12" s="20"/>
      <c r="CDB12" s="20"/>
      <c r="CDC12" s="20"/>
      <c r="CDD12" s="20"/>
      <c r="CDE12" s="20"/>
      <c r="CDF12" s="20"/>
      <c r="CDG12" s="20"/>
      <c r="CDH12" s="20"/>
      <c r="CDI12" s="20"/>
      <c r="CDJ12" s="20"/>
      <c r="CDK12" s="20"/>
      <c r="CDL12" s="20"/>
      <c r="CDM12" s="20"/>
      <c r="CDN12" s="20"/>
      <c r="CDO12" s="20"/>
      <c r="CDP12" s="20"/>
      <c r="CDQ12" s="20"/>
      <c r="CDR12" s="20"/>
      <c r="CDS12" s="20"/>
      <c r="CDT12" s="20"/>
      <c r="CDU12" s="20"/>
      <c r="CDV12" s="20"/>
      <c r="CDW12" s="20"/>
      <c r="CDX12" s="20"/>
      <c r="CDY12" s="20"/>
      <c r="CDZ12" s="20"/>
      <c r="CEA12" s="20"/>
      <c r="CEB12" s="20"/>
      <c r="CEC12" s="20"/>
      <c r="CED12" s="20"/>
      <c r="CEE12" s="20"/>
      <c r="CEF12" s="20"/>
      <c r="CEG12" s="20"/>
      <c r="CEH12" s="20"/>
      <c r="CEI12" s="20"/>
      <c r="CEJ12" s="20"/>
      <c r="CEK12" s="20"/>
      <c r="CEL12" s="20"/>
      <c r="CEM12" s="20"/>
      <c r="CEN12" s="20"/>
      <c r="CEO12" s="20"/>
      <c r="CEP12" s="20"/>
      <c r="CEQ12" s="20"/>
      <c r="CER12" s="20"/>
      <c r="CES12" s="20"/>
      <c r="CET12" s="20"/>
      <c r="CEU12" s="20"/>
      <c r="CEV12" s="20"/>
      <c r="CEW12" s="20"/>
      <c r="CEX12" s="20"/>
      <c r="CEY12" s="20"/>
      <c r="CEZ12" s="20"/>
      <c r="CFA12" s="20"/>
      <c r="CFB12" s="20"/>
      <c r="CFC12" s="20"/>
      <c r="CFD12" s="20"/>
      <c r="CFE12" s="20"/>
      <c r="CFF12" s="20"/>
      <c r="CFG12" s="20"/>
      <c r="CFH12" s="20"/>
      <c r="CFI12" s="20"/>
      <c r="CFJ12" s="20"/>
      <c r="CFK12" s="20"/>
      <c r="CFL12" s="20"/>
      <c r="CFM12" s="20"/>
      <c r="CFN12" s="20"/>
      <c r="CFO12" s="20"/>
      <c r="CFP12" s="20"/>
      <c r="CFQ12" s="20"/>
      <c r="CFR12" s="20"/>
      <c r="CFS12" s="20"/>
      <c r="CFT12" s="20"/>
      <c r="CFU12" s="20"/>
      <c r="CFV12" s="20"/>
      <c r="CFW12" s="20"/>
      <c r="CFX12" s="20"/>
      <c r="CFY12" s="20"/>
      <c r="CFZ12" s="20"/>
      <c r="CGA12" s="20"/>
      <c r="CGB12" s="20"/>
      <c r="CGC12" s="20"/>
      <c r="CGD12" s="20"/>
      <c r="CGE12" s="20"/>
      <c r="CGF12" s="20"/>
      <c r="CGG12" s="20"/>
      <c r="CGH12" s="20"/>
      <c r="CGI12" s="20"/>
      <c r="CGJ12" s="20"/>
      <c r="CGK12" s="20"/>
      <c r="CGL12" s="20"/>
      <c r="CGM12" s="20"/>
      <c r="CGN12" s="20"/>
      <c r="CGO12" s="20"/>
      <c r="CGP12" s="20"/>
      <c r="CGQ12" s="20"/>
      <c r="CGR12" s="20"/>
      <c r="CGS12" s="20"/>
      <c r="CGT12" s="20"/>
      <c r="CGU12" s="20"/>
      <c r="CGV12" s="20"/>
      <c r="CGW12" s="20"/>
      <c r="CGX12" s="20"/>
      <c r="CGY12" s="20"/>
      <c r="CGZ12" s="20"/>
      <c r="CHA12" s="20"/>
      <c r="CHB12" s="20"/>
      <c r="CHC12" s="20"/>
      <c r="CHD12" s="20"/>
      <c r="CHE12" s="20"/>
      <c r="CHF12" s="20"/>
      <c r="CHG12" s="20"/>
      <c r="CHH12" s="20"/>
      <c r="CHI12" s="20"/>
      <c r="CHJ12" s="20"/>
      <c r="CHK12" s="20"/>
      <c r="CHL12" s="20"/>
      <c r="CHM12" s="20"/>
      <c r="CHN12" s="20"/>
      <c r="CHO12" s="20"/>
      <c r="CHP12" s="20"/>
      <c r="CHQ12" s="20"/>
      <c r="CHR12" s="20"/>
      <c r="CHS12" s="20"/>
      <c r="CHT12" s="20"/>
      <c r="CHU12" s="20"/>
      <c r="CHV12" s="20"/>
      <c r="CHW12" s="20"/>
      <c r="CHX12" s="20"/>
      <c r="CHY12" s="20"/>
      <c r="CHZ12" s="20"/>
      <c r="CIA12" s="20"/>
      <c r="CIB12" s="20"/>
      <c r="CIC12" s="20"/>
      <c r="CID12" s="20"/>
      <c r="CIE12" s="20"/>
      <c r="CIF12" s="20"/>
      <c r="CIG12" s="20"/>
      <c r="CIH12" s="20"/>
      <c r="CII12" s="20"/>
      <c r="CIJ12" s="20"/>
      <c r="CIK12" s="20"/>
      <c r="CIL12" s="20"/>
      <c r="CIM12" s="20"/>
      <c r="CIN12" s="20"/>
      <c r="CIO12" s="20"/>
      <c r="CIP12" s="20"/>
      <c r="CIQ12" s="20"/>
      <c r="CIR12" s="20"/>
      <c r="CIS12" s="20"/>
      <c r="CIT12" s="20"/>
      <c r="CIU12" s="20"/>
      <c r="CIV12" s="20"/>
      <c r="CIW12" s="20"/>
      <c r="CIX12" s="20"/>
      <c r="CIY12" s="20"/>
      <c r="CIZ12" s="20"/>
      <c r="CJA12" s="20"/>
      <c r="CJB12" s="20"/>
      <c r="CJC12" s="20"/>
      <c r="CJD12" s="20"/>
      <c r="CJE12" s="20"/>
      <c r="CJF12" s="20"/>
      <c r="CJG12" s="20"/>
      <c r="CJH12" s="20"/>
      <c r="CJI12" s="20"/>
      <c r="CJJ12" s="20"/>
      <c r="CJK12" s="20"/>
      <c r="CJL12" s="20"/>
      <c r="CJM12" s="20"/>
      <c r="CJN12" s="20"/>
      <c r="CJO12" s="20"/>
      <c r="CJP12" s="20"/>
      <c r="CJQ12" s="20"/>
      <c r="CJR12" s="20"/>
      <c r="CJS12" s="20"/>
      <c r="CJT12" s="20"/>
      <c r="CJU12" s="20"/>
      <c r="CJV12" s="20"/>
      <c r="CJW12" s="20"/>
      <c r="CJX12" s="20"/>
      <c r="CJY12" s="20"/>
      <c r="CJZ12" s="20"/>
      <c r="CKA12" s="20"/>
      <c r="CKB12" s="20"/>
      <c r="CKC12" s="20"/>
      <c r="CKD12" s="20"/>
      <c r="CKE12" s="20"/>
      <c r="CKF12" s="20"/>
      <c r="CKG12" s="20"/>
      <c r="CKH12" s="20"/>
      <c r="CKI12" s="20"/>
      <c r="CKJ12" s="20"/>
      <c r="CKK12" s="20"/>
      <c r="CKL12" s="20"/>
      <c r="CKM12" s="20"/>
      <c r="CKN12" s="20"/>
      <c r="CKO12" s="20"/>
      <c r="CKP12" s="20"/>
      <c r="CKQ12" s="20"/>
      <c r="CKR12" s="20"/>
      <c r="CKS12" s="20"/>
      <c r="CKT12" s="20"/>
      <c r="CKU12" s="20"/>
      <c r="CKV12" s="20"/>
      <c r="CKW12" s="20"/>
      <c r="CKX12" s="20"/>
      <c r="CKY12" s="20"/>
      <c r="CKZ12" s="20"/>
      <c r="CLA12" s="20"/>
      <c r="CLB12" s="20"/>
      <c r="CLC12" s="20"/>
      <c r="CLD12" s="20"/>
      <c r="CLE12" s="20"/>
      <c r="CLF12" s="20"/>
      <c r="CLG12" s="20"/>
      <c r="CLH12" s="20"/>
      <c r="CLI12" s="20"/>
      <c r="CLJ12" s="20"/>
      <c r="CLK12" s="20"/>
      <c r="CLL12" s="20"/>
      <c r="CLM12" s="20"/>
      <c r="CLN12" s="20"/>
      <c r="CLO12" s="20"/>
      <c r="CLP12" s="20"/>
      <c r="CLQ12" s="20"/>
      <c r="CLR12" s="20"/>
      <c r="CLS12" s="20"/>
      <c r="CLT12" s="20"/>
      <c r="CLU12" s="20"/>
      <c r="CLV12" s="20"/>
      <c r="CLW12" s="20"/>
      <c r="CLX12" s="20"/>
      <c r="CLY12" s="20"/>
      <c r="CLZ12" s="20"/>
      <c r="CMA12" s="20"/>
      <c r="CMB12" s="20"/>
      <c r="CMC12" s="20"/>
      <c r="CMD12" s="20"/>
      <c r="CME12" s="20"/>
      <c r="CMF12" s="20"/>
      <c r="CMG12" s="20"/>
      <c r="CMH12" s="20"/>
      <c r="CMI12" s="20"/>
      <c r="CMJ12" s="20"/>
      <c r="CMK12" s="20"/>
      <c r="CML12" s="20"/>
      <c r="CMM12" s="20"/>
      <c r="CMN12" s="20"/>
      <c r="CMO12" s="20"/>
      <c r="CMP12" s="20"/>
      <c r="CMQ12" s="20"/>
      <c r="CMR12" s="20"/>
      <c r="CMS12" s="20"/>
      <c r="CMT12" s="20"/>
      <c r="CMU12" s="20"/>
      <c r="CMV12" s="20"/>
      <c r="CMW12" s="20"/>
      <c r="CMX12" s="20"/>
      <c r="CMY12" s="20"/>
      <c r="CMZ12" s="20"/>
      <c r="CNA12" s="20"/>
      <c r="CNB12" s="20"/>
      <c r="CNC12" s="20"/>
      <c r="CND12" s="20"/>
      <c r="CNE12" s="20"/>
      <c r="CNF12" s="20"/>
      <c r="CNG12" s="20"/>
      <c r="CNH12" s="20"/>
      <c r="CNI12" s="20"/>
      <c r="CNJ12" s="20"/>
      <c r="CNK12" s="20"/>
      <c r="CNL12" s="20"/>
      <c r="CNM12" s="20"/>
      <c r="CNN12" s="20"/>
      <c r="CNO12" s="20"/>
      <c r="CNP12" s="20"/>
      <c r="CNQ12" s="20"/>
      <c r="CNR12" s="20"/>
      <c r="CNS12" s="20"/>
      <c r="CNT12" s="20"/>
      <c r="CNU12" s="20"/>
      <c r="CNV12" s="20"/>
      <c r="CNW12" s="20"/>
      <c r="CNX12" s="20"/>
      <c r="CNY12" s="20"/>
      <c r="CNZ12" s="20"/>
      <c r="COA12" s="20"/>
      <c r="COB12" s="20"/>
      <c r="COC12" s="20"/>
      <c r="COD12" s="20"/>
      <c r="COE12" s="20"/>
      <c r="COF12" s="20"/>
      <c r="COG12" s="20"/>
      <c r="COH12" s="20"/>
      <c r="COI12" s="20"/>
      <c r="COJ12" s="20"/>
      <c r="COK12" s="20"/>
      <c r="COL12" s="20"/>
      <c r="COM12" s="20"/>
      <c r="CON12" s="20"/>
      <c r="COO12" s="20"/>
      <c r="COP12" s="20"/>
      <c r="COQ12" s="20"/>
      <c r="COR12" s="20"/>
      <c r="COS12" s="20"/>
      <c r="COT12" s="20"/>
      <c r="COU12" s="20"/>
      <c r="COV12" s="20"/>
      <c r="COW12" s="20"/>
      <c r="COX12" s="20"/>
      <c r="COY12" s="20"/>
      <c r="COZ12" s="20"/>
      <c r="CPA12" s="20"/>
      <c r="CPB12" s="20"/>
      <c r="CPC12" s="20"/>
      <c r="CPD12" s="20"/>
      <c r="CPE12" s="20"/>
      <c r="CPF12" s="20"/>
      <c r="CPG12" s="20"/>
      <c r="CPH12" s="20"/>
      <c r="CPI12" s="20"/>
      <c r="CPJ12" s="20"/>
      <c r="CPK12" s="20"/>
      <c r="CPL12" s="20"/>
      <c r="CPM12" s="20"/>
      <c r="CPN12" s="20"/>
      <c r="CPO12" s="20"/>
      <c r="CPP12" s="20"/>
      <c r="CPQ12" s="20"/>
      <c r="CPR12" s="20"/>
      <c r="CPS12" s="20"/>
      <c r="CPT12" s="20"/>
      <c r="CPU12" s="20"/>
      <c r="CPV12" s="20"/>
      <c r="CPW12" s="20"/>
      <c r="CPX12" s="20"/>
      <c r="CPY12" s="20"/>
      <c r="CPZ12" s="20"/>
      <c r="CQA12" s="20"/>
      <c r="CQB12" s="20"/>
      <c r="CQC12" s="20"/>
      <c r="CQD12" s="20"/>
      <c r="CQE12" s="20"/>
      <c r="CQF12" s="20"/>
      <c r="CQG12" s="20"/>
      <c r="CQH12" s="20"/>
      <c r="CQI12" s="20"/>
      <c r="CQJ12" s="20"/>
      <c r="CQK12" s="20"/>
      <c r="CQL12" s="20"/>
      <c r="CQM12" s="20"/>
      <c r="CQN12" s="20"/>
      <c r="CQO12" s="20"/>
      <c r="CQP12" s="20"/>
      <c r="CQQ12" s="20"/>
      <c r="CQR12" s="20"/>
      <c r="CQS12" s="20"/>
      <c r="CQT12" s="20"/>
      <c r="CQU12" s="20"/>
      <c r="CQV12" s="20"/>
      <c r="CQW12" s="20"/>
      <c r="CQX12" s="20"/>
      <c r="CQY12" s="20"/>
      <c r="CQZ12" s="20"/>
      <c r="CRA12" s="20"/>
      <c r="CRB12" s="20"/>
      <c r="CRC12" s="20"/>
      <c r="CRD12" s="20"/>
      <c r="CRE12" s="20"/>
      <c r="CRF12" s="20"/>
      <c r="CRG12" s="20"/>
      <c r="CRH12" s="20"/>
      <c r="CRI12" s="20"/>
      <c r="CRJ12" s="20"/>
      <c r="CRK12" s="20"/>
      <c r="CRL12" s="20"/>
      <c r="CRM12" s="20"/>
      <c r="CRN12" s="20"/>
      <c r="CRO12" s="20"/>
      <c r="CRP12" s="20"/>
      <c r="CRQ12" s="20"/>
      <c r="CRR12" s="20"/>
      <c r="CRS12" s="20"/>
      <c r="CRT12" s="20"/>
      <c r="CRU12" s="20"/>
      <c r="CRV12" s="20"/>
      <c r="CRW12" s="20"/>
      <c r="CRX12" s="20"/>
      <c r="CRY12" s="20"/>
      <c r="CRZ12" s="20"/>
      <c r="CSA12" s="20"/>
      <c r="CSB12" s="20"/>
      <c r="CSC12" s="20"/>
      <c r="CSD12" s="20"/>
      <c r="CSE12" s="20"/>
      <c r="CSF12" s="20"/>
      <c r="CSG12" s="20"/>
      <c r="CSH12" s="20"/>
      <c r="CSI12" s="20"/>
      <c r="CSJ12" s="20"/>
      <c r="CSK12" s="20"/>
      <c r="CSL12" s="20"/>
      <c r="CSM12" s="20"/>
      <c r="CSN12" s="20"/>
      <c r="CSO12" s="20"/>
      <c r="CSP12" s="20"/>
      <c r="CSQ12" s="20"/>
      <c r="CSR12" s="20"/>
      <c r="CSS12" s="20"/>
      <c r="CST12" s="20"/>
      <c r="CSU12" s="20"/>
      <c r="CSV12" s="20"/>
      <c r="CSW12" s="20"/>
      <c r="CSX12" s="20"/>
      <c r="CSY12" s="20"/>
      <c r="CSZ12" s="20"/>
      <c r="CTA12" s="20"/>
      <c r="CTB12" s="20"/>
      <c r="CTC12" s="20"/>
      <c r="CTD12" s="20"/>
      <c r="CTE12" s="20"/>
      <c r="CTF12" s="20"/>
      <c r="CTG12" s="20"/>
      <c r="CTH12" s="20"/>
      <c r="CTI12" s="20"/>
      <c r="CTJ12" s="20"/>
      <c r="CTK12" s="20"/>
      <c r="CTL12" s="20"/>
      <c r="CTM12" s="20"/>
      <c r="CTN12" s="20"/>
      <c r="CTO12" s="20"/>
      <c r="CTP12" s="20"/>
      <c r="CTQ12" s="20"/>
      <c r="CTR12" s="20"/>
      <c r="CTS12" s="20"/>
      <c r="CTT12" s="20"/>
      <c r="CTU12" s="20"/>
      <c r="CTV12" s="20"/>
      <c r="CTW12" s="20"/>
      <c r="CTX12" s="20"/>
      <c r="CTY12" s="20"/>
      <c r="CTZ12" s="20"/>
      <c r="CUA12" s="20"/>
      <c r="CUB12" s="20"/>
      <c r="CUC12" s="20"/>
      <c r="CUD12" s="20"/>
      <c r="CUE12" s="20"/>
      <c r="CUF12" s="20"/>
      <c r="CUG12" s="20"/>
      <c r="CUH12" s="20"/>
      <c r="CUI12" s="20"/>
      <c r="CUJ12" s="20"/>
      <c r="CUK12" s="20"/>
      <c r="CUL12" s="20"/>
      <c r="CUM12" s="20"/>
      <c r="CUN12" s="20"/>
      <c r="CUO12" s="20"/>
      <c r="CUP12" s="20"/>
      <c r="CUQ12" s="20"/>
      <c r="CUR12" s="20"/>
      <c r="CUS12" s="20"/>
      <c r="CUT12" s="20"/>
      <c r="CUU12" s="20"/>
      <c r="CUV12" s="20"/>
      <c r="CUW12" s="20"/>
      <c r="CUX12" s="20"/>
      <c r="CUY12" s="20"/>
      <c r="CUZ12" s="20"/>
      <c r="CVA12" s="20"/>
      <c r="CVB12" s="20"/>
      <c r="CVC12" s="20"/>
      <c r="CVD12" s="20"/>
      <c r="CVE12" s="20"/>
      <c r="CVF12" s="20"/>
      <c r="CVG12" s="20"/>
      <c r="CVH12" s="20"/>
      <c r="CVI12" s="20"/>
      <c r="CVJ12" s="20"/>
      <c r="CVK12" s="20"/>
      <c r="CVL12" s="20"/>
      <c r="CVM12" s="20"/>
      <c r="CVN12" s="20"/>
      <c r="CVO12" s="20"/>
      <c r="CVP12" s="20"/>
      <c r="CVQ12" s="20"/>
      <c r="CVR12" s="20"/>
      <c r="CVS12" s="20"/>
      <c r="CVT12" s="20"/>
      <c r="CVU12" s="20"/>
      <c r="CVV12" s="20"/>
      <c r="CVW12" s="20"/>
      <c r="CVX12" s="20"/>
      <c r="CVY12" s="20"/>
      <c r="CVZ12" s="20"/>
      <c r="CWA12" s="20"/>
      <c r="CWB12" s="20"/>
      <c r="CWC12" s="20"/>
      <c r="CWD12" s="20"/>
      <c r="CWE12" s="20"/>
      <c r="CWF12" s="20"/>
      <c r="CWG12" s="20"/>
      <c r="CWH12" s="20"/>
      <c r="CWI12" s="20"/>
      <c r="CWJ12" s="20"/>
      <c r="CWK12" s="20"/>
      <c r="CWL12" s="20"/>
      <c r="CWM12" s="20"/>
      <c r="CWN12" s="20"/>
      <c r="CWO12" s="20"/>
      <c r="CWP12" s="20"/>
      <c r="CWQ12" s="20"/>
      <c r="CWR12" s="20"/>
      <c r="CWS12" s="20"/>
      <c r="CWT12" s="20"/>
      <c r="CWU12" s="20"/>
      <c r="CWV12" s="20"/>
      <c r="CWW12" s="20"/>
      <c r="CWX12" s="20"/>
      <c r="CWY12" s="20"/>
      <c r="CWZ12" s="20"/>
      <c r="CXA12" s="20"/>
      <c r="CXB12" s="20"/>
      <c r="CXC12" s="20"/>
      <c r="CXD12" s="20"/>
      <c r="CXE12" s="20"/>
      <c r="CXF12" s="20"/>
      <c r="CXG12" s="20"/>
      <c r="CXH12" s="20"/>
      <c r="CXI12" s="20"/>
      <c r="CXJ12" s="20"/>
      <c r="CXK12" s="20"/>
      <c r="CXL12" s="20"/>
      <c r="CXM12" s="20"/>
      <c r="CXN12" s="20"/>
      <c r="CXO12" s="20"/>
      <c r="CXP12" s="20"/>
      <c r="CXQ12" s="20"/>
      <c r="CXR12" s="20"/>
      <c r="CXS12" s="20"/>
      <c r="CXT12" s="20"/>
      <c r="CXU12" s="20"/>
      <c r="CXV12" s="20"/>
      <c r="CXW12" s="20"/>
      <c r="CXX12" s="20"/>
      <c r="CXY12" s="20"/>
      <c r="CXZ12" s="20"/>
      <c r="CYA12" s="20"/>
      <c r="CYB12" s="20"/>
      <c r="CYC12" s="20"/>
      <c r="CYD12" s="20"/>
      <c r="CYE12" s="20"/>
      <c r="CYF12" s="20"/>
      <c r="CYG12" s="20"/>
      <c r="CYH12" s="20"/>
      <c r="CYI12" s="20"/>
      <c r="CYJ12" s="20"/>
      <c r="CYK12" s="20"/>
      <c r="CYL12" s="20"/>
      <c r="CYM12" s="20"/>
      <c r="CYN12" s="20"/>
      <c r="CYO12" s="20"/>
      <c r="CYP12" s="20"/>
      <c r="CYQ12" s="20"/>
      <c r="CYR12" s="20"/>
      <c r="CYS12" s="20"/>
      <c r="CYT12" s="20"/>
      <c r="CYU12" s="20"/>
      <c r="CYV12" s="20"/>
      <c r="CYW12" s="20"/>
      <c r="CYX12" s="20"/>
      <c r="CYY12" s="20"/>
      <c r="CYZ12" s="20"/>
      <c r="CZA12" s="20"/>
      <c r="CZB12" s="20"/>
      <c r="CZC12" s="20"/>
      <c r="CZD12" s="20"/>
      <c r="CZE12" s="20"/>
      <c r="CZF12" s="20"/>
      <c r="CZG12" s="20"/>
      <c r="CZH12" s="20"/>
      <c r="CZI12" s="20"/>
      <c r="CZJ12" s="20"/>
      <c r="CZK12" s="20"/>
      <c r="CZL12" s="20"/>
      <c r="CZM12" s="20"/>
      <c r="CZN12" s="20"/>
      <c r="CZO12" s="20"/>
      <c r="CZP12" s="20"/>
      <c r="CZQ12" s="20"/>
      <c r="CZR12" s="20"/>
      <c r="CZS12" s="20"/>
      <c r="CZT12" s="20"/>
      <c r="CZU12" s="20"/>
      <c r="CZV12" s="20"/>
      <c r="CZW12" s="20"/>
      <c r="CZX12" s="20"/>
      <c r="CZY12" s="20"/>
      <c r="CZZ12" s="20"/>
      <c r="DAA12" s="20"/>
      <c r="DAB12" s="20"/>
      <c r="DAC12" s="20"/>
      <c r="DAD12" s="20"/>
      <c r="DAE12" s="20"/>
      <c r="DAF12" s="20"/>
      <c r="DAG12" s="20"/>
      <c r="DAH12" s="20"/>
      <c r="DAI12" s="20"/>
      <c r="DAJ12" s="20"/>
      <c r="DAK12" s="20"/>
      <c r="DAL12" s="20"/>
      <c r="DAM12" s="20"/>
      <c r="DAN12" s="20"/>
      <c r="DAO12" s="20"/>
      <c r="DAP12" s="20"/>
      <c r="DAQ12" s="20"/>
      <c r="DAR12" s="20"/>
      <c r="DAS12" s="20"/>
      <c r="DAT12" s="20"/>
      <c r="DAU12" s="20"/>
      <c r="DAV12" s="20"/>
      <c r="DAW12" s="20"/>
      <c r="DAX12" s="20"/>
      <c r="DAY12" s="20"/>
      <c r="DAZ12" s="20"/>
      <c r="DBA12" s="20"/>
      <c r="DBB12" s="20"/>
      <c r="DBC12" s="20"/>
      <c r="DBD12" s="20"/>
      <c r="DBE12" s="20"/>
      <c r="DBF12" s="20"/>
      <c r="DBG12" s="20"/>
      <c r="DBH12" s="20"/>
      <c r="DBI12" s="20"/>
      <c r="DBJ12" s="20"/>
      <c r="DBK12" s="20"/>
      <c r="DBL12" s="20"/>
      <c r="DBM12" s="20"/>
      <c r="DBN12" s="20"/>
      <c r="DBO12" s="20"/>
      <c r="DBP12" s="20"/>
      <c r="DBQ12" s="20"/>
      <c r="DBR12" s="20"/>
      <c r="DBS12" s="20"/>
      <c r="DBT12" s="20"/>
      <c r="DBU12" s="20"/>
      <c r="DBV12" s="20"/>
      <c r="DBW12" s="20"/>
      <c r="DBX12" s="20"/>
      <c r="DBY12" s="20"/>
      <c r="DBZ12" s="20"/>
      <c r="DCA12" s="20"/>
      <c r="DCB12" s="20"/>
      <c r="DCC12" s="20"/>
      <c r="DCD12" s="20"/>
      <c r="DCE12" s="20"/>
      <c r="DCF12" s="20"/>
      <c r="DCG12" s="20"/>
      <c r="DCH12" s="20"/>
      <c r="DCI12" s="20"/>
      <c r="DCJ12" s="20"/>
      <c r="DCK12" s="20"/>
      <c r="DCL12" s="20"/>
      <c r="DCM12" s="20"/>
      <c r="DCN12" s="20"/>
      <c r="DCO12" s="20"/>
      <c r="DCP12" s="20"/>
      <c r="DCQ12" s="20"/>
      <c r="DCR12" s="20"/>
      <c r="DCS12" s="20"/>
      <c r="DCT12" s="20"/>
      <c r="DCU12" s="20"/>
      <c r="DCV12" s="20"/>
      <c r="DCW12" s="20"/>
      <c r="DCX12" s="20"/>
      <c r="DCY12" s="20"/>
      <c r="DCZ12" s="20"/>
      <c r="DDA12" s="20"/>
      <c r="DDB12" s="20"/>
      <c r="DDC12" s="20"/>
      <c r="DDD12" s="20"/>
      <c r="DDE12" s="20"/>
      <c r="DDF12" s="20"/>
      <c r="DDG12" s="20"/>
      <c r="DDH12" s="20"/>
      <c r="DDI12" s="20"/>
      <c r="DDJ12" s="20"/>
      <c r="DDK12" s="20"/>
      <c r="DDL12" s="20"/>
      <c r="DDM12" s="20"/>
      <c r="DDN12" s="20"/>
      <c r="DDO12" s="20"/>
      <c r="DDP12" s="20"/>
      <c r="DDQ12" s="20"/>
      <c r="DDR12" s="20"/>
      <c r="DDS12" s="20"/>
      <c r="DDT12" s="20"/>
      <c r="DDU12" s="20"/>
      <c r="DDV12" s="20"/>
      <c r="DDW12" s="20"/>
      <c r="DDX12" s="20"/>
      <c r="DDY12" s="20"/>
      <c r="DDZ12" s="20"/>
      <c r="DEA12" s="20"/>
      <c r="DEB12" s="20"/>
      <c r="DEC12" s="20"/>
      <c r="DED12" s="20"/>
      <c r="DEE12" s="20"/>
      <c r="DEF12" s="20"/>
      <c r="DEG12" s="20"/>
      <c r="DEH12" s="20"/>
      <c r="DEI12" s="20"/>
      <c r="DEJ12" s="20"/>
      <c r="DEK12" s="20"/>
      <c r="DEL12" s="20"/>
      <c r="DEM12" s="20"/>
      <c r="DEN12" s="20"/>
      <c r="DEO12" s="20"/>
      <c r="DEP12" s="20"/>
      <c r="DEQ12" s="20"/>
      <c r="DER12" s="20"/>
      <c r="DES12" s="20"/>
      <c r="DET12" s="20"/>
      <c r="DEU12" s="20"/>
      <c r="DEV12" s="20"/>
      <c r="DEW12" s="20"/>
      <c r="DEX12" s="20"/>
      <c r="DEY12" s="20"/>
      <c r="DEZ12" s="20"/>
      <c r="DFA12" s="20"/>
      <c r="DFB12" s="20"/>
      <c r="DFC12" s="20"/>
      <c r="DFD12" s="20"/>
      <c r="DFE12" s="20"/>
      <c r="DFF12" s="20"/>
      <c r="DFG12" s="20"/>
      <c r="DFH12" s="20"/>
      <c r="DFI12" s="20"/>
      <c r="DFJ12" s="20"/>
      <c r="DFK12" s="20"/>
      <c r="DFL12" s="20"/>
      <c r="DFM12" s="20"/>
      <c r="DFN12" s="20"/>
      <c r="DFO12" s="20"/>
      <c r="DFP12" s="20"/>
      <c r="DFQ12" s="20"/>
      <c r="DFR12" s="20"/>
      <c r="DFS12" s="20"/>
      <c r="DFT12" s="20"/>
      <c r="DFU12" s="20"/>
      <c r="DFV12" s="20"/>
      <c r="DFW12" s="20"/>
      <c r="DFX12" s="20"/>
      <c r="DFY12" s="20"/>
      <c r="DFZ12" s="20"/>
      <c r="DGA12" s="20"/>
      <c r="DGB12" s="20"/>
      <c r="DGC12" s="20"/>
      <c r="DGD12" s="20"/>
      <c r="DGE12" s="20"/>
      <c r="DGF12" s="20"/>
      <c r="DGG12" s="20"/>
      <c r="DGH12" s="20"/>
      <c r="DGI12" s="20"/>
      <c r="DGJ12" s="20"/>
      <c r="DGK12" s="20"/>
      <c r="DGL12" s="20"/>
      <c r="DGM12" s="20"/>
      <c r="DGN12" s="20"/>
      <c r="DGO12" s="20"/>
      <c r="DGP12" s="20"/>
      <c r="DGQ12" s="20"/>
      <c r="DGR12" s="20"/>
      <c r="DGS12" s="20"/>
      <c r="DGT12" s="20"/>
      <c r="DGU12" s="20"/>
      <c r="DGV12" s="20"/>
      <c r="DGW12" s="20"/>
      <c r="DGX12" s="20"/>
      <c r="DGY12" s="20"/>
      <c r="DGZ12" s="20"/>
      <c r="DHA12" s="20"/>
      <c r="DHB12" s="20"/>
      <c r="DHC12" s="20"/>
      <c r="DHD12" s="20"/>
      <c r="DHE12" s="20"/>
      <c r="DHF12" s="20"/>
      <c r="DHG12" s="20"/>
      <c r="DHH12" s="20"/>
      <c r="DHI12" s="20"/>
      <c r="DHJ12" s="20"/>
      <c r="DHK12" s="20"/>
      <c r="DHL12" s="20"/>
      <c r="DHM12" s="20"/>
      <c r="DHN12" s="20"/>
      <c r="DHO12" s="20"/>
      <c r="DHP12" s="20"/>
      <c r="DHQ12" s="20"/>
      <c r="DHR12" s="20"/>
      <c r="DHS12" s="20"/>
      <c r="DHT12" s="20"/>
      <c r="DHU12" s="20"/>
      <c r="DHV12" s="20"/>
      <c r="DHW12" s="20"/>
      <c r="DHX12" s="20"/>
      <c r="DHY12" s="20"/>
      <c r="DHZ12" s="20"/>
      <c r="DIA12" s="20"/>
      <c r="DIB12" s="20"/>
      <c r="DIC12" s="20"/>
      <c r="DID12" s="20"/>
      <c r="DIE12" s="20"/>
      <c r="DIF12" s="20"/>
      <c r="DIG12" s="20"/>
      <c r="DIH12" s="20"/>
      <c r="DII12" s="20"/>
      <c r="DIJ12" s="20"/>
      <c r="DIK12" s="20"/>
      <c r="DIL12" s="20"/>
      <c r="DIM12" s="20"/>
      <c r="DIN12" s="20"/>
      <c r="DIO12" s="20"/>
      <c r="DIP12" s="20"/>
      <c r="DIQ12" s="20"/>
      <c r="DIR12" s="20"/>
      <c r="DIS12" s="20"/>
      <c r="DIT12" s="20"/>
      <c r="DIU12" s="20"/>
      <c r="DIV12" s="20"/>
      <c r="DIW12" s="20"/>
      <c r="DIX12" s="20"/>
      <c r="DIY12" s="20"/>
      <c r="DIZ12" s="20"/>
      <c r="DJA12" s="20"/>
      <c r="DJB12" s="20"/>
      <c r="DJC12" s="20"/>
      <c r="DJD12" s="20"/>
      <c r="DJE12" s="20"/>
      <c r="DJF12" s="20"/>
      <c r="DJG12" s="20"/>
      <c r="DJH12" s="20"/>
      <c r="DJI12" s="20"/>
      <c r="DJJ12" s="20"/>
      <c r="DJK12" s="20"/>
      <c r="DJL12" s="20"/>
      <c r="DJM12" s="20"/>
      <c r="DJN12" s="20"/>
      <c r="DJO12" s="20"/>
      <c r="DJP12" s="20"/>
      <c r="DJQ12" s="20"/>
      <c r="DJR12" s="20"/>
      <c r="DJS12" s="20"/>
      <c r="DJT12" s="20"/>
      <c r="DJU12" s="20"/>
      <c r="DJV12" s="20"/>
      <c r="DJW12" s="20"/>
      <c r="DJX12" s="20"/>
      <c r="DJY12" s="20"/>
      <c r="DJZ12" s="20"/>
      <c r="DKA12" s="20"/>
      <c r="DKB12" s="20"/>
      <c r="DKC12" s="20"/>
      <c r="DKD12" s="20"/>
      <c r="DKE12" s="20"/>
      <c r="DKF12" s="20"/>
      <c r="DKG12" s="20"/>
      <c r="DKH12" s="20"/>
      <c r="DKI12" s="20"/>
      <c r="DKJ12" s="20"/>
      <c r="DKK12" s="20"/>
      <c r="DKL12" s="20"/>
      <c r="DKM12" s="20"/>
      <c r="DKN12" s="20"/>
      <c r="DKO12" s="20"/>
      <c r="DKP12" s="20"/>
      <c r="DKQ12" s="20"/>
      <c r="DKR12" s="20"/>
      <c r="DKS12" s="20"/>
      <c r="DKT12" s="20"/>
      <c r="DKU12" s="20"/>
      <c r="DKV12" s="20"/>
      <c r="DKW12" s="20"/>
      <c r="DKX12" s="20"/>
      <c r="DKY12" s="20"/>
      <c r="DKZ12" s="20"/>
      <c r="DLA12" s="20"/>
      <c r="DLB12" s="20"/>
      <c r="DLC12" s="20"/>
      <c r="DLD12" s="20"/>
      <c r="DLE12" s="20"/>
      <c r="DLF12" s="20"/>
      <c r="DLG12" s="20"/>
      <c r="DLH12" s="20"/>
      <c r="DLI12" s="20"/>
      <c r="DLJ12" s="20"/>
      <c r="DLK12" s="20"/>
      <c r="DLL12" s="20"/>
      <c r="DLM12" s="20"/>
      <c r="DLN12" s="20"/>
      <c r="DLO12" s="20"/>
      <c r="DLP12" s="20"/>
      <c r="DLQ12" s="20"/>
      <c r="DLR12" s="20"/>
      <c r="DLS12" s="20"/>
      <c r="DLT12" s="20"/>
      <c r="DLU12" s="20"/>
      <c r="DLV12" s="20"/>
      <c r="DLW12" s="20"/>
      <c r="DLX12" s="20"/>
      <c r="DLY12" s="20"/>
      <c r="DLZ12" s="20"/>
      <c r="DMA12" s="20"/>
      <c r="DMB12" s="20"/>
      <c r="DMC12" s="20"/>
      <c r="DMD12" s="20"/>
      <c r="DME12" s="20"/>
      <c r="DMF12" s="20"/>
      <c r="DMG12" s="20"/>
      <c r="DMH12" s="20"/>
      <c r="DMI12" s="20"/>
      <c r="DMJ12" s="20"/>
      <c r="DMK12" s="20"/>
      <c r="DML12" s="20"/>
      <c r="DMM12" s="20"/>
      <c r="DMN12" s="20"/>
      <c r="DMO12" s="20"/>
      <c r="DMP12" s="20"/>
      <c r="DMQ12" s="20"/>
      <c r="DMR12" s="20"/>
      <c r="DMS12" s="20"/>
      <c r="DMT12" s="20"/>
      <c r="DMU12" s="20"/>
      <c r="DMV12" s="20"/>
      <c r="DMW12" s="20"/>
      <c r="DMX12" s="20"/>
      <c r="DMY12" s="20"/>
      <c r="DMZ12" s="20"/>
      <c r="DNA12" s="20"/>
      <c r="DNB12" s="20"/>
      <c r="DNC12" s="20"/>
      <c r="DND12" s="20"/>
      <c r="DNE12" s="20"/>
      <c r="DNF12" s="20"/>
      <c r="DNG12" s="20"/>
      <c r="DNH12" s="20"/>
      <c r="DNI12" s="20"/>
      <c r="DNJ12" s="20"/>
      <c r="DNK12" s="20"/>
      <c r="DNL12" s="20"/>
      <c r="DNM12" s="20"/>
      <c r="DNN12" s="20"/>
      <c r="DNO12" s="20"/>
      <c r="DNP12" s="20"/>
      <c r="DNQ12" s="20"/>
      <c r="DNR12" s="20"/>
      <c r="DNS12" s="20"/>
      <c r="DNT12" s="20"/>
      <c r="DNU12" s="20"/>
      <c r="DNV12" s="20"/>
      <c r="DNW12" s="20"/>
      <c r="DNX12" s="20"/>
      <c r="DNY12" s="20"/>
      <c r="DNZ12" s="20"/>
      <c r="DOA12" s="20"/>
      <c r="DOB12" s="20"/>
      <c r="DOC12" s="20"/>
      <c r="DOD12" s="20"/>
      <c r="DOE12" s="20"/>
      <c r="DOF12" s="20"/>
      <c r="DOG12" s="20"/>
      <c r="DOH12" s="20"/>
      <c r="DOI12" s="20"/>
      <c r="DOJ12" s="20"/>
      <c r="DOK12" s="20"/>
      <c r="DOL12" s="20"/>
      <c r="DOM12" s="20"/>
      <c r="DON12" s="20"/>
      <c r="DOO12" s="20"/>
      <c r="DOP12" s="20"/>
      <c r="DOQ12" s="20"/>
      <c r="DOR12" s="20"/>
      <c r="DOS12" s="20"/>
      <c r="DOT12" s="20"/>
      <c r="DOU12" s="20"/>
      <c r="DOV12" s="20"/>
      <c r="DOW12" s="20"/>
      <c r="DOX12" s="20"/>
      <c r="DOY12" s="20"/>
      <c r="DOZ12" s="20"/>
      <c r="DPA12" s="20"/>
      <c r="DPB12" s="20"/>
      <c r="DPC12" s="20"/>
      <c r="DPD12" s="20"/>
      <c r="DPE12" s="20"/>
      <c r="DPF12" s="20"/>
      <c r="DPG12" s="20"/>
      <c r="DPH12" s="20"/>
      <c r="DPI12" s="20"/>
      <c r="DPJ12" s="20"/>
      <c r="DPK12" s="20"/>
      <c r="DPL12" s="20"/>
      <c r="DPM12" s="20"/>
      <c r="DPN12" s="20"/>
      <c r="DPO12" s="20"/>
      <c r="DPP12" s="20"/>
      <c r="DPQ12" s="20"/>
      <c r="DPR12" s="20"/>
      <c r="DPS12" s="20"/>
      <c r="DPT12" s="20"/>
      <c r="DPU12" s="20"/>
      <c r="DPV12" s="20"/>
      <c r="DPW12" s="20"/>
      <c r="DPX12" s="20"/>
      <c r="DPY12" s="20"/>
      <c r="DPZ12" s="20"/>
      <c r="DQA12" s="20"/>
      <c r="DQB12" s="20"/>
      <c r="DQC12" s="20"/>
      <c r="DQD12" s="20"/>
      <c r="DQE12" s="20"/>
      <c r="DQF12" s="20"/>
      <c r="DQG12" s="20"/>
      <c r="DQH12" s="20"/>
      <c r="DQI12" s="20"/>
      <c r="DQJ12" s="20"/>
      <c r="DQK12" s="20"/>
      <c r="DQL12" s="20"/>
      <c r="DQM12" s="20"/>
      <c r="DQN12" s="20"/>
      <c r="DQO12" s="20"/>
      <c r="DQP12" s="20"/>
      <c r="DQQ12" s="20"/>
      <c r="DQR12" s="20"/>
      <c r="DQS12" s="20"/>
      <c r="DQT12" s="20"/>
      <c r="DQU12" s="20"/>
      <c r="DQV12" s="20"/>
      <c r="DQW12" s="20"/>
      <c r="DQX12" s="20"/>
      <c r="DQY12" s="20"/>
      <c r="DQZ12" s="20"/>
      <c r="DRA12" s="20"/>
      <c r="DRB12" s="20"/>
      <c r="DRC12" s="20"/>
      <c r="DRD12" s="20"/>
      <c r="DRE12" s="20"/>
      <c r="DRF12" s="20"/>
      <c r="DRG12" s="20"/>
      <c r="DRH12" s="20"/>
      <c r="DRI12" s="20"/>
      <c r="DRJ12" s="20"/>
      <c r="DRK12" s="20"/>
      <c r="DRL12" s="20"/>
      <c r="DRM12" s="20"/>
      <c r="DRN12" s="20"/>
      <c r="DRO12" s="20"/>
      <c r="DRP12" s="20"/>
      <c r="DRQ12" s="20"/>
      <c r="DRR12" s="20"/>
      <c r="DRS12" s="20"/>
      <c r="DRT12" s="20"/>
      <c r="DRU12" s="20"/>
      <c r="DRV12" s="20"/>
      <c r="DRW12" s="20"/>
      <c r="DRX12" s="20"/>
      <c r="DRY12" s="20"/>
      <c r="DRZ12" s="20"/>
      <c r="DSA12" s="20"/>
      <c r="DSB12" s="20"/>
      <c r="DSC12" s="20"/>
      <c r="DSD12" s="20"/>
      <c r="DSE12" s="20"/>
      <c r="DSF12" s="20"/>
      <c r="DSG12" s="20"/>
      <c r="DSH12" s="20"/>
      <c r="DSI12" s="20"/>
      <c r="DSJ12" s="20"/>
      <c r="DSK12" s="20"/>
      <c r="DSL12" s="20"/>
      <c r="DSM12" s="20"/>
      <c r="DSN12" s="20"/>
      <c r="DSO12" s="20"/>
      <c r="DSP12" s="20"/>
      <c r="DSQ12" s="20"/>
      <c r="DSR12" s="20"/>
      <c r="DSS12" s="20"/>
      <c r="DST12" s="20"/>
      <c r="DSU12" s="20"/>
      <c r="DSV12" s="20"/>
      <c r="DSW12" s="20"/>
      <c r="DSX12" s="20"/>
      <c r="DSY12" s="20"/>
      <c r="DSZ12" s="20"/>
      <c r="DTA12" s="20"/>
      <c r="DTB12" s="20"/>
      <c r="DTC12" s="20"/>
      <c r="DTD12" s="20"/>
      <c r="DTE12" s="20"/>
      <c r="DTF12" s="20"/>
      <c r="DTG12" s="20"/>
      <c r="DTH12" s="20"/>
      <c r="DTI12" s="20"/>
      <c r="DTJ12" s="20"/>
      <c r="DTK12" s="20"/>
      <c r="DTL12" s="20"/>
      <c r="DTM12" s="20"/>
      <c r="DTN12" s="20"/>
      <c r="DTO12" s="20"/>
      <c r="DTP12" s="20"/>
      <c r="DTQ12" s="20"/>
      <c r="DTR12" s="20"/>
      <c r="DTS12" s="20"/>
      <c r="DTT12" s="20"/>
      <c r="DTU12" s="20"/>
      <c r="DTV12" s="20"/>
      <c r="DTW12" s="20"/>
      <c r="DTX12" s="20"/>
      <c r="DTY12" s="20"/>
      <c r="DTZ12" s="20"/>
      <c r="DUA12" s="20"/>
      <c r="DUB12" s="20"/>
      <c r="DUC12" s="20"/>
      <c r="DUD12" s="20"/>
      <c r="DUE12" s="20"/>
      <c r="DUF12" s="20"/>
      <c r="DUG12" s="20"/>
      <c r="DUH12" s="20"/>
      <c r="DUI12" s="20"/>
      <c r="DUJ12" s="20"/>
      <c r="DUK12" s="20"/>
      <c r="DUL12" s="20"/>
      <c r="DUM12" s="20"/>
      <c r="DUN12" s="20"/>
      <c r="DUO12" s="20"/>
      <c r="DUP12" s="20"/>
      <c r="DUQ12" s="20"/>
      <c r="DUR12" s="20"/>
      <c r="DUS12" s="20"/>
      <c r="DUT12" s="20"/>
      <c r="DUU12" s="20"/>
      <c r="DUV12" s="20"/>
      <c r="DUW12" s="20"/>
      <c r="DUX12" s="20"/>
      <c r="DUY12" s="20"/>
      <c r="DUZ12" s="20"/>
      <c r="DVA12" s="20"/>
      <c r="DVB12" s="20"/>
      <c r="DVC12" s="20"/>
      <c r="DVD12" s="20"/>
      <c r="DVE12" s="20"/>
      <c r="DVF12" s="20"/>
      <c r="DVG12" s="20"/>
      <c r="DVH12" s="20"/>
      <c r="DVI12" s="20"/>
      <c r="DVJ12" s="20"/>
      <c r="DVK12" s="20"/>
      <c r="DVL12" s="20"/>
      <c r="DVM12" s="20"/>
      <c r="DVN12" s="20"/>
      <c r="DVO12" s="20"/>
      <c r="DVP12" s="20"/>
      <c r="DVQ12" s="20"/>
      <c r="DVR12" s="20"/>
      <c r="DVS12" s="20"/>
      <c r="DVT12" s="20"/>
      <c r="DVU12" s="20"/>
      <c r="DVV12" s="20"/>
      <c r="DVW12" s="20"/>
      <c r="DVX12" s="20"/>
      <c r="DVY12" s="20"/>
      <c r="DVZ12" s="20"/>
      <c r="DWA12" s="20"/>
      <c r="DWB12" s="20"/>
      <c r="DWC12" s="20"/>
      <c r="DWD12" s="20"/>
      <c r="DWE12" s="20"/>
      <c r="DWF12" s="20"/>
      <c r="DWG12" s="20"/>
      <c r="DWH12" s="20"/>
      <c r="DWI12" s="20"/>
      <c r="DWJ12" s="20"/>
      <c r="DWK12" s="20"/>
      <c r="DWL12" s="20"/>
      <c r="DWM12" s="20"/>
      <c r="DWN12" s="20"/>
      <c r="DWO12" s="20"/>
      <c r="DWP12" s="20"/>
      <c r="DWQ12" s="20"/>
      <c r="DWR12" s="20"/>
      <c r="DWS12" s="20"/>
      <c r="DWT12" s="20"/>
      <c r="DWU12" s="20"/>
      <c r="DWV12" s="20"/>
      <c r="DWW12" s="20"/>
      <c r="DWX12" s="20"/>
      <c r="DWY12" s="20"/>
      <c r="DWZ12" s="20"/>
      <c r="DXA12" s="20"/>
      <c r="DXB12" s="20"/>
      <c r="DXC12" s="20"/>
      <c r="DXD12" s="20"/>
      <c r="DXE12" s="20"/>
      <c r="DXF12" s="20"/>
      <c r="DXG12" s="20"/>
      <c r="DXH12" s="20"/>
      <c r="DXI12" s="20"/>
      <c r="DXJ12" s="20"/>
      <c r="DXK12" s="20"/>
      <c r="DXL12" s="20"/>
      <c r="DXM12" s="20"/>
      <c r="DXN12" s="20"/>
      <c r="DXO12" s="20"/>
      <c r="DXP12" s="20"/>
      <c r="DXQ12" s="20"/>
      <c r="DXR12" s="20"/>
      <c r="DXS12" s="20"/>
      <c r="DXT12" s="20"/>
      <c r="DXU12" s="20"/>
      <c r="DXV12" s="20"/>
      <c r="DXW12" s="20"/>
      <c r="DXX12" s="20"/>
      <c r="DXY12" s="20"/>
      <c r="DXZ12" s="20"/>
      <c r="DYA12" s="20"/>
      <c r="DYB12" s="20"/>
      <c r="DYC12" s="20"/>
      <c r="DYD12" s="20"/>
      <c r="DYE12" s="20"/>
      <c r="DYF12" s="20"/>
      <c r="DYG12" s="20"/>
      <c r="DYH12" s="20"/>
      <c r="DYI12" s="20"/>
      <c r="DYJ12" s="20"/>
      <c r="DYK12" s="20"/>
      <c r="DYL12" s="20"/>
      <c r="DYM12" s="20"/>
      <c r="DYN12" s="20"/>
      <c r="DYO12" s="20"/>
      <c r="DYP12" s="20"/>
      <c r="DYQ12" s="20"/>
      <c r="DYR12" s="20"/>
      <c r="DYS12" s="20"/>
      <c r="DYT12" s="20"/>
      <c r="DYU12" s="20"/>
      <c r="DYV12" s="20"/>
      <c r="DYW12" s="20"/>
      <c r="DYX12" s="20"/>
      <c r="DYY12" s="20"/>
      <c r="DYZ12" s="20"/>
      <c r="DZA12" s="20"/>
      <c r="DZB12" s="20"/>
      <c r="DZC12" s="20"/>
      <c r="DZD12" s="20"/>
      <c r="DZE12" s="20"/>
      <c r="DZF12" s="20"/>
      <c r="DZG12" s="20"/>
      <c r="DZH12" s="20"/>
      <c r="DZI12" s="20"/>
      <c r="DZJ12" s="20"/>
      <c r="DZK12" s="20"/>
      <c r="DZL12" s="20"/>
      <c r="DZM12" s="20"/>
      <c r="DZN12" s="20"/>
      <c r="DZO12" s="20"/>
      <c r="DZP12" s="20"/>
      <c r="DZQ12" s="20"/>
      <c r="DZR12" s="20"/>
      <c r="DZS12" s="20"/>
      <c r="DZT12" s="20"/>
      <c r="DZU12" s="20"/>
      <c r="DZV12" s="20"/>
      <c r="DZW12" s="20"/>
      <c r="DZX12" s="20"/>
      <c r="DZY12" s="20"/>
      <c r="DZZ12" s="20"/>
      <c r="EAA12" s="20"/>
      <c r="EAB12" s="20"/>
      <c r="EAC12" s="20"/>
      <c r="EAD12" s="20"/>
      <c r="EAE12" s="20"/>
      <c r="EAF12" s="20"/>
      <c r="EAG12" s="20"/>
      <c r="EAH12" s="20"/>
      <c r="EAI12" s="20"/>
      <c r="EAJ12" s="20"/>
      <c r="EAK12" s="20"/>
      <c r="EAL12" s="20"/>
      <c r="EAM12" s="20"/>
      <c r="EAN12" s="20"/>
      <c r="EAO12" s="20"/>
      <c r="EAP12" s="20"/>
      <c r="EAQ12" s="20"/>
      <c r="EAR12" s="20"/>
      <c r="EAS12" s="20"/>
      <c r="EAT12" s="20"/>
      <c r="EAU12" s="20"/>
      <c r="EAV12" s="20"/>
      <c r="EAW12" s="20"/>
      <c r="EAX12" s="20"/>
      <c r="EAY12" s="20"/>
      <c r="EAZ12" s="20"/>
      <c r="EBA12" s="20"/>
      <c r="EBB12" s="20"/>
      <c r="EBC12" s="20"/>
      <c r="EBD12" s="20"/>
      <c r="EBE12" s="20"/>
      <c r="EBF12" s="20"/>
      <c r="EBG12" s="20"/>
      <c r="EBH12" s="20"/>
      <c r="EBI12" s="20"/>
      <c r="EBJ12" s="20"/>
      <c r="EBK12" s="20"/>
      <c r="EBL12" s="20"/>
      <c r="EBM12" s="20"/>
      <c r="EBN12" s="20"/>
      <c r="EBO12" s="20"/>
      <c r="EBP12" s="20"/>
      <c r="EBQ12" s="20"/>
      <c r="EBR12" s="20"/>
      <c r="EBS12" s="20"/>
      <c r="EBT12" s="20"/>
      <c r="EBU12" s="20"/>
      <c r="EBV12" s="20"/>
      <c r="EBW12" s="20"/>
      <c r="EBX12" s="20"/>
      <c r="EBY12" s="20"/>
      <c r="EBZ12" s="20"/>
      <c r="ECA12" s="20"/>
      <c r="ECB12" s="20"/>
      <c r="ECC12" s="20"/>
      <c r="ECD12" s="20"/>
      <c r="ECE12" s="20"/>
      <c r="ECF12" s="20"/>
      <c r="ECG12" s="20"/>
      <c r="ECH12" s="20"/>
      <c r="ECI12" s="20"/>
      <c r="ECJ12" s="20"/>
      <c r="ECK12" s="20"/>
      <c r="ECL12" s="20"/>
      <c r="ECM12" s="20"/>
      <c r="ECN12" s="20"/>
      <c r="ECO12" s="20"/>
      <c r="ECP12" s="20"/>
      <c r="ECQ12" s="20"/>
      <c r="ECR12" s="20"/>
      <c r="ECS12" s="20"/>
      <c r="ECT12" s="20"/>
      <c r="ECU12" s="20"/>
      <c r="ECV12" s="20"/>
      <c r="ECW12" s="20"/>
      <c r="ECX12" s="20"/>
      <c r="ECY12" s="20"/>
      <c r="ECZ12" s="20"/>
      <c r="EDA12" s="20"/>
      <c r="EDB12" s="20"/>
      <c r="EDC12" s="20"/>
      <c r="EDD12" s="20"/>
      <c r="EDE12" s="20"/>
      <c r="EDF12" s="20"/>
      <c r="EDG12" s="20"/>
      <c r="EDH12" s="20"/>
      <c r="EDI12" s="20"/>
      <c r="EDJ12" s="20"/>
      <c r="EDK12" s="20"/>
      <c r="EDL12" s="20"/>
      <c r="EDM12" s="20"/>
      <c r="EDN12" s="20"/>
      <c r="EDO12" s="20"/>
      <c r="EDP12" s="20"/>
      <c r="EDQ12" s="20"/>
      <c r="EDR12" s="20"/>
      <c r="EDS12" s="20"/>
      <c r="EDT12" s="20"/>
      <c r="EDU12" s="20"/>
      <c r="EDV12" s="20"/>
      <c r="EDW12" s="20"/>
      <c r="EDX12" s="20"/>
      <c r="EDY12" s="20"/>
      <c r="EDZ12" s="20"/>
      <c r="EEA12" s="20"/>
      <c r="EEB12" s="20"/>
      <c r="EEC12" s="20"/>
      <c r="EED12" s="20"/>
      <c r="EEE12" s="20"/>
      <c r="EEF12" s="20"/>
      <c r="EEG12" s="20"/>
      <c r="EEH12" s="20"/>
      <c r="EEI12" s="20"/>
      <c r="EEJ12" s="20"/>
      <c r="EEK12" s="20"/>
      <c r="EEL12" s="20"/>
      <c r="EEM12" s="20"/>
      <c r="EEN12" s="20"/>
      <c r="EEO12" s="20"/>
      <c r="EEP12" s="20"/>
      <c r="EEQ12" s="20"/>
      <c r="EER12" s="20"/>
      <c r="EES12" s="20"/>
      <c r="EET12" s="20"/>
      <c r="EEU12" s="20"/>
      <c r="EEV12" s="20"/>
      <c r="EEW12" s="20"/>
      <c r="EEX12" s="20"/>
      <c r="EEY12" s="20"/>
      <c r="EEZ12" s="20"/>
      <c r="EFA12" s="20"/>
      <c r="EFB12" s="20"/>
      <c r="EFC12" s="20"/>
      <c r="EFD12" s="20"/>
      <c r="EFE12" s="20"/>
      <c r="EFF12" s="20"/>
      <c r="EFG12" s="20"/>
      <c r="EFH12" s="20"/>
      <c r="EFI12" s="20"/>
      <c r="EFJ12" s="20"/>
      <c r="EFK12" s="20"/>
      <c r="EFL12" s="20"/>
      <c r="EFM12" s="20"/>
      <c r="EFN12" s="20"/>
      <c r="EFO12" s="20"/>
      <c r="EFP12" s="20"/>
      <c r="EFQ12" s="20"/>
      <c r="EFR12" s="20"/>
      <c r="EFS12" s="20"/>
      <c r="EFT12" s="20"/>
      <c r="EFU12" s="20"/>
      <c r="EFV12" s="20"/>
      <c r="EFW12" s="20"/>
      <c r="EFX12" s="20"/>
      <c r="EFY12" s="20"/>
      <c r="EFZ12" s="20"/>
      <c r="EGA12" s="20"/>
      <c r="EGB12" s="20"/>
      <c r="EGC12" s="20"/>
      <c r="EGD12" s="20"/>
      <c r="EGE12" s="20"/>
      <c r="EGF12" s="20"/>
      <c r="EGG12" s="20"/>
      <c r="EGH12" s="20"/>
      <c r="EGI12" s="20"/>
      <c r="EGJ12" s="20"/>
      <c r="EGK12" s="20"/>
      <c r="EGL12" s="20"/>
      <c r="EGM12" s="20"/>
      <c r="EGN12" s="20"/>
      <c r="EGO12" s="20"/>
      <c r="EGP12" s="20"/>
      <c r="EGQ12" s="20"/>
      <c r="EGR12" s="20"/>
      <c r="EGS12" s="20"/>
      <c r="EGT12" s="20"/>
      <c r="EGU12" s="20"/>
      <c r="EGV12" s="20"/>
      <c r="EGW12" s="20"/>
      <c r="EGX12" s="20"/>
      <c r="EGY12" s="20"/>
      <c r="EGZ12" s="20"/>
      <c r="EHA12" s="20"/>
      <c r="EHB12" s="20"/>
      <c r="EHC12" s="20"/>
      <c r="EHD12" s="20"/>
      <c r="EHE12" s="20"/>
      <c r="EHF12" s="20"/>
      <c r="EHG12" s="20"/>
      <c r="EHH12" s="20"/>
      <c r="EHI12" s="20"/>
      <c r="EHJ12" s="20"/>
      <c r="EHK12" s="20"/>
      <c r="EHL12" s="20"/>
      <c r="EHM12" s="20"/>
      <c r="EHN12" s="20"/>
      <c r="EHO12" s="20"/>
      <c r="EHP12" s="20"/>
      <c r="EHQ12" s="20"/>
      <c r="EHR12" s="20"/>
      <c r="EHS12" s="20"/>
      <c r="EHT12" s="20"/>
      <c r="EHU12" s="20"/>
      <c r="EHV12" s="20"/>
      <c r="EHW12" s="20"/>
      <c r="EHX12" s="20"/>
      <c r="EHY12" s="20"/>
      <c r="EHZ12" s="20"/>
      <c r="EIA12" s="20"/>
      <c r="EIB12" s="20"/>
      <c r="EIC12" s="20"/>
      <c r="EID12" s="20"/>
      <c r="EIE12" s="20"/>
      <c r="EIF12" s="20"/>
      <c r="EIG12" s="20"/>
      <c r="EIH12" s="20"/>
      <c r="EII12" s="20"/>
      <c r="EIJ12" s="20"/>
      <c r="EIK12" s="20"/>
      <c r="EIL12" s="20"/>
      <c r="EIM12" s="20"/>
      <c r="EIN12" s="20"/>
      <c r="EIO12" s="20"/>
      <c r="EIP12" s="20"/>
      <c r="EIQ12" s="20"/>
      <c r="EIR12" s="20"/>
      <c r="EIS12" s="20"/>
      <c r="EIT12" s="20"/>
      <c r="EIU12" s="20"/>
      <c r="EIV12" s="20"/>
      <c r="EIW12" s="20"/>
      <c r="EIX12" s="20"/>
      <c r="EIY12" s="20"/>
      <c r="EIZ12" s="20"/>
      <c r="EJA12" s="20"/>
      <c r="EJB12" s="20"/>
      <c r="EJC12" s="20"/>
      <c r="EJD12" s="20"/>
      <c r="EJE12" s="20"/>
      <c r="EJF12" s="20"/>
      <c r="EJG12" s="20"/>
      <c r="EJH12" s="20"/>
      <c r="EJI12" s="20"/>
      <c r="EJJ12" s="20"/>
      <c r="EJK12" s="20"/>
      <c r="EJL12" s="20"/>
      <c r="EJM12" s="20"/>
      <c r="EJN12" s="20"/>
      <c r="EJO12" s="20"/>
      <c r="EJP12" s="20"/>
      <c r="EJQ12" s="20"/>
      <c r="EJR12" s="20"/>
      <c r="EJS12" s="20"/>
      <c r="EJT12" s="20"/>
      <c r="EJU12" s="20"/>
      <c r="EJV12" s="20"/>
      <c r="EJW12" s="20"/>
      <c r="EJX12" s="20"/>
      <c r="EJY12" s="20"/>
      <c r="EJZ12" s="20"/>
      <c r="EKA12" s="20"/>
      <c r="EKB12" s="20"/>
      <c r="EKC12" s="20"/>
      <c r="EKD12" s="20"/>
      <c r="EKE12" s="20"/>
      <c r="EKF12" s="20"/>
      <c r="EKG12" s="20"/>
      <c r="EKH12" s="20"/>
      <c r="EKI12" s="20"/>
      <c r="EKJ12" s="20"/>
      <c r="EKK12" s="20"/>
      <c r="EKL12" s="20"/>
      <c r="EKM12" s="20"/>
      <c r="EKN12" s="20"/>
      <c r="EKO12" s="20"/>
      <c r="EKP12" s="20"/>
      <c r="EKQ12" s="20"/>
      <c r="EKR12" s="20"/>
      <c r="EKS12" s="20"/>
      <c r="EKT12" s="20"/>
      <c r="EKU12" s="20"/>
      <c r="EKV12" s="20"/>
      <c r="EKW12" s="20"/>
      <c r="EKX12" s="20"/>
      <c r="EKY12" s="20"/>
      <c r="EKZ12" s="20"/>
      <c r="ELA12" s="20"/>
      <c r="ELB12" s="20"/>
      <c r="ELC12" s="20"/>
      <c r="ELD12" s="20"/>
      <c r="ELE12" s="20"/>
      <c r="ELF12" s="20"/>
      <c r="ELG12" s="20"/>
      <c r="ELH12" s="20"/>
      <c r="ELI12" s="20"/>
      <c r="ELJ12" s="20"/>
      <c r="ELK12" s="20"/>
      <c r="ELL12" s="20"/>
      <c r="ELM12" s="20"/>
      <c r="ELN12" s="20"/>
      <c r="ELO12" s="20"/>
      <c r="ELP12" s="20"/>
      <c r="ELQ12" s="20"/>
      <c r="ELR12" s="20"/>
      <c r="ELS12" s="20"/>
      <c r="ELT12" s="20"/>
      <c r="ELU12" s="20"/>
      <c r="ELV12" s="20"/>
      <c r="ELW12" s="20"/>
      <c r="ELX12" s="20"/>
      <c r="ELY12" s="20"/>
      <c r="ELZ12" s="20"/>
      <c r="EMA12" s="20"/>
      <c r="EMB12" s="20"/>
      <c r="EMC12" s="20"/>
      <c r="EMD12" s="20"/>
      <c r="EME12" s="20"/>
      <c r="EMF12" s="20"/>
      <c r="EMG12" s="20"/>
      <c r="EMH12" s="20"/>
      <c r="EMI12" s="20"/>
      <c r="EMJ12" s="20"/>
      <c r="EMK12" s="20"/>
      <c r="EML12" s="20"/>
      <c r="EMM12" s="20"/>
      <c r="EMN12" s="20"/>
      <c r="EMO12" s="20"/>
      <c r="EMP12" s="20"/>
      <c r="EMQ12" s="20"/>
      <c r="EMR12" s="20"/>
      <c r="EMS12" s="20"/>
      <c r="EMT12" s="20"/>
      <c r="EMU12" s="20"/>
      <c r="EMV12" s="20"/>
      <c r="EMW12" s="20"/>
      <c r="EMX12" s="20"/>
      <c r="EMY12" s="20"/>
      <c r="EMZ12" s="20"/>
      <c r="ENA12" s="20"/>
      <c r="ENB12" s="20"/>
      <c r="ENC12" s="20"/>
      <c r="END12" s="20"/>
      <c r="ENE12" s="20"/>
      <c r="ENF12" s="20"/>
      <c r="ENG12" s="20"/>
      <c r="ENH12" s="20"/>
      <c r="ENI12" s="20"/>
      <c r="ENJ12" s="20"/>
      <c r="ENK12" s="20"/>
      <c r="ENL12" s="20"/>
      <c r="ENM12" s="20"/>
      <c r="ENN12" s="20"/>
      <c r="ENO12" s="20"/>
      <c r="ENP12" s="20"/>
      <c r="ENQ12" s="20"/>
      <c r="ENR12" s="20"/>
      <c r="ENS12" s="20"/>
      <c r="ENT12" s="20"/>
      <c r="ENU12" s="20"/>
      <c r="ENV12" s="20"/>
      <c r="ENW12" s="20"/>
      <c r="ENX12" s="20"/>
      <c r="ENY12" s="20"/>
      <c r="ENZ12" s="20"/>
      <c r="EOA12" s="20"/>
      <c r="EOB12" s="20"/>
      <c r="EOC12" s="20"/>
      <c r="EOD12" s="20"/>
      <c r="EOE12" s="20"/>
      <c r="EOF12" s="20"/>
      <c r="EOG12" s="20"/>
      <c r="EOH12" s="20"/>
      <c r="EOI12" s="20"/>
      <c r="EOJ12" s="20"/>
      <c r="EOK12" s="20"/>
      <c r="EOL12" s="20"/>
      <c r="EOM12" s="20"/>
      <c r="EON12" s="20"/>
      <c r="EOO12" s="20"/>
      <c r="EOP12" s="20"/>
      <c r="EOQ12" s="20"/>
      <c r="EOR12" s="20"/>
      <c r="EOS12" s="20"/>
      <c r="EOT12" s="20"/>
      <c r="EOU12" s="20"/>
      <c r="EOV12" s="20"/>
      <c r="EOW12" s="20"/>
      <c r="EOX12" s="20"/>
      <c r="EOY12" s="20"/>
      <c r="EOZ12" s="20"/>
      <c r="EPA12" s="20"/>
      <c r="EPB12" s="20"/>
      <c r="EPC12" s="20"/>
      <c r="EPD12" s="20"/>
      <c r="EPE12" s="20"/>
      <c r="EPF12" s="20"/>
      <c r="EPG12" s="20"/>
      <c r="EPH12" s="20"/>
      <c r="EPI12" s="20"/>
      <c r="EPJ12" s="20"/>
      <c r="EPK12" s="20"/>
      <c r="EPL12" s="20"/>
      <c r="EPM12" s="20"/>
      <c r="EPN12" s="20"/>
      <c r="EPO12" s="20"/>
      <c r="EPP12" s="20"/>
      <c r="EPQ12" s="20"/>
      <c r="EPR12" s="20"/>
      <c r="EPS12" s="20"/>
      <c r="EPT12" s="20"/>
      <c r="EPU12" s="20"/>
      <c r="EPV12" s="20"/>
      <c r="EPW12" s="20"/>
      <c r="EPX12" s="20"/>
      <c r="EPY12" s="20"/>
      <c r="EPZ12" s="20"/>
      <c r="EQA12" s="20"/>
      <c r="EQB12" s="20"/>
      <c r="EQC12" s="20"/>
      <c r="EQD12" s="20"/>
      <c r="EQE12" s="20"/>
      <c r="EQF12" s="20"/>
      <c r="EQG12" s="20"/>
      <c r="EQH12" s="20"/>
      <c r="EQI12" s="20"/>
      <c r="EQJ12" s="20"/>
      <c r="EQK12" s="20"/>
      <c r="EQL12" s="20"/>
      <c r="EQM12" s="20"/>
      <c r="EQN12" s="20"/>
      <c r="EQO12" s="20"/>
      <c r="EQP12" s="20"/>
      <c r="EQQ12" s="20"/>
      <c r="EQR12" s="20"/>
      <c r="EQS12" s="20"/>
      <c r="EQT12" s="20"/>
      <c r="EQU12" s="20"/>
      <c r="EQV12" s="20"/>
      <c r="EQW12" s="20"/>
      <c r="EQX12" s="20"/>
      <c r="EQY12" s="20"/>
      <c r="EQZ12" s="20"/>
      <c r="ERA12" s="20"/>
      <c r="ERB12" s="20"/>
      <c r="ERC12" s="20"/>
      <c r="ERD12" s="20"/>
      <c r="ERE12" s="20"/>
      <c r="ERF12" s="20"/>
      <c r="ERG12" s="20"/>
      <c r="ERH12" s="20"/>
      <c r="ERI12" s="20"/>
      <c r="ERJ12" s="20"/>
      <c r="ERK12" s="20"/>
      <c r="ERL12" s="20"/>
      <c r="ERM12" s="20"/>
      <c r="ERN12" s="20"/>
      <c r="ERO12" s="20"/>
      <c r="ERP12" s="20"/>
      <c r="ERQ12" s="20"/>
      <c r="ERR12" s="20"/>
      <c r="ERS12" s="20"/>
      <c r="ERT12" s="20"/>
      <c r="ERU12" s="20"/>
      <c r="ERV12" s="20"/>
      <c r="ERW12" s="20"/>
      <c r="ERX12" s="20"/>
      <c r="ERY12" s="20"/>
      <c r="ERZ12" s="20"/>
      <c r="ESA12" s="20"/>
      <c r="ESB12" s="20"/>
      <c r="ESC12" s="20"/>
      <c r="ESD12" s="20"/>
      <c r="ESE12" s="20"/>
      <c r="ESF12" s="20"/>
      <c r="ESG12" s="20"/>
      <c r="ESH12" s="20"/>
      <c r="ESI12" s="20"/>
      <c r="ESJ12" s="20"/>
      <c r="ESK12" s="20"/>
      <c r="ESL12" s="20"/>
      <c r="ESM12" s="20"/>
      <c r="ESN12" s="20"/>
      <c r="ESO12" s="20"/>
      <c r="ESP12" s="20"/>
      <c r="ESQ12" s="20"/>
      <c r="ESR12" s="20"/>
      <c r="ESS12" s="20"/>
      <c r="EST12" s="20"/>
      <c r="ESU12" s="20"/>
      <c r="ESV12" s="20"/>
      <c r="ESW12" s="20"/>
      <c r="ESX12" s="20"/>
      <c r="ESY12" s="20"/>
      <c r="ESZ12" s="20"/>
      <c r="ETA12" s="20"/>
      <c r="ETB12" s="20"/>
      <c r="ETC12" s="20"/>
      <c r="ETD12" s="20"/>
      <c r="ETE12" s="20"/>
      <c r="ETF12" s="20"/>
      <c r="ETG12" s="20"/>
      <c r="ETH12" s="20"/>
      <c r="ETI12" s="20"/>
      <c r="ETJ12" s="20"/>
      <c r="ETK12" s="20"/>
      <c r="ETL12" s="20"/>
      <c r="ETM12" s="20"/>
      <c r="ETN12" s="20"/>
      <c r="ETO12" s="20"/>
      <c r="ETP12" s="20"/>
      <c r="ETQ12" s="20"/>
      <c r="ETR12" s="20"/>
      <c r="ETS12" s="20"/>
      <c r="ETT12" s="20"/>
      <c r="ETU12" s="20"/>
      <c r="ETV12" s="20"/>
      <c r="ETW12" s="20"/>
      <c r="ETX12" s="20"/>
      <c r="ETY12" s="20"/>
      <c r="ETZ12" s="20"/>
      <c r="EUA12" s="20"/>
      <c r="EUB12" s="20"/>
      <c r="EUC12" s="20"/>
      <c r="EUD12" s="20"/>
      <c r="EUE12" s="20"/>
      <c r="EUF12" s="20"/>
      <c r="EUG12" s="20"/>
      <c r="EUH12" s="20"/>
      <c r="EUI12" s="20"/>
      <c r="EUJ12" s="20"/>
      <c r="EUK12" s="20"/>
      <c r="EUL12" s="20"/>
      <c r="EUM12" s="20"/>
      <c r="EUN12" s="20"/>
      <c r="EUO12" s="20"/>
      <c r="EUP12" s="20"/>
      <c r="EUQ12" s="20"/>
      <c r="EUR12" s="20"/>
      <c r="EUS12" s="20"/>
      <c r="EUT12" s="20"/>
      <c r="EUU12" s="20"/>
      <c r="EUV12" s="20"/>
      <c r="EUW12" s="20"/>
      <c r="EUX12" s="20"/>
      <c r="EUY12" s="20"/>
      <c r="EUZ12" s="20"/>
      <c r="EVA12" s="20"/>
      <c r="EVB12" s="20"/>
      <c r="EVC12" s="20"/>
      <c r="EVD12" s="20"/>
      <c r="EVE12" s="20"/>
      <c r="EVF12" s="20"/>
      <c r="EVG12" s="20"/>
      <c r="EVH12" s="20"/>
      <c r="EVI12" s="20"/>
      <c r="EVJ12" s="20"/>
      <c r="EVK12" s="20"/>
      <c r="EVL12" s="20"/>
      <c r="EVM12" s="20"/>
      <c r="EVN12" s="20"/>
      <c r="EVO12" s="20"/>
      <c r="EVP12" s="20"/>
      <c r="EVQ12" s="20"/>
      <c r="EVR12" s="20"/>
      <c r="EVS12" s="20"/>
      <c r="EVT12" s="20"/>
      <c r="EVU12" s="20"/>
      <c r="EVV12" s="20"/>
      <c r="EVW12" s="20"/>
      <c r="EVX12" s="20"/>
      <c r="EVY12" s="20"/>
      <c r="EVZ12" s="20"/>
      <c r="EWA12" s="20"/>
      <c r="EWB12" s="20"/>
      <c r="EWC12" s="20"/>
      <c r="EWD12" s="20"/>
      <c r="EWE12" s="20"/>
      <c r="EWF12" s="20"/>
      <c r="EWG12" s="20"/>
      <c r="EWH12" s="20"/>
      <c r="EWI12" s="20"/>
      <c r="EWJ12" s="20"/>
      <c r="EWK12" s="20"/>
      <c r="EWL12" s="20"/>
      <c r="EWM12" s="20"/>
      <c r="EWN12" s="20"/>
      <c r="EWO12" s="20"/>
      <c r="EWP12" s="20"/>
      <c r="EWQ12" s="20"/>
      <c r="EWR12" s="20"/>
      <c r="EWS12" s="20"/>
      <c r="EWT12" s="20"/>
      <c r="EWU12" s="20"/>
      <c r="EWV12" s="20"/>
      <c r="EWW12" s="20"/>
      <c r="EWX12" s="20"/>
      <c r="EWY12" s="20"/>
      <c r="EWZ12" s="20"/>
      <c r="EXA12" s="20"/>
      <c r="EXB12" s="20"/>
      <c r="EXC12" s="20"/>
      <c r="EXD12" s="20"/>
      <c r="EXE12" s="20"/>
      <c r="EXF12" s="20"/>
      <c r="EXG12" s="20"/>
      <c r="EXH12" s="20"/>
      <c r="EXI12" s="20"/>
      <c r="EXJ12" s="20"/>
      <c r="EXK12" s="20"/>
      <c r="EXL12" s="20"/>
      <c r="EXM12" s="20"/>
      <c r="EXN12" s="20"/>
      <c r="EXO12" s="20"/>
      <c r="EXP12" s="20"/>
      <c r="EXQ12" s="20"/>
      <c r="EXR12" s="20"/>
      <c r="EXS12" s="20"/>
      <c r="EXT12" s="20"/>
      <c r="EXU12" s="20"/>
      <c r="EXV12" s="20"/>
      <c r="EXW12" s="20"/>
      <c r="EXX12" s="20"/>
      <c r="EXY12" s="20"/>
      <c r="EXZ12" s="20"/>
      <c r="EYA12" s="20"/>
      <c r="EYB12" s="20"/>
      <c r="EYC12" s="20"/>
      <c r="EYD12" s="20"/>
      <c r="EYE12" s="20"/>
      <c r="EYF12" s="20"/>
      <c r="EYG12" s="20"/>
      <c r="EYH12" s="20"/>
      <c r="EYI12" s="20"/>
      <c r="EYJ12" s="20"/>
      <c r="EYK12" s="20"/>
      <c r="EYL12" s="20"/>
      <c r="EYM12" s="20"/>
      <c r="EYN12" s="20"/>
      <c r="EYO12" s="20"/>
      <c r="EYP12" s="20"/>
      <c r="EYQ12" s="20"/>
      <c r="EYR12" s="20"/>
      <c r="EYS12" s="20"/>
      <c r="EYT12" s="20"/>
      <c r="EYU12" s="20"/>
      <c r="EYV12" s="20"/>
      <c r="EYW12" s="20"/>
      <c r="EYX12" s="20"/>
      <c r="EYY12" s="20"/>
      <c r="EYZ12" s="20"/>
      <c r="EZA12" s="20"/>
      <c r="EZB12" s="20"/>
      <c r="EZC12" s="20"/>
      <c r="EZD12" s="20"/>
      <c r="EZE12" s="20"/>
      <c r="EZF12" s="20"/>
      <c r="EZG12" s="20"/>
      <c r="EZH12" s="20"/>
      <c r="EZI12" s="20"/>
      <c r="EZJ12" s="20"/>
      <c r="EZK12" s="20"/>
      <c r="EZL12" s="20"/>
      <c r="EZM12" s="20"/>
      <c r="EZN12" s="20"/>
      <c r="EZO12" s="20"/>
      <c r="EZP12" s="20"/>
      <c r="EZQ12" s="20"/>
      <c r="EZR12" s="20"/>
      <c r="EZS12" s="20"/>
      <c r="EZT12" s="20"/>
      <c r="EZU12" s="20"/>
      <c r="EZV12" s="20"/>
      <c r="EZW12" s="20"/>
      <c r="EZX12" s="20"/>
      <c r="EZY12" s="20"/>
      <c r="EZZ12" s="20"/>
      <c r="FAA12" s="20"/>
      <c r="FAB12" s="20"/>
      <c r="FAC12" s="20"/>
      <c r="FAD12" s="20"/>
      <c r="FAE12" s="20"/>
      <c r="FAF12" s="20"/>
      <c r="FAG12" s="20"/>
      <c r="FAH12" s="20"/>
      <c r="FAI12" s="20"/>
      <c r="FAJ12" s="20"/>
      <c r="FAK12" s="20"/>
      <c r="FAL12" s="20"/>
      <c r="FAM12" s="20"/>
      <c r="FAN12" s="20"/>
      <c r="FAO12" s="20"/>
      <c r="FAP12" s="20"/>
      <c r="FAQ12" s="20"/>
      <c r="FAR12" s="20"/>
      <c r="FAS12" s="20"/>
      <c r="FAT12" s="20"/>
      <c r="FAU12" s="20"/>
      <c r="FAV12" s="20"/>
      <c r="FAW12" s="20"/>
      <c r="FAX12" s="20"/>
      <c r="FAY12" s="20"/>
      <c r="FAZ12" s="20"/>
      <c r="FBA12" s="20"/>
      <c r="FBB12" s="20"/>
      <c r="FBC12" s="20"/>
      <c r="FBD12" s="20"/>
      <c r="FBE12" s="20"/>
      <c r="FBF12" s="20"/>
      <c r="FBG12" s="20"/>
      <c r="FBH12" s="20"/>
      <c r="FBI12" s="20"/>
      <c r="FBJ12" s="20"/>
      <c r="FBK12" s="20"/>
      <c r="FBL12" s="20"/>
      <c r="FBM12" s="20"/>
      <c r="FBN12" s="20"/>
      <c r="FBO12" s="20"/>
      <c r="FBP12" s="20"/>
      <c r="FBQ12" s="20"/>
      <c r="FBR12" s="20"/>
      <c r="FBS12" s="20"/>
      <c r="FBT12" s="20"/>
      <c r="FBU12" s="20"/>
      <c r="FBV12" s="20"/>
      <c r="FBW12" s="20"/>
      <c r="FBX12" s="20"/>
      <c r="FBY12" s="20"/>
      <c r="FBZ12" s="20"/>
      <c r="FCA12" s="20"/>
      <c r="FCB12" s="20"/>
      <c r="FCC12" s="20"/>
      <c r="FCD12" s="20"/>
      <c r="FCE12" s="20"/>
      <c r="FCF12" s="20"/>
      <c r="FCG12" s="20"/>
      <c r="FCH12" s="20"/>
      <c r="FCI12" s="20"/>
      <c r="FCJ12" s="20"/>
      <c r="FCK12" s="20"/>
      <c r="FCL12" s="20"/>
      <c r="FCM12" s="20"/>
      <c r="FCN12" s="20"/>
      <c r="FCO12" s="20"/>
      <c r="FCP12" s="20"/>
      <c r="FCQ12" s="20"/>
      <c r="FCR12" s="20"/>
      <c r="FCS12" s="20"/>
      <c r="FCT12" s="20"/>
      <c r="FCU12" s="20"/>
      <c r="FCV12" s="20"/>
      <c r="FCW12" s="20"/>
      <c r="FCX12" s="20"/>
      <c r="FCY12" s="20"/>
      <c r="FCZ12" s="20"/>
      <c r="FDA12" s="20"/>
      <c r="FDB12" s="20"/>
      <c r="FDC12" s="20"/>
      <c r="FDD12" s="20"/>
      <c r="FDE12" s="20"/>
      <c r="FDF12" s="20"/>
      <c r="FDG12" s="20"/>
      <c r="FDH12" s="20"/>
      <c r="FDI12" s="20"/>
      <c r="FDJ12" s="20"/>
      <c r="FDK12" s="20"/>
      <c r="FDL12" s="20"/>
      <c r="FDM12" s="20"/>
      <c r="FDN12" s="20"/>
      <c r="FDO12" s="20"/>
      <c r="FDP12" s="20"/>
      <c r="FDQ12" s="20"/>
      <c r="FDR12" s="20"/>
      <c r="FDS12" s="20"/>
      <c r="FDT12" s="20"/>
      <c r="FDU12" s="20"/>
      <c r="FDV12" s="20"/>
      <c r="FDW12" s="20"/>
      <c r="FDX12" s="20"/>
      <c r="FDY12" s="20"/>
      <c r="FDZ12" s="20"/>
      <c r="FEA12" s="20"/>
      <c r="FEB12" s="20"/>
      <c r="FEC12" s="20"/>
      <c r="FED12" s="20"/>
      <c r="FEE12" s="20"/>
      <c r="FEF12" s="20"/>
      <c r="FEG12" s="20"/>
      <c r="FEH12" s="20"/>
      <c r="FEI12" s="20"/>
      <c r="FEJ12" s="20"/>
      <c r="FEK12" s="20"/>
      <c r="FEL12" s="20"/>
      <c r="FEM12" s="20"/>
      <c r="FEN12" s="20"/>
      <c r="FEO12" s="20"/>
      <c r="FEP12" s="20"/>
      <c r="FEQ12" s="20"/>
      <c r="FER12" s="20"/>
      <c r="FES12" s="20"/>
      <c r="FET12" s="20"/>
      <c r="FEU12" s="20"/>
      <c r="FEV12" s="20"/>
      <c r="FEW12" s="20"/>
      <c r="FEX12" s="20"/>
      <c r="FEY12" s="20"/>
      <c r="FEZ12" s="20"/>
      <c r="FFA12" s="20"/>
      <c r="FFB12" s="20"/>
      <c r="FFC12" s="20"/>
      <c r="FFD12" s="20"/>
      <c r="FFE12" s="20"/>
      <c r="FFF12" s="20"/>
      <c r="FFG12" s="20"/>
      <c r="FFH12" s="20"/>
      <c r="FFI12" s="20"/>
      <c r="FFJ12" s="20"/>
      <c r="FFK12" s="20"/>
      <c r="FFL12" s="20"/>
      <c r="FFM12" s="20"/>
      <c r="FFN12" s="20"/>
      <c r="FFO12" s="20"/>
      <c r="FFP12" s="20"/>
      <c r="FFQ12" s="20"/>
      <c r="FFR12" s="20"/>
      <c r="FFS12" s="20"/>
      <c r="FFT12" s="20"/>
      <c r="FFU12" s="20"/>
      <c r="FFV12" s="20"/>
      <c r="FFW12" s="20"/>
      <c r="FFX12" s="20"/>
      <c r="FFY12" s="20"/>
      <c r="FFZ12" s="20"/>
      <c r="FGA12" s="20"/>
      <c r="FGB12" s="20"/>
      <c r="FGC12" s="20"/>
      <c r="FGD12" s="20"/>
      <c r="FGE12" s="20"/>
      <c r="FGF12" s="20"/>
      <c r="FGG12" s="20"/>
      <c r="FGH12" s="20"/>
      <c r="FGI12" s="20"/>
      <c r="FGJ12" s="20"/>
      <c r="FGK12" s="20"/>
      <c r="FGL12" s="20"/>
      <c r="FGM12" s="20"/>
      <c r="FGN12" s="20"/>
      <c r="FGO12" s="20"/>
      <c r="FGP12" s="20"/>
      <c r="FGQ12" s="20"/>
      <c r="FGR12" s="20"/>
      <c r="FGS12" s="20"/>
      <c r="FGT12" s="20"/>
      <c r="FGU12" s="20"/>
      <c r="FGV12" s="20"/>
      <c r="FGW12" s="20"/>
      <c r="FGX12" s="20"/>
      <c r="FGY12" s="20"/>
      <c r="FGZ12" s="20"/>
      <c r="FHA12" s="20"/>
      <c r="FHB12" s="20"/>
      <c r="FHC12" s="20"/>
      <c r="FHD12" s="20"/>
      <c r="FHE12" s="20"/>
      <c r="FHF12" s="20"/>
      <c r="FHG12" s="20"/>
      <c r="FHH12" s="20"/>
      <c r="FHI12" s="20"/>
      <c r="FHJ12" s="20"/>
      <c r="FHK12" s="20"/>
      <c r="FHL12" s="20"/>
      <c r="FHM12" s="20"/>
      <c r="FHN12" s="20"/>
      <c r="FHO12" s="20"/>
      <c r="FHP12" s="20"/>
      <c r="FHQ12" s="20"/>
      <c r="FHR12" s="20"/>
      <c r="FHS12" s="20"/>
      <c r="FHT12" s="20"/>
      <c r="FHU12" s="20"/>
      <c r="FHV12" s="20"/>
      <c r="FHW12" s="20"/>
      <c r="FHX12" s="20"/>
      <c r="FHY12" s="20"/>
      <c r="FHZ12" s="20"/>
      <c r="FIA12" s="20"/>
      <c r="FIB12" s="20"/>
      <c r="FIC12" s="20"/>
      <c r="FID12" s="20"/>
      <c r="FIE12" s="20"/>
      <c r="FIF12" s="20"/>
      <c r="FIG12" s="20"/>
      <c r="FIH12" s="20"/>
      <c r="FII12" s="20"/>
      <c r="FIJ12" s="20"/>
      <c r="FIK12" s="20"/>
      <c r="FIL12" s="20"/>
      <c r="FIM12" s="20"/>
      <c r="FIN12" s="20"/>
      <c r="FIO12" s="20"/>
      <c r="FIP12" s="20"/>
      <c r="FIQ12" s="20"/>
      <c r="FIR12" s="20"/>
      <c r="FIS12" s="20"/>
      <c r="FIT12" s="20"/>
      <c r="FIU12" s="20"/>
      <c r="FIV12" s="20"/>
      <c r="FIW12" s="20"/>
      <c r="FIX12" s="20"/>
      <c r="FIY12" s="20"/>
      <c r="FIZ12" s="20"/>
      <c r="FJA12" s="20"/>
      <c r="FJB12" s="20"/>
      <c r="FJC12" s="20"/>
      <c r="FJD12" s="20"/>
      <c r="FJE12" s="20"/>
      <c r="FJF12" s="20"/>
      <c r="FJG12" s="20"/>
      <c r="FJH12" s="20"/>
      <c r="FJI12" s="20"/>
      <c r="FJJ12" s="20"/>
      <c r="FJK12" s="20"/>
      <c r="FJL12" s="20"/>
      <c r="FJM12" s="20"/>
      <c r="FJN12" s="20"/>
      <c r="FJO12" s="20"/>
      <c r="FJP12" s="20"/>
      <c r="FJQ12" s="20"/>
      <c r="FJR12" s="20"/>
      <c r="FJS12" s="20"/>
      <c r="FJT12" s="20"/>
      <c r="FJU12" s="20"/>
      <c r="FJV12" s="20"/>
      <c r="FJW12" s="20"/>
      <c r="FJX12" s="20"/>
      <c r="FJY12" s="20"/>
      <c r="FJZ12" s="20"/>
      <c r="FKA12" s="20"/>
      <c r="FKB12" s="20"/>
      <c r="FKC12" s="20"/>
      <c r="FKD12" s="20"/>
      <c r="FKE12" s="20"/>
      <c r="FKF12" s="20"/>
      <c r="FKG12" s="20"/>
      <c r="FKH12" s="20"/>
      <c r="FKI12" s="20"/>
      <c r="FKJ12" s="20"/>
      <c r="FKK12" s="20"/>
      <c r="FKL12" s="20"/>
      <c r="FKM12" s="20"/>
      <c r="FKN12" s="20"/>
      <c r="FKO12" s="20"/>
      <c r="FKP12" s="20"/>
      <c r="FKQ12" s="20"/>
      <c r="FKR12" s="20"/>
      <c r="FKS12" s="20"/>
      <c r="FKT12" s="20"/>
      <c r="FKU12" s="20"/>
      <c r="FKV12" s="20"/>
      <c r="FKW12" s="20"/>
      <c r="FKX12" s="20"/>
      <c r="FKY12" s="20"/>
      <c r="FKZ12" s="20"/>
      <c r="FLA12" s="20"/>
      <c r="FLB12" s="20"/>
      <c r="FLC12" s="20"/>
      <c r="FLD12" s="20"/>
      <c r="FLE12" s="20"/>
      <c r="FLF12" s="20"/>
      <c r="FLG12" s="20"/>
      <c r="FLH12" s="20"/>
      <c r="FLI12" s="20"/>
      <c r="FLJ12" s="20"/>
      <c r="FLK12" s="20"/>
      <c r="FLL12" s="20"/>
      <c r="FLM12" s="20"/>
      <c r="FLN12" s="20"/>
      <c r="FLO12" s="20"/>
      <c r="FLP12" s="20"/>
      <c r="FLQ12" s="20"/>
      <c r="FLR12" s="20"/>
      <c r="FLS12" s="20"/>
      <c r="FLT12" s="20"/>
      <c r="FLU12" s="20"/>
      <c r="FLV12" s="20"/>
      <c r="FLW12" s="20"/>
      <c r="FLX12" s="20"/>
      <c r="FLY12" s="20"/>
      <c r="FLZ12" s="20"/>
      <c r="FMA12" s="20"/>
      <c r="FMB12" s="20"/>
      <c r="FMC12" s="20"/>
      <c r="FMD12" s="20"/>
      <c r="FME12" s="20"/>
      <c r="FMF12" s="20"/>
      <c r="FMG12" s="20"/>
      <c r="FMH12" s="20"/>
      <c r="FMI12" s="20"/>
      <c r="FMJ12" s="20"/>
      <c r="FMK12" s="20"/>
      <c r="FML12" s="20"/>
      <c r="FMM12" s="20"/>
      <c r="FMN12" s="20"/>
      <c r="FMO12" s="20"/>
      <c r="FMP12" s="20"/>
      <c r="FMQ12" s="20"/>
      <c r="FMR12" s="20"/>
      <c r="FMS12" s="20"/>
      <c r="FMT12" s="20"/>
      <c r="FMU12" s="20"/>
      <c r="FMV12" s="20"/>
      <c r="FMW12" s="20"/>
      <c r="FMX12" s="20"/>
      <c r="FMY12" s="20"/>
      <c r="FMZ12" s="20"/>
      <c r="FNA12" s="20"/>
      <c r="FNB12" s="20"/>
      <c r="FNC12" s="20"/>
      <c r="FND12" s="20"/>
      <c r="FNE12" s="20"/>
      <c r="FNF12" s="20"/>
      <c r="FNG12" s="20"/>
      <c r="FNH12" s="20"/>
      <c r="FNI12" s="20"/>
      <c r="FNJ12" s="20"/>
      <c r="FNK12" s="20"/>
      <c r="FNL12" s="20"/>
      <c r="FNM12" s="20"/>
      <c r="FNN12" s="20"/>
      <c r="FNO12" s="20"/>
      <c r="FNP12" s="20"/>
      <c r="FNQ12" s="20"/>
      <c r="FNR12" s="20"/>
      <c r="FNS12" s="20"/>
      <c r="FNT12" s="20"/>
      <c r="FNU12" s="20"/>
      <c r="FNV12" s="20"/>
      <c r="FNW12" s="20"/>
      <c r="FNX12" s="20"/>
      <c r="FNY12" s="20"/>
      <c r="FNZ12" s="20"/>
      <c r="FOA12" s="20"/>
      <c r="FOB12" s="20"/>
      <c r="FOC12" s="20"/>
      <c r="FOD12" s="20"/>
      <c r="FOE12" s="20"/>
      <c r="FOF12" s="20"/>
      <c r="FOG12" s="20"/>
      <c r="FOH12" s="20"/>
      <c r="FOI12" s="20"/>
      <c r="FOJ12" s="20"/>
      <c r="FOK12" s="20"/>
      <c r="FOL12" s="20"/>
      <c r="FOM12" s="20"/>
      <c r="FON12" s="20"/>
      <c r="FOO12" s="20"/>
      <c r="FOP12" s="20"/>
      <c r="FOQ12" s="20"/>
      <c r="FOR12" s="20"/>
      <c r="FOS12" s="20"/>
      <c r="FOT12" s="20"/>
      <c r="FOU12" s="20"/>
      <c r="FOV12" s="20"/>
      <c r="FOW12" s="20"/>
      <c r="FOX12" s="20"/>
      <c r="FOY12" s="20"/>
      <c r="FOZ12" s="20"/>
      <c r="FPA12" s="20"/>
      <c r="FPB12" s="20"/>
      <c r="FPC12" s="20"/>
      <c r="FPD12" s="20"/>
      <c r="FPE12" s="20"/>
      <c r="FPF12" s="20"/>
      <c r="FPG12" s="20"/>
      <c r="FPH12" s="20"/>
      <c r="FPI12" s="20"/>
      <c r="FPJ12" s="20"/>
      <c r="FPK12" s="20"/>
      <c r="FPL12" s="20"/>
      <c r="FPM12" s="20"/>
      <c r="FPN12" s="20"/>
      <c r="FPO12" s="20"/>
      <c r="FPP12" s="20"/>
      <c r="FPQ12" s="20"/>
      <c r="FPR12" s="20"/>
      <c r="FPS12" s="20"/>
      <c r="FPT12" s="20"/>
      <c r="FPU12" s="20"/>
      <c r="FPV12" s="20"/>
      <c r="FPW12" s="20"/>
      <c r="FPX12" s="20"/>
      <c r="FPY12" s="20"/>
      <c r="FPZ12" s="20"/>
      <c r="FQA12" s="20"/>
      <c r="FQB12" s="20"/>
      <c r="FQC12" s="20"/>
      <c r="FQD12" s="20"/>
      <c r="FQE12" s="20"/>
      <c r="FQF12" s="20"/>
      <c r="FQG12" s="20"/>
      <c r="FQH12" s="20"/>
      <c r="FQI12" s="20"/>
      <c r="FQJ12" s="20"/>
      <c r="FQK12" s="20"/>
      <c r="FQL12" s="20"/>
      <c r="FQM12" s="20"/>
      <c r="FQN12" s="20"/>
      <c r="FQO12" s="20"/>
      <c r="FQP12" s="20"/>
      <c r="FQQ12" s="20"/>
      <c r="FQR12" s="20"/>
      <c r="FQS12" s="20"/>
      <c r="FQT12" s="20"/>
      <c r="FQU12" s="20"/>
      <c r="FQV12" s="20"/>
      <c r="FQW12" s="20"/>
      <c r="FQX12" s="20"/>
      <c r="FQY12" s="20"/>
      <c r="FQZ12" s="20"/>
      <c r="FRA12" s="20"/>
      <c r="FRB12" s="20"/>
      <c r="FRC12" s="20"/>
      <c r="FRD12" s="20"/>
      <c r="FRE12" s="20"/>
      <c r="FRF12" s="20"/>
      <c r="FRG12" s="20"/>
      <c r="FRH12" s="20"/>
      <c r="FRI12" s="20"/>
      <c r="FRJ12" s="20"/>
      <c r="FRK12" s="20"/>
      <c r="FRL12" s="20"/>
      <c r="FRM12" s="20"/>
      <c r="FRN12" s="20"/>
      <c r="FRO12" s="20"/>
      <c r="FRP12" s="20"/>
      <c r="FRQ12" s="20"/>
      <c r="FRR12" s="20"/>
      <c r="FRS12" s="20"/>
      <c r="FRT12" s="20"/>
      <c r="FRU12" s="20"/>
      <c r="FRV12" s="20"/>
      <c r="FRW12" s="20"/>
      <c r="FRX12" s="20"/>
      <c r="FRY12" s="20"/>
      <c r="FRZ12" s="20"/>
      <c r="FSA12" s="20"/>
      <c r="FSB12" s="20"/>
      <c r="FSC12" s="20"/>
      <c r="FSD12" s="20"/>
      <c r="FSE12" s="20"/>
      <c r="FSF12" s="20"/>
      <c r="FSG12" s="20"/>
      <c r="FSH12" s="20"/>
      <c r="FSI12" s="20"/>
      <c r="FSJ12" s="20"/>
      <c r="FSK12" s="20"/>
      <c r="FSL12" s="20"/>
      <c r="FSM12" s="20"/>
      <c r="FSN12" s="20"/>
      <c r="FSO12" s="20"/>
      <c r="FSP12" s="20"/>
      <c r="FSQ12" s="20"/>
      <c r="FSR12" s="20"/>
      <c r="FSS12" s="20"/>
      <c r="FST12" s="20"/>
      <c r="FSU12" s="20"/>
      <c r="FSV12" s="20"/>
      <c r="FSW12" s="20"/>
      <c r="FSX12" s="20"/>
      <c r="FSY12" s="20"/>
      <c r="FSZ12" s="20"/>
      <c r="FTA12" s="20"/>
      <c r="FTB12" s="20"/>
      <c r="FTC12" s="20"/>
      <c r="FTD12" s="20"/>
      <c r="FTE12" s="20"/>
      <c r="FTF12" s="20"/>
      <c r="FTG12" s="20"/>
      <c r="FTH12" s="20"/>
      <c r="FTI12" s="20"/>
      <c r="FTJ12" s="20"/>
      <c r="FTK12" s="20"/>
      <c r="FTL12" s="20"/>
      <c r="FTM12" s="20"/>
      <c r="FTN12" s="20"/>
      <c r="FTO12" s="20"/>
      <c r="FTP12" s="20"/>
      <c r="FTQ12" s="20"/>
      <c r="FTR12" s="20"/>
      <c r="FTS12" s="20"/>
      <c r="FTT12" s="20"/>
      <c r="FTU12" s="20"/>
      <c r="FTV12" s="20"/>
      <c r="FTW12" s="20"/>
      <c r="FTX12" s="20"/>
      <c r="FTY12" s="20"/>
      <c r="FTZ12" s="20"/>
      <c r="FUA12" s="20"/>
      <c r="FUB12" s="20"/>
      <c r="FUC12" s="20"/>
      <c r="FUD12" s="20"/>
      <c r="FUE12" s="20"/>
      <c r="FUF12" s="20"/>
      <c r="FUG12" s="20"/>
      <c r="FUH12" s="20"/>
      <c r="FUI12" s="20"/>
      <c r="FUJ12" s="20"/>
      <c r="FUK12" s="20"/>
      <c r="FUL12" s="20"/>
      <c r="FUM12" s="20"/>
      <c r="FUN12" s="20"/>
      <c r="FUO12" s="20"/>
      <c r="FUP12" s="20"/>
      <c r="FUQ12" s="20"/>
      <c r="FUR12" s="20"/>
      <c r="FUS12" s="20"/>
      <c r="FUT12" s="20"/>
      <c r="FUU12" s="20"/>
      <c r="FUV12" s="20"/>
      <c r="FUW12" s="20"/>
      <c r="FUX12" s="20"/>
      <c r="FUY12" s="20"/>
      <c r="FUZ12" s="20"/>
      <c r="FVA12" s="20"/>
      <c r="FVB12" s="20"/>
      <c r="FVC12" s="20"/>
      <c r="FVD12" s="20"/>
      <c r="FVE12" s="20"/>
      <c r="FVF12" s="20"/>
      <c r="FVG12" s="20"/>
      <c r="FVH12" s="20"/>
      <c r="FVI12" s="20"/>
      <c r="FVJ12" s="20"/>
      <c r="FVK12" s="20"/>
      <c r="FVL12" s="20"/>
      <c r="FVM12" s="20"/>
      <c r="FVN12" s="20"/>
      <c r="FVO12" s="20"/>
      <c r="FVP12" s="20"/>
      <c r="FVQ12" s="20"/>
      <c r="FVR12" s="20"/>
      <c r="FVS12" s="20"/>
      <c r="FVT12" s="20"/>
      <c r="FVU12" s="20"/>
      <c r="FVV12" s="20"/>
      <c r="FVW12" s="20"/>
      <c r="FVX12" s="20"/>
      <c r="FVY12" s="20"/>
      <c r="FVZ12" s="20"/>
      <c r="FWA12" s="20"/>
      <c r="FWB12" s="20"/>
      <c r="FWC12" s="20"/>
      <c r="FWD12" s="20"/>
      <c r="FWE12" s="20"/>
      <c r="FWF12" s="20"/>
      <c r="FWG12" s="20"/>
      <c r="FWH12" s="20"/>
      <c r="FWI12" s="20"/>
      <c r="FWJ12" s="20"/>
      <c r="FWK12" s="20"/>
      <c r="FWL12" s="20"/>
      <c r="FWM12" s="20"/>
      <c r="FWN12" s="20"/>
      <c r="FWO12" s="20"/>
      <c r="FWP12" s="20"/>
      <c r="FWQ12" s="20"/>
      <c r="FWR12" s="20"/>
      <c r="FWS12" s="20"/>
      <c r="FWT12" s="20"/>
      <c r="FWU12" s="20"/>
      <c r="FWV12" s="20"/>
      <c r="FWW12" s="20"/>
      <c r="FWX12" s="20"/>
      <c r="FWY12" s="20"/>
      <c r="FWZ12" s="20"/>
      <c r="FXA12" s="20"/>
      <c r="FXB12" s="20"/>
      <c r="FXC12" s="20"/>
      <c r="FXD12" s="20"/>
      <c r="FXE12" s="20"/>
      <c r="FXF12" s="20"/>
      <c r="FXG12" s="20"/>
      <c r="FXH12" s="20"/>
      <c r="FXI12" s="20"/>
      <c r="FXJ12" s="20"/>
      <c r="FXK12" s="20"/>
      <c r="FXL12" s="20"/>
      <c r="FXM12" s="20"/>
      <c r="FXN12" s="20"/>
      <c r="FXO12" s="20"/>
      <c r="FXP12" s="20"/>
      <c r="FXQ12" s="20"/>
      <c r="FXR12" s="20"/>
      <c r="FXS12" s="20"/>
      <c r="FXT12" s="20"/>
      <c r="FXU12" s="20"/>
      <c r="FXV12" s="20"/>
      <c r="FXW12" s="20"/>
      <c r="FXX12" s="20"/>
      <c r="FXY12" s="20"/>
      <c r="FXZ12" s="20"/>
      <c r="FYA12" s="20"/>
      <c r="FYB12" s="20"/>
      <c r="FYC12" s="20"/>
      <c r="FYD12" s="20"/>
      <c r="FYE12" s="20"/>
      <c r="FYF12" s="20"/>
      <c r="FYG12" s="20"/>
      <c r="FYH12" s="20"/>
      <c r="FYI12" s="20"/>
      <c r="FYJ12" s="20"/>
      <c r="FYK12" s="20"/>
      <c r="FYL12" s="20"/>
      <c r="FYM12" s="20"/>
      <c r="FYN12" s="20"/>
      <c r="FYO12" s="20"/>
      <c r="FYP12" s="20"/>
      <c r="FYQ12" s="20"/>
      <c r="FYR12" s="20"/>
      <c r="FYS12" s="20"/>
      <c r="FYT12" s="20"/>
      <c r="FYU12" s="20"/>
      <c r="FYV12" s="20"/>
      <c r="FYW12" s="20"/>
      <c r="FYX12" s="20"/>
      <c r="FYY12" s="20"/>
      <c r="FYZ12" s="20"/>
      <c r="FZA12" s="20"/>
      <c r="FZB12" s="20"/>
      <c r="FZC12" s="20"/>
      <c r="FZD12" s="20"/>
      <c r="FZE12" s="20"/>
      <c r="FZF12" s="20"/>
      <c r="FZG12" s="20"/>
      <c r="FZH12" s="20"/>
      <c r="FZI12" s="20"/>
      <c r="FZJ12" s="20"/>
      <c r="FZK12" s="20"/>
      <c r="FZL12" s="20"/>
      <c r="FZM12" s="20"/>
      <c r="FZN12" s="20"/>
      <c r="FZO12" s="20"/>
      <c r="FZP12" s="20"/>
      <c r="FZQ12" s="20"/>
      <c r="FZR12" s="20"/>
      <c r="FZS12" s="20"/>
      <c r="FZT12" s="20"/>
      <c r="FZU12" s="20"/>
      <c r="FZV12" s="20"/>
      <c r="FZW12" s="20"/>
      <c r="FZX12" s="20"/>
      <c r="FZY12" s="20"/>
      <c r="FZZ12" s="20"/>
      <c r="GAA12" s="20"/>
      <c r="GAB12" s="20"/>
      <c r="GAC12" s="20"/>
      <c r="GAD12" s="20"/>
      <c r="GAE12" s="20"/>
      <c r="GAF12" s="20"/>
      <c r="GAG12" s="20"/>
      <c r="GAH12" s="20"/>
      <c r="GAI12" s="20"/>
      <c r="GAJ12" s="20"/>
      <c r="GAK12" s="20"/>
      <c r="GAL12" s="20"/>
      <c r="GAM12" s="20"/>
      <c r="GAN12" s="20"/>
      <c r="GAO12" s="20"/>
      <c r="GAP12" s="20"/>
      <c r="GAQ12" s="20"/>
      <c r="GAR12" s="20"/>
      <c r="GAS12" s="20"/>
      <c r="GAT12" s="20"/>
      <c r="GAU12" s="20"/>
      <c r="GAV12" s="20"/>
      <c r="GAW12" s="20"/>
      <c r="GAX12" s="20"/>
      <c r="GAY12" s="20"/>
      <c r="GAZ12" s="20"/>
      <c r="GBA12" s="20"/>
      <c r="GBB12" s="20"/>
      <c r="GBC12" s="20"/>
      <c r="GBD12" s="20"/>
      <c r="GBE12" s="20"/>
      <c r="GBF12" s="20"/>
      <c r="GBG12" s="20"/>
      <c r="GBH12" s="20"/>
      <c r="GBI12" s="20"/>
      <c r="GBJ12" s="20"/>
      <c r="GBK12" s="20"/>
      <c r="GBL12" s="20"/>
      <c r="GBM12" s="20"/>
      <c r="GBN12" s="20"/>
      <c r="GBO12" s="20"/>
      <c r="GBP12" s="20"/>
      <c r="GBQ12" s="20"/>
      <c r="GBR12" s="20"/>
      <c r="GBS12" s="20"/>
      <c r="GBT12" s="20"/>
      <c r="GBU12" s="20"/>
      <c r="GBV12" s="20"/>
      <c r="GBW12" s="20"/>
      <c r="GBX12" s="20"/>
      <c r="GBY12" s="20"/>
      <c r="GBZ12" s="20"/>
      <c r="GCA12" s="20"/>
      <c r="GCB12" s="20"/>
      <c r="GCC12" s="20"/>
      <c r="GCD12" s="20"/>
      <c r="GCE12" s="20"/>
      <c r="GCF12" s="20"/>
      <c r="GCG12" s="20"/>
      <c r="GCH12" s="20"/>
      <c r="GCI12" s="20"/>
      <c r="GCJ12" s="20"/>
      <c r="GCK12" s="20"/>
      <c r="GCL12" s="20"/>
      <c r="GCM12" s="20"/>
      <c r="GCN12" s="20"/>
      <c r="GCO12" s="20"/>
      <c r="GCP12" s="20"/>
      <c r="GCQ12" s="20"/>
      <c r="GCR12" s="20"/>
      <c r="GCS12" s="20"/>
      <c r="GCT12" s="20"/>
      <c r="GCU12" s="20"/>
      <c r="GCV12" s="20"/>
      <c r="GCW12" s="20"/>
      <c r="GCX12" s="20"/>
      <c r="GCY12" s="20"/>
      <c r="GCZ12" s="20"/>
      <c r="GDA12" s="20"/>
      <c r="GDB12" s="20"/>
      <c r="GDC12" s="20"/>
      <c r="GDD12" s="20"/>
      <c r="GDE12" s="20"/>
      <c r="GDF12" s="20"/>
      <c r="GDG12" s="20"/>
      <c r="GDH12" s="20"/>
      <c r="GDI12" s="20"/>
      <c r="GDJ12" s="20"/>
      <c r="GDK12" s="20"/>
      <c r="GDL12" s="20"/>
      <c r="GDM12" s="20"/>
      <c r="GDN12" s="20"/>
      <c r="GDO12" s="20"/>
      <c r="GDP12" s="20"/>
      <c r="GDQ12" s="20"/>
      <c r="GDR12" s="20"/>
      <c r="GDS12" s="20"/>
      <c r="GDT12" s="20"/>
      <c r="GDU12" s="20"/>
      <c r="GDV12" s="20"/>
      <c r="GDW12" s="20"/>
      <c r="GDX12" s="20"/>
      <c r="GDY12" s="20"/>
      <c r="GDZ12" s="20"/>
      <c r="GEA12" s="20"/>
      <c r="GEB12" s="20"/>
      <c r="GEC12" s="20"/>
      <c r="GED12" s="20"/>
      <c r="GEE12" s="20"/>
      <c r="GEF12" s="20"/>
      <c r="GEG12" s="20"/>
      <c r="GEH12" s="20"/>
      <c r="GEI12" s="20"/>
      <c r="GEJ12" s="20"/>
      <c r="GEK12" s="20"/>
      <c r="GEL12" s="20"/>
      <c r="GEM12" s="20"/>
      <c r="GEN12" s="20"/>
      <c r="GEO12" s="20"/>
      <c r="GEP12" s="20"/>
      <c r="GEQ12" s="20"/>
      <c r="GER12" s="20"/>
      <c r="GES12" s="20"/>
      <c r="GET12" s="20"/>
      <c r="GEU12" s="20"/>
      <c r="GEV12" s="20"/>
      <c r="GEW12" s="20"/>
      <c r="GEX12" s="20"/>
      <c r="GEY12" s="20"/>
      <c r="GEZ12" s="20"/>
      <c r="GFA12" s="20"/>
      <c r="GFB12" s="20"/>
      <c r="GFC12" s="20"/>
      <c r="GFD12" s="20"/>
      <c r="GFE12" s="20"/>
      <c r="GFF12" s="20"/>
      <c r="GFG12" s="20"/>
      <c r="GFH12" s="20"/>
      <c r="GFI12" s="20"/>
      <c r="GFJ12" s="20"/>
      <c r="GFK12" s="20"/>
      <c r="GFL12" s="20"/>
      <c r="GFM12" s="20"/>
      <c r="GFN12" s="20"/>
      <c r="GFO12" s="20"/>
      <c r="GFP12" s="20"/>
      <c r="GFQ12" s="20"/>
      <c r="GFR12" s="20"/>
      <c r="GFS12" s="20"/>
      <c r="GFT12" s="20"/>
      <c r="GFU12" s="20"/>
      <c r="GFV12" s="20"/>
      <c r="GFW12" s="20"/>
      <c r="GFX12" s="20"/>
      <c r="GFY12" s="20"/>
      <c r="GFZ12" s="20"/>
      <c r="GGA12" s="20"/>
      <c r="GGB12" s="20"/>
      <c r="GGC12" s="20"/>
      <c r="GGD12" s="20"/>
      <c r="GGE12" s="20"/>
      <c r="GGF12" s="20"/>
      <c r="GGG12" s="20"/>
      <c r="GGH12" s="20"/>
      <c r="GGI12" s="20"/>
      <c r="GGJ12" s="20"/>
      <c r="GGK12" s="20"/>
      <c r="GGL12" s="20"/>
      <c r="GGM12" s="20"/>
      <c r="GGN12" s="20"/>
      <c r="GGO12" s="20"/>
      <c r="GGP12" s="20"/>
      <c r="GGQ12" s="20"/>
      <c r="GGR12" s="20"/>
      <c r="GGS12" s="20"/>
      <c r="GGT12" s="20"/>
      <c r="GGU12" s="20"/>
      <c r="GGV12" s="20"/>
      <c r="GGW12" s="20"/>
      <c r="GGX12" s="20"/>
      <c r="GGY12" s="20"/>
      <c r="GGZ12" s="20"/>
      <c r="GHA12" s="20"/>
      <c r="GHB12" s="20"/>
      <c r="GHC12" s="20"/>
      <c r="GHD12" s="20"/>
      <c r="GHE12" s="20"/>
      <c r="GHF12" s="20"/>
      <c r="GHG12" s="20"/>
      <c r="GHH12" s="20"/>
      <c r="GHI12" s="20"/>
      <c r="GHJ12" s="20"/>
      <c r="GHK12" s="20"/>
      <c r="GHL12" s="20"/>
      <c r="GHM12" s="20"/>
      <c r="GHN12" s="20"/>
      <c r="GHO12" s="20"/>
      <c r="GHP12" s="20"/>
      <c r="GHQ12" s="20"/>
      <c r="GHR12" s="20"/>
      <c r="GHS12" s="20"/>
      <c r="GHT12" s="20"/>
      <c r="GHU12" s="20"/>
      <c r="GHV12" s="20"/>
      <c r="GHW12" s="20"/>
      <c r="GHX12" s="20"/>
      <c r="GHY12" s="20"/>
      <c r="GHZ12" s="20"/>
      <c r="GIA12" s="20"/>
      <c r="GIB12" s="20"/>
      <c r="GIC12" s="20"/>
      <c r="GID12" s="20"/>
      <c r="GIE12" s="20"/>
      <c r="GIF12" s="20"/>
      <c r="GIG12" s="20"/>
      <c r="GIH12" s="20"/>
      <c r="GII12" s="20"/>
      <c r="GIJ12" s="20"/>
      <c r="GIK12" s="20"/>
      <c r="GIL12" s="20"/>
      <c r="GIM12" s="20"/>
      <c r="GIN12" s="20"/>
      <c r="GIO12" s="20"/>
      <c r="GIP12" s="20"/>
      <c r="GIQ12" s="20"/>
      <c r="GIR12" s="20"/>
      <c r="GIS12" s="20"/>
      <c r="GIT12" s="20"/>
      <c r="GIU12" s="20"/>
      <c r="GIV12" s="20"/>
      <c r="GIW12" s="20"/>
      <c r="GIX12" s="20"/>
      <c r="GIY12" s="20"/>
      <c r="GIZ12" s="20"/>
      <c r="GJA12" s="20"/>
      <c r="GJB12" s="20"/>
      <c r="GJC12" s="20"/>
      <c r="GJD12" s="20"/>
      <c r="GJE12" s="20"/>
      <c r="GJF12" s="20"/>
      <c r="GJG12" s="20"/>
      <c r="GJH12" s="20"/>
      <c r="GJI12" s="20"/>
      <c r="GJJ12" s="20"/>
      <c r="GJK12" s="20"/>
      <c r="GJL12" s="20"/>
      <c r="GJM12" s="20"/>
      <c r="GJN12" s="20"/>
      <c r="GJO12" s="20"/>
      <c r="GJP12" s="20"/>
      <c r="GJQ12" s="20"/>
      <c r="GJR12" s="20"/>
      <c r="GJS12" s="20"/>
      <c r="GJT12" s="20"/>
      <c r="GJU12" s="20"/>
      <c r="GJV12" s="20"/>
      <c r="GJW12" s="20"/>
      <c r="GJX12" s="20"/>
      <c r="GJY12" s="20"/>
      <c r="GJZ12" s="20"/>
      <c r="GKA12" s="20"/>
      <c r="GKB12" s="20"/>
      <c r="GKC12" s="20"/>
      <c r="GKD12" s="20"/>
      <c r="GKE12" s="20"/>
      <c r="GKF12" s="20"/>
      <c r="GKG12" s="20"/>
      <c r="GKH12" s="20"/>
      <c r="GKI12" s="20"/>
      <c r="GKJ12" s="20"/>
      <c r="GKK12" s="20"/>
      <c r="GKL12" s="20"/>
      <c r="GKM12" s="20"/>
      <c r="GKN12" s="20"/>
      <c r="GKO12" s="20"/>
      <c r="GKP12" s="20"/>
      <c r="GKQ12" s="20"/>
      <c r="GKR12" s="20"/>
      <c r="GKS12" s="20"/>
      <c r="GKT12" s="20"/>
      <c r="GKU12" s="20"/>
      <c r="GKV12" s="20"/>
      <c r="GKW12" s="20"/>
      <c r="GKX12" s="20"/>
      <c r="GKY12" s="20"/>
      <c r="GKZ12" s="20"/>
      <c r="GLA12" s="20"/>
      <c r="GLB12" s="20"/>
      <c r="GLC12" s="20"/>
      <c r="GLD12" s="20"/>
      <c r="GLE12" s="20"/>
      <c r="GLF12" s="20"/>
      <c r="GLG12" s="20"/>
      <c r="GLH12" s="20"/>
      <c r="GLI12" s="20"/>
      <c r="GLJ12" s="20"/>
      <c r="GLK12" s="20"/>
      <c r="GLL12" s="20"/>
      <c r="GLM12" s="20"/>
      <c r="GLN12" s="20"/>
      <c r="GLO12" s="20"/>
      <c r="GLP12" s="20"/>
      <c r="GLQ12" s="20"/>
      <c r="GLR12" s="20"/>
      <c r="GLS12" s="20"/>
      <c r="GLT12" s="20"/>
      <c r="GLU12" s="20"/>
      <c r="GLV12" s="20"/>
      <c r="GLW12" s="20"/>
      <c r="GLX12" s="20"/>
      <c r="GLY12" s="20"/>
      <c r="GLZ12" s="20"/>
      <c r="GMA12" s="20"/>
      <c r="GMB12" s="20"/>
      <c r="GMC12" s="20"/>
      <c r="GMD12" s="20"/>
      <c r="GME12" s="20"/>
      <c r="GMF12" s="20"/>
      <c r="GMG12" s="20"/>
      <c r="GMH12" s="20"/>
      <c r="GMI12" s="20"/>
      <c r="GMJ12" s="20"/>
      <c r="GMK12" s="20"/>
      <c r="GML12" s="20"/>
      <c r="GMM12" s="20"/>
      <c r="GMN12" s="20"/>
      <c r="GMO12" s="20"/>
      <c r="GMP12" s="20"/>
      <c r="GMQ12" s="20"/>
      <c r="GMR12" s="20"/>
      <c r="GMS12" s="20"/>
      <c r="GMT12" s="20"/>
      <c r="GMU12" s="20"/>
      <c r="GMV12" s="20"/>
      <c r="GMW12" s="20"/>
      <c r="GMX12" s="20"/>
      <c r="GMY12" s="20"/>
      <c r="GMZ12" s="20"/>
      <c r="GNA12" s="20"/>
      <c r="GNB12" s="20"/>
      <c r="GNC12" s="20"/>
      <c r="GND12" s="20"/>
      <c r="GNE12" s="20"/>
      <c r="GNF12" s="20"/>
      <c r="GNG12" s="20"/>
      <c r="GNH12" s="20"/>
      <c r="GNI12" s="20"/>
      <c r="GNJ12" s="20"/>
      <c r="GNK12" s="20"/>
      <c r="GNL12" s="20"/>
      <c r="GNM12" s="20"/>
      <c r="GNN12" s="20"/>
      <c r="GNO12" s="20"/>
      <c r="GNP12" s="20"/>
      <c r="GNQ12" s="20"/>
      <c r="GNR12" s="20"/>
      <c r="GNS12" s="20"/>
      <c r="GNT12" s="20"/>
      <c r="GNU12" s="20"/>
      <c r="GNV12" s="20"/>
      <c r="GNW12" s="20"/>
      <c r="GNX12" s="20"/>
      <c r="GNY12" s="20"/>
      <c r="GNZ12" s="20"/>
      <c r="GOA12" s="20"/>
      <c r="GOB12" s="20"/>
      <c r="GOC12" s="20"/>
      <c r="GOD12" s="20"/>
      <c r="GOE12" s="20"/>
      <c r="GOF12" s="20"/>
      <c r="GOG12" s="20"/>
      <c r="GOH12" s="20"/>
      <c r="GOI12" s="20"/>
      <c r="GOJ12" s="20"/>
      <c r="GOK12" s="20"/>
      <c r="GOL12" s="20"/>
      <c r="GOM12" s="20"/>
      <c r="GON12" s="20"/>
      <c r="GOO12" s="20"/>
      <c r="GOP12" s="20"/>
      <c r="GOQ12" s="20"/>
      <c r="GOR12" s="20"/>
      <c r="GOS12" s="20"/>
      <c r="GOT12" s="20"/>
      <c r="GOU12" s="20"/>
      <c r="GOV12" s="20"/>
      <c r="GOW12" s="20"/>
      <c r="GOX12" s="20"/>
      <c r="GOY12" s="20"/>
      <c r="GOZ12" s="20"/>
      <c r="GPA12" s="20"/>
      <c r="GPB12" s="20"/>
      <c r="GPC12" s="20"/>
      <c r="GPD12" s="20"/>
      <c r="GPE12" s="20"/>
      <c r="GPF12" s="20"/>
      <c r="GPG12" s="20"/>
      <c r="GPH12" s="20"/>
      <c r="GPI12" s="20"/>
      <c r="GPJ12" s="20"/>
      <c r="GPK12" s="20"/>
      <c r="GPL12" s="20"/>
      <c r="GPM12" s="20"/>
      <c r="GPN12" s="20"/>
      <c r="GPO12" s="20"/>
      <c r="GPP12" s="20"/>
      <c r="GPQ12" s="20"/>
      <c r="GPR12" s="20"/>
      <c r="GPS12" s="20"/>
      <c r="GPT12" s="20"/>
      <c r="GPU12" s="20"/>
      <c r="GPV12" s="20"/>
      <c r="GPW12" s="20"/>
      <c r="GPX12" s="20"/>
      <c r="GPY12" s="20"/>
      <c r="GPZ12" s="20"/>
      <c r="GQA12" s="20"/>
      <c r="GQB12" s="20"/>
      <c r="GQC12" s="20"/>
      <c r="GQD12" s="20"/>
      <c r="GQE12" s="20"/>
      <c r="GQF12" s="20"/>
      <c r="GQG12" s="20"/>
      <c r="GQH12" s="20"/>
      <c r="GQI12" s="20"/>
      <c r="GQJ12" s="20"/>
      <c r="GQK12" s="20"/>
      <c r="GQL12" s="20"/>
      <c r="GQM12" s="20"/>
      <c r="GQN12" s="20"/>
      <c r="GQO12" s="20"/>
      <c r="GQP12" s="20"/>
      <c r="GQQ12" s="20"/>
      <c r="GQR12" s="20"/>
      <c r="GQS12" s="20"/>
      <c r="GQT12" s="20"/>
      <c r="GQU12" s="20"/>
      <c r="GQV12" s="20"/>
      <c r="GQW12" s="20"/>
      <c r="GQX12" s="20"/>
      <c r="GQY12" s="20"/>
      <c r="GQZ12" s="20"/>
      <c r="GRA12" s="20"/>
      <c r="GRB12" s="20"/>
      <c r="GRC12" s="20"/>
      <c r="GRD12" s="20"/>
      <c r="GRE12" s="20"/>
      <c r="GRF12" s="20"/>
      <c r="GRG12" s="20"/>
      <c r="GRH12" s="20"/>
      <c r="GRI12" s="20"/>
      <c r="GRJ12" s="20"/>
      <c r="GRK12" s="20"/>
      <c r="GRL12" s="20"/>
      <c r="GRM12" s="20"/>
      <c r="GRN12" s="20"/>
      <c r="GRO12" s="20"/>
      <c r="GRP12" s="20"/>
      <c r="GRQ12" s="20"/>
      <c r="GRR12" s="20"/>
      <c r="GRS12" s="20"/>
      <c r="GRT12" s="20"/>
      <c r="GRU12" s="20"/>
      <c r="GRV12" s="20"/>
      <c r="GRW12" s="20"/>
      <c r="GRX12" s="20"/>
      <c r="GRY12" s="20"/>
      <c r="GRZ12" s="20"/>
      <c r="GSA12" s="20"/>
      <c r="GSB12" s="20"/>
      <c r="GSC12" s="20"/>
      <c r="GSD12" s="20"/>
      <c r="GSE12" s="20"/>
      <c r="GSF12" s="20"/>
      <c r="GSG12" s="20"/>
      <c r="GSH12" s="20"/>
      <c r="GSI12" s="20"/>
      <c r="GSJ12" s="20"/>
      <c r="GSK12" s="20"/>
      <c r="GSL12" s="20"/>
      <c r="GSM12" s="20"/>
      <c r="GSN12" s="20"/>
      <c r="GSO12" s="20"/>
      <c r="GSP12" s="20"/>
      <c r="GSQ12" s="20"/>
      <c r="GSR12" s="20"/>
      <c r="GSS12" s="20"/>
      <c r="GST12" s="20"/>
      <c r="GSU12" s="20"/>
      <c r="GSV12" s="20"/>
      <c r="GSW12" s="20"/>
      <c r="GSX12" s="20"/>
      <c r="GSY12" s="20"/>
      <c r="GSZ12" s="20"/>
      <c r="GTA12" s="20"/>
      <c r="GTB12" s="20"/>
      <c r="GTC12" s="20"/>
      <c r="GTD12" s="20"/>
      <c r="GTE12" s="20"/>
      <c r="GTF12" s="20"/>
      <c r="GTG12" s="20"/>
      <c r="GTH12" s="20"/>
      <c r="GTI12" s="20"/>
      <c r="GTJ12" s="20"/>
      <c r="GTK12" s="20"/>
      <c r="GTL12" s="20"/>
      <c r="GTM12" s="20"/>
      <c r="GTN12" s="20"/>
      <c r="GTO12" s="20"/>
      <c r="GTP12" s="20"/>
      <c r="GTQ12" s="20"/>
      <c r="GTR12" s="20"/>
      <c r="GTS12" s="20"/>
      <c r="GTT12" s="20"/>
      <c r="GTU12" s="20"/>
      <c r="GTV12" s="20"/>
      <c r="GTW12" s="20"/>
      <c r="GTX12" s="20"/>
      <c r="GTY12" s="20"/>
      <c r="GTZ12" s="20"/>
      <c r="GUA12" s="20"/>
      <c r="GUB12" s="20"/>
      <c r="GUC12" s="20"/>
      <c r="GUD12" s="20"/>
      <c r="GUE12" s="20"/>
      <c r="GUF12" s="20"/>
      <c r="GUG12" s="20"/>
      <c r="GUH12" s="20"/>
      <c r="GUI12" s="20"/>
      <c r="GUJ12" s="20"/>
      <c r="GUK12" s="20"/>
      <c r="GUL12" s="20"/>
      <c r="GUM12" s="20"/>
      <c r="GUN12" s="20"/>
      <c r="GUO12" s="20"/>
      <c r="GUP12" s="20"/>
      <c r="GUQ12" s="20"/>
      <c r="GUR12" s="20"/>
      <c r="GUS12" s="20"/>
      <c r="GUT12" s="20"/>
      <c r="GUU12" s="20"/>
      <c r="GUV12" s="20"/>
      <c r="GUW12" s="20"/>
      <c r="GUX12" s="20"/>
      <c r="GUY12" s="20"/>
      <c r="GUZ12" s="20"/>
      <c r="GVA12" s="20"/>
      <c r="GVB12" s="20"/>
      <c r="GVC12" s="20"/>
      <c r="GVD12" s="20"/>
      <c r="GVE12" s="20"/>
      <c r="GVF12" s="20"/>
      <c r="GVG12" s="20"/>
      <c r="GVH12" s="20"/>
      <c r="GVI12" s="20"/>
      <c r="GVJ12" s="20"/>
      <c r="GVK12" s="20"/>
      <c r="GVL12" s="20"/>
      <c r="GVM12" s="20"/>
      <c r="GVN12" s="20"/>
      <c r="GVO12" s="20"/>
      <c r="GVP12" s="20"/>
      <c r="GVQ12" s="20"/>
      <c r="GVR12" s="20"/>
      <c r="GVS12" s="20"/>
      <c r="GVT12" s="20"/>
      <c r="GVU12" s="20"/>
      <c r="GVV12" s="20"/>
      <c r="GVW12" s="20"/>
      <c r="GVX12" s="20"/>
      <c r="GVY12" s="20"/>
      <c r="GVZ12" s="20"/>
      <c r="GWA12" s="20"/>
      <c r="GWB12" s="20"/>
      <c r="GWC12" s="20"/>
      <c r="GWD12" s="20"/>
      <c r="GWE12" s="20"/>
      <c r="GWF12" s="20"/>
      <c r="GWG12" s="20"/>
      <c r="GWH12" s="20"/>
      <c r="GWI12" s="20"/>
      <c r="GWJ12" s="20"/>
      <c r="GWK12" s="20"/>
      <c r="GWL12" s="20"/>
      <c r="GWM12" s="20"/>
      <c r="GWN12" s="20"/>
      <c r="GWO12" s="20"/>
      <c r="GWP12" s="20"/>
      <c r="GWQ12" s="20"/>
      <c r="GWR12" s="20"/>
      <c r="GWS12" s="20"/>
      <c r="GWT12" s="20"/>
      <c r="GWU12" s="20"/>
      <c r="GWV12" s="20"/>
      <c r="GWW12" s="20"/>
      <c r="GWX12" s="20"/>
      <c r="GWY12" s="20"/>
      <c r="GWZ12" s="20"/>
      <c r="GXA12" s="20"/>
      <c r="GXB12" s="20"/>
      <c r="GXC12" s="20"/>
      <c r="GXD12" s="20"/>
      <c r="GXE12" s="20"/>
      <c r="GXF12" s="20"/>
      <c r="GXG12" s="20"/>
      <c r="GXH12" s="20"/>
      <c r="GXI12" s="20"/>
      <c r="GXJ12" s="20"/>
      <c r="GXK12" s="20"/>
      <c r="GXL12" s="20"/>
      <c r="GXM12" s="20"/>
      <c r="GXN12" s="20"/>
      <c r="GXO12" s="20"/>
      <c r="GXP12" s="20"/>
      <c r="GXQ12" s="20"/>
      <c r="GXR12" s="20"/>
      <c r="GXS12" s="20"/>
      <c r="GXT12" s="20"/>
      <c r="GXU12" s="20"/>
      <c r="GXV12" s="20"/>
      <c r="GXW12" s="20"/>
      <c r="GXX12" s="20"/>
      <c r="GXY12" s="20"/>
      <c r="GXZ12" s="20"/>
      <c r="GYA12" s="20"/>
      <c r="GYB12" s="20"/>
      <c r="GYC12" s="20"/>
      <c r="GYD12" s="20"/>
      <c r="GYE12" s="20"/>
      <c r="GYF12" s="20"/>
      <c r="GYG12" s="20"/>
      <c r="GYH12" s="20"/>
      <c r="GYI12" s="20"/>
      <c r="GYJ12" s="20"/>
      <c r="GYK12" s="20"/>
      <c r="GYL12" s="20"/>
      <c r="GYM12" s="20"/>
      <c r="GYN12" s="20"/>
      <c r="GYO12" s="20"/>
      <c r="GYP12" s="20"/>
      <c r="GYQ12" s="20"/>
      <c r="GYR12" s="20"/>
      <c r="GYS12" s="20"/>
      <c r="GYT12" s="20"/>
      <c r="GYU12" s="20"/>
      <c r="GYV12" s="20"/>
      <c r="GYW12" s="20"/>
      <c r="GYX12" s="20"/>
      <c r="GYY12" s="20"/>
      <c r="GYZ12" s="20"/>
      <c r="GZA12" s="20"/>
      <c r="GZB12" s="20"/>
      <c r="GZC12" s="20"/>
      <c r="GZD12" s="20"/>
      <c r="GZE12" s="20"/>
      <c r="GZF12" s="20"/>
      <c r="GZG12" s="20"/>
      <c r="GZH12" s="20"/>
      <c r="GZI12" s="20"/>
      <c r="GZJ12" s="20"/>
      <c r="GZK12" s="20"/>
      <c r="GZL12" s="20"/>
      <c r="GZM12" s="20"/>
      <c r="GZN12" s="20"/>
      <c r="GZO12" s="20"/>
      <c r="GZP12" s="20"/>
      <c r="GZQ12" s="20"/>
      <c r="GZR12" s="20"/>
      <c r="GZS12" s="20"/>
      <c r="GZT12" s="20"/>
      <c r="GZU12" s="20"/>
      <c r="GZV12" s="20"/>
      <c r="GZW12" s="20"/>
      <c r="GZX12" s="20"/>
      <c r="GZY12" s="20"/>
      <c r="GZZ12" s="20"/>
      <c r="HAA12" s="20"/>
      <c r="HAB12" s="20"/>
      <c r="HAC12" s="20"/>
      <c r="HAD12" s="20"/>
      <c r="HAE12" s="20"/>
      <c r="HAF12" s="20"/>
      <c r="HAG12" s="20"/>
      <c r="HAH12" s="20"/>
      <c r="HAI12" s="20"/>
      <c r="HAJ12" s="20"/>
      <c r="HAK12" s="20"/>
      <c r="HAL12" s="20"/>
      <c r="HAM12" s="20"/>
      <c r="HAN12" s="20"/>
      <c r="HAO12" s="20"/>
      <c r="HAP12" s="20"/>
      <c r="HAQ12" s="20"/>
      <c r="HAR12" s="20"/>
      <c r="HAS12" s="20"/>
      <c r="HAT12" s="20"/>
      <c r="HAU12" s="20"/>
      <c r="HAV12" s="20"/>
      <c r="HAW12" s="20"/>
      <c r="HAX12" s="20"/>
      <c r="HAY12" s="20"/>
      <c r="HAZ12" s="20"/>
      <c r="HBA12" s="20"/>
      <c r="HBB12" s="20"/>
      <c r="HBC12" s="20"/>
      <c r="HBD12" s="20"/>
      <c r="HBE12" s="20"/>
      <c r="HBF12" s="20"/>
      <c r="HBG12" s="20"/>
      <c r="HBH12" s="20"/>
      <c r="HBI12" s="20"/>
      <c r="HBJ12" s="20"/>
      <c r="HBK12" s="20"/>
      <c r="HBL12" s="20"/>
      <c r="HBM12" s="20"/>
      <c r="HBN12" s="20"/>
      <c r="HBO12" s="20"/>
      <c r="HBP12" s="20"/>
      <c r="HBQ12" s="20"/>
      <c r="HBR12" s="20"/>
      <c r="HBS12" s="20"/>
      <c r="HBT12" s="20"/>
      <c r="HBU12" s="20"/>
      <c r="HBV12" s="20"/>
      <c r="HBW12" s="20"/>
      <c r="HBX12" s="20"/>
      <c r="HBY12" s="20"/>
      <c r="HBZ12" s="20"/>
      <c r="HCA12" s="20"/>
      <c r="HCB12" s="20"/>
      <c r="HCC12" s="20"/>
      <c r="HCD12" s="20"/>
      <c r="HCE12" s="20"/>
      <c r="HCF12" s="20"/>
      <c r="HCG12" s="20"/>
      <c r="HCH12" s="20"/>
      <c r="HCI12" s="20"/>
      <c r="HCJ12" s="20"/>
      <c r="HCK12" s="20"/>
      <c r="HCL12" s="20"/>
      <c r="HCM12" s="20"/>
      <c r="HCN12" s="20"/>
      <c r="HCO12" s="20"/>
      <c r="HCP12" s="20"/>
      <c r="HCQ12" s="20"/>
      <c r="HCR12" s="20"/>
      <c r="HCS12" s="20"/>
      <c r="HCT12" s="20"/>
      <c r="HCU12" s="20"/>
      <c r="HCV12" s="20"/>
      <c r="HCW12" s="20"/>
      <c r="HCX12" s="20"/>
      <c r="HCY12" s="20"/>
      <c r="HCZ12" s="20"/>
      <c r="HDA12" s="20"/>
      <c r="HDB12" s="20"/>
      <c r="HDC12" s="20"/>
      <c r="HDD12" s="20"/>
      <c r="HDE12" s="20"/>
      <c r="HDF12" s="20"/>
      <c r="HDG12" s="20"/>
      <c r="HDH12" s="20"/>
      <c r="HDI12" s="20"/>
      <c r="HDJ12" s="20"/>
      <c r="HDK12" s="20"/>
      <c r="HDL12" s="20"/>
      <c r="HDM12" s="20"/>
      <c r="HDN12" s="20"/>
      <c r="HDO12" s="20"/>
      <c r="HDP12" s="20"/>
      <c r="HDQ12" s="20"/>
      <c r="HDR12" s="20"/>
      <c r="HDS12" s="20"/>
      <c r="HDT12" s="20"/>
      <c r="HDU12" s="20"/>
      <c r="HDV12" s="20"/>
      <c r="HDW12" s="20"/>
      <c r="HDX12" s="20"/>
      <c r="HDY12" s="20"/>
      <c r="HDZ12" s="20"/>
      <c r="HEA12" s="20"/>
      <c r="HEB12" s="20"/>
      <c r="HEC12" s="20"/>
      <c r="HED12" s="20"/>
      <c r="HEE12" s="20"/>
      <c r="HEF12" s="20"/>
      <c r="HEG12" s="20"/>
      <c r="HEH12" s="20"/>
      <c r="HEI12" s="20"/>
      <c r="HEJ12" s="20"/>
      <c r="HEK12" s="20"/>
      <c r="HEL12" s="20"/>
      <c r="HEM12" s="20"/>
      <c r="HEN12" s="20"/>
      <c r="HEO12" s="20"/>
      <c r="HEP12" s="20"/>
      <c r="HEQ12" s="20"/>
      <c r="HER12" s="20"/>
      <c r="HES12" s="20"/>
      <c r="HET12" s="20"/>
      <c r="HEU12" s="20"/>
      <c r="HEV12" s="20"/>
      <c r="HEW12" s="20"/>
      <c r="HEX12" s="20"/>
      <c r="HEY12" s="20"/>
      <c r="HEZ12" s="20"/>
      <c r="HFA12" s="20"/>
      <c r="HFB12" s="20"/>
      <c r="HFC12" s="20"/>
      <c r="HFD12" s="20"/>
      <c r="HFE12" s="20"/>
      <c r="HFF12" s="20"/>
      <c r="HFG12" s="20"/>
      <c r="HFH12" s="20"/>
      <c r="HFI12" s="20"/>
      <c r="HFJ12" s="20"/>
      <c r="HFK12" s="20"/>
      <c r="HFL12" s="20"/>
      <c r="HFM12" s="20"/>
      <c r="HFN12" s="20"/>
      <c r="HFO12" s="20"/>
      <c r="HFP12" s="20"/>
      <c r="HFQ12" s="20"/>
      <c r="HFR12" s="20"/>
      <c r="HFS12" s="20"/>
      <c r="HFT12" s="20"/>
      <c r="HFU12" s="20"/>
      <c r="HFV12" s="20"/>
      <c r="HFW12" s="20"/>
      <c r="HFX12" s="20"/>
      <c r="HFY12" s="20"/>
      <c r="HFZ12" s="20"/>
      <c r="HGA12" s="20"/>
      <c r="HGB12" s="20"/>
      <c r="HGC12" s="20"/>
      <c r="HGD12" s="20"/>
      <c r="HGE12" s="20"/>
      <c r="HGF12" s="20"/>
      <c r="HGG12" s="20"/>
      <c r="HGH12" s="20"/>
      <c r="HGI12" s="20"/>
      <c r="HGJ12" s="20"/>
      <c r="HGK12" s="20"/>
      <c r="HGL12" s="20"/>
      <c r="HGM12" s="20"/>
      <c r="HGN12" s="20"/>
      <c r="HGO12" s="20"/>
      <c r="HGP12" s="20"/>
      <c r="HGQ12" s="20"/>
      <c r="HGR12" s="20"/>
      <c r="HGS12" s="20"/>
      <c r="HGT12" s="20"/>
      <c r="HGU12" s="20"/>
      <c r="HGV12" s="20"/>
      <c r="HGW12" s="20"/>
      <c r="HGX12" s="20"/>
      <c r="HGY12" s="20"/>
      <c r="HGZ12" s="20"/>
      <c r="HHA12" s="20"/>
      <c r="HHB12" s="20"/>
      <c r="HHC12" s="20"/>
      <c r="HHD12" s="20"/>
      <c r="HHE12" s="20"/>
      <c r="HHF12" s="20"/>
      <c r="HHG12" s="20"/>
      <c r="HHH12" s="20"/>
      <c r="HHI12" s="20"/>
      <c r="HHJ12" s="20"/>
      <c r="HHK12" s="20"/>
      <c r="HHL12" s="20"/>
      <c r="HHM12" s="20"/>
      <c r="HHN12" s="20"/>
      <c r="HHO12" s="20"/>
      <c r="HHP12" s="20"/>
      <c r="HHQ12" s="20"/>
      <c r="HHR12" s="20"/>
      <c r="HHS12" s="20"/>
      <c r="HHT12" s="20"/>
      <c r="HHU12" s="20"/>
      <c r="HHV12" s="20"/>
      <c r="HHW12" s="20"/>
      <c r="HHX12" s="20"/>
      <c r="HHY12" s="20"/>
      <c r="HHZ12" s="20"/>
      <c r="HIA12" s="20"/>
      <c r="HIB12" s="20"/>
      <c r="HIC12" s="20"/>
      <c r="HID12" s="20"/>
      <c r="HIE12" s="20"/>
      <c r="HIF12" s="20"/>
      <c r="HIG12" s="20"/>
      <c r="HIH12" s="20"/>
      <c r="HII12" s="20"/>
      <c r="HIJ12" s="20"/>
      <c r="HIK12" s="20"/>
      <c r="HIL12" s="20"/>
      <c r="HIM12" s="20"/>
      <c r="HIN12" s="20"/>
      <c r="HIO12" s="20"/>
      <c r="HIP12" s="20"/>
      <c r="HIQ12" s="20"/>
      <c r="HIR12" s="20"/>
      <c r="HIS12" s="20"/>
      <c r="HIT12" s="20"/>
      <c r="HIU12" s="20"/>
      <c r="HIV12" s="20"/>
      <c r="HIW12" s="20"/>
      <c r="HIX12" s="20"/>
      <c r="HIY12" s="20"/>
      <c r="HIZ12" s="20"/>
      <c r="HJA12" s="20"/>
      <c r="HJB12" s="20"/>
      <c r="HJC12" s="20"/>
      <c r="HJD12" s="20"/>
      <c r="HJE12" s="20"/>
      <c r="HJF12" s="20"/>
      <c r="HJG12" s="20"/>
      <c r="HJH12" s="20"/>
      <c r="HJI12" s="20"/>
      <c r="HJJ12" s="20"/>
      <c r="HJK12" s="20"/>
      <c r="HJL12" s="20"/>
      <c r="HJM12" s="20"/>
      <c r="HJN12" s="20"/>
      <c r="HJO12" s="20"/>
      <c r="HJP12" s="20"/>
      <c r="HJQ12" s="20"/>
      <c r="HJR12" s="20"/>
      <c r="HJS12" s="20"/>
      <c r="HJT12" s="20"/>
      <c r="HJU12" s="20"/>
      <c r="HJV12" s="20"/>
      <c r="HJW12" s="20"/>
      <c r="HJX12" s="20"/>
      <c r="HJY12" s="20"/>
      <c r="HJZ12" s="20"/>
      <c r="HKA12" s="20"/>
      <c r="HKB12" s="20"/>
      <c r="HKC12" s="20"/>
      <c r="HKD12" s="20"/>
      <c r="HKE12" s="20"/>
      <c r="HKF12" s="20"/>
      <c r="HKG12" s="20"/>
      <c r="HKH12" s="20"/>
      <c r="HKI12" s="20"/>
      <c r="HKJ12" s="20"/>
      <c r="HKK12" s="20"/>
      <c r="HKL12" s="20"/>
      <c r="HKM12" s="20"/>
      <c r="HKN12" s="20"/>
      <c r="HKO12" s="20"/>
      <c r="HKP12" s="20"/>
      <c r="HKQ12" s="20"/>
      <c r="HKR12" s="20"/>
      <c r="HKS12" s="20"/>
      <c r="HKT12" s="20"/>
      <c r="HKU12" s="20"/>
      <c r="HKV12" s="20"/>
      <c r="HKW12" s="20"/>
      <c r="HKX12" s="20"/>
      <c r="HKY12" s="20"/>
      <c r="HKZ12" s="20"/>
      <c r="HLA12" s="20"/>
      <c r="HLB12" s="20"/>
      <c r="HLC12" s="20"/>
      <c r="HLD12" s="20"/>
      <c r="HLE12" s="20"/>
      <c r="HLF12" s="20"/>
      <c r="HLG12" s="20"/>
      <c r="HLH12" s="20"/>
      <c r="HLI12" s="20"/>
      <c r="HLJ12" s="20"/>
      <c r="HLK12" s="20"/>
      <c r="HLL12" s="20"/>
      <c r="HLM12" s="20"/>
      <c r="HLN12" s="20"/>
      <c r="HLO12" s="20"/>
      <c r="HLP12" s="20"/>
      <c r="HLQ12" s="20"/>
      <c r="HLR12" s="20"/>
      <c r="HLS12" s="20"/>
      <c r="HLT12" s="20"/>
      <c r="HLU12" s="20"/>
      <c r="HLV12" s="20"/>
      <c r="HLW12" s="20"/>
      <c r="HLX12" s="20"/>
      <c r="HLY12" s="20"/>
      <c r="HLZ12" s="20"/>
      <c r="HMA12" s="20"/>
      <c r="HMB12" s="20"/>
      <c r="HMC12" s="20"/>
      <c r="HMD12" s="20"/>
      <c r="HME12" s="20"/>
      <c r="HMF12" s="20"/>
      <c r="HMG12" s="20"/>
      <c r="HMH12" s="20"/>
      <c r="HMI12" s="20"/>
      <c r="HMJ12" s="20"/>
      <c r="HMK12" s="20"/>
      <c r="HML12" s="20"/>
      <c r="HMM12" s="20"/>
      <c r="HMN12" s="20"/>
      <c r="HMO12" s="20"/>
      <c r="HMP12" s="20"/>
      <c r="HMQ12" s="20"/>
      <c r="HMR12" s="20"/>
      <c r="HMS12" s="20"/>
      <c r="HMT12" s="20"/>
      <c r="HMU12" s="20"/>
      <c r="HMV12" s="20"/>
      <c r="HMW12" s="20"/>
      <c r="HMX12" s="20"/>
      <c r="HMY12" s="20"/>
      <c r="HMZ12" s="20"/>
      <c r="HNA12" s="20"/>
      <c r="HNB12" s="20"/>
      <c r="HNC12" s="20"/>
      <c r="HND12" s="20"/>
      <c r="HNE12" s="20"/>
      <c r="HNF12" s="20"/>
      <c r="HNG12" s="20"/>
      <c r="HNH12" s="20"/>
      <c r="HNI12" s="20"/>
      <c r="HNJ12" s="20"/>
      <c r="HNK12" s="20"/>
      <c r="HNL12" s="20"/>
      <c r="HNM12" s="20"/>
      <c r="HNN12" s="20"/>
      <c r="HNO12" s="20"/>
      <c r="HNP12" s="20"/>
      <c r="HNQ12" s="20"/>
      <c r="HNR12" s="20"/>
      <c r="HNS12" s="20"/>
      <c r="HNT12" s="20"/>
      <c r="HNU12" s="20"/>
      <c r="HNV12" s="20"/>
      <c r="HNW12" s="20"/>
      <c r="HNX12" s="20"/>
      <c r="HNY12" s="20"/>
      <c r="HNZ12" s="20"/>
      <c r="HOA12" s="20"/>
      <c r="HOB12" s="20"/>
      <c r="HOC12" s="20"/>
      <c r="HOD12" s="20"/>
      <c r="HOE12" s="20"/>
      <c r="HOF12" s="20"/>
      <c r="HOG12" s="20"/>
      <c r="HOH12" s="20"/>
      <c r="HOI12" s="20"/>
      <c r="HOJ12" s="20"/>
      <c r="HOK12" s="20"/>
      <c r="HOL12" s="20"/>
      <c r="HOM12" s="20"/>
      <c r="HON12" s="20"/>
      <c r="HOO12" s="20"/>
      <c r="HOP12" s="20"/>
      <c r="HOQ12" s="20"/>
      <c r="HOR12" s="20"/>
      <c r="HOS12" s="20"/>
      <c r="HOT12" s="20"/>
      <c r="HOU12" s="20"/>
      <c r="HOV12" s="20"/>
      <c r="HOW12" s="20"/>
      <c r="HOX12" s="20"/>
      <c r="HOY12" s="20"/>
      <c r="HOZ12" s="20"/>
      <c r="HPA12" s="20"/>
      <c r="HPB12" s="20"/>
      <c r="HPC12" s="20"/>
      <c r="HPD12" s="20"/>
      <c r="HPE12" s="20"/>
      <c r="HPF12" s="20"/>
      <c r="HPG12" s="20"/>
      <c r="HPH12" s="20"/>
      <c r="HPI12" s="20"/>
      <c r="HPJ12" s="20"/>
      <c r="HPK12" s="20"/>
      <c r="HPL12" s="20"/>
      <c r="HPM12" s="20"/>
      <c r="HPN12" s="20"/>
      <c r="HPO12" s="20"/>
      <c r="HPP12" s="20"/>
      <c r="HPQ12" s="20"/>
      <c r="HPR12" s="20"/>
      <c r="HPS12" s="20"/>
      <c r="HPT12" s="20"/>
      <c r="HPU12" s="20"/>
      <c r="HPV12" s="20"/>
      <c r="HPW12" s="20"/>
      <c r="HPX12" s="20"/>
      <c r="HPY12" s="20"/>
      <c r="HPZ12" s="20"/>
      <c r="HQA12" s="20"/>
      <c r="HQB12" s="20"/>
      <c r="HQC12" s="20"/>
      <c r="HQD12" s="20"/>
      <c r="HQE12" s="20"/>
      <c r="HQF12" s="20"/>
      <c r="HQG12" s="20"/>
      <c r="HQH12" s="20"/>
      <c r="HQI12" s="20"/>
      <c r="HQJ12" s="20"/>
      <c r="HQK12" s="20"/>
      <c r="HQL12" s="20"/>
      <c r="HQM12" s="20"/>
      <c r="HQN12" s="20"/>
      <c r="HQO12" s="20"/>
      <c r="HQP12" s="20"/>
      <c r="HQQ12" s="20"/>
      <c r="HQR12" s="20"/>
      <c r="HQS12" s="20"/>
      <c r="HQT12" s="20"/>
      <c r="HQU12" s="20"/>
      <c r="HQV12" s="20"/>
      <c r="HQW12" s="20"/>
      <c r="HQX12" s="20"/>
      <c r="HQY12" s="20"/>
      <c r="HQZ12" s="20"/>
      <c r="HRA12" s="20"/>
      <c r="HRB12" s="20"/>
      <c r="HRC12" s="20"/>
      <c r="HRD12" s="20"/>
      <c r="HRE12" s="20"/>
      <c r="HRF12" s="20"/>
      <c r="HRG12" s="20"/>
      <c r="HRH12" s="20"/>
      <c r="HRI12" s="20"/>
      <c r="HRJ12" s="20"/>
      <c r="HRK12" s="20"/>
      <c r="HRL12" s="20"/>
      <c r="HRM12" s="20"/>
      <c r="HRN12" s="20"/>
      <c r="HRO12" s="20"/>
      <c r="HRP12" s="20"/>
      <c r="HRQ12" s="20"/>
      <c r="HRR12" s="20"/>
      <c r="HRS12" s="20"/>
      <c r="HRT12" s="20"/>
      <c r="HRU12" s="20"/>
      <c r="HRV12" s="20"/>
      <c r="HRW12" s="20"/>
      <c r="HRX12" s="20"/>
      <c r="HRY12" s="20"/>
      <c r="HRZ12" s="20"/>
      <c r="HSA12" s="20"/>
      <c r="HSB12" s="20"/>
      <c r="HSC12" s="20"/>
      <c r="HSD12" s="20"/>
      <c r="HSE12" s="20"/>
      <c r="HSF12" s="20"/>
      <c r="HSG12" s="20"/>
      <c r="HSH12" s="20"/>
      <c r="HSI12" s="20"/>
      <c r="HSJ12" s="20"/>
      <c r="HSK12" s="20"/>
      <c r="HSL12" s="20"/>
      <c r="HSM12" s="20"/>
      <c r="HSN12" s="20"/>
      <c r="HSO12" s="20"/>
      <c r="HSP12" s="20"/>
      <c r="HSQ12" s="20"/>
      <c r="HSR12" s="20"/>
      <c r="HSS12" s="20"/>
      <c r="HST12" s="20"/>
      <c r="HSU12" s="20"/>
      <c r="HSV12" s="20"/>
      <c r="HSW12" s="20"/>
      <c r="HSX12" s="20"/>
      <c r="HSY12" s="20"/>
      <c r="HSZ12" s="20"/>
      <c r="HTA12" s="20"/>
      <c r="HTB12" s="20"/>
      <c r="HTC12" s="20"/>
      <c r="HTD12" s="20"/>
      <c r="HTE12" s="20"/>
      <c r="HTF12" s="20"/>
      <c r="HTG12" s="20"/>
      <c r="HTH12" s="20"/>
      <c r="HTI12" s="20"/>
      <c r="HTJ12" s="20"/>
      <c r="HTK12" s="20"/>
      <c r="HTL12" s="20"/>
      <c r="HTM12" s="20"/>
      <c r="HTN12" s="20"/>
      <c r="HTO12" s="20"/>
      <c r="HTP12" s="20"/>
      <c r="HTQ12" s="20"/>
      <c r="HTR12" s="20"/>
      <c r="HTS12" s="20"/>
      <c r="HTT12" s="20"/>
      <c r="HTU12" s="20"/>
      <c r="HTV12" s="20"/>
      <c r="HTW12" s="20"/>
      <c r="HTX12" s="20"/>
      <c r="HTY12" s="20"/>
      <c r="HTZ12" s="20"/>
      <c r="HUA12" s="20"/>
      <c r="HUB12" s="20"/>
      <c r="HUC12" s="20"/>
      <c r="HUD12" s="20"/>
      <c r="HUE12" s="20"/>
      <c r="HUF12" s="20"/>
      <c r="HUG12" s="20"/>
      <c r="HUH12" s="20"/>
      <c r="HUI12" s="20"/>
      <c r="HUJ12" s="20"/>
      <c r="HUK12" s="20"/>
      <c r="HUL12" s="20"/>
      <c r="HUM12" s="20"/>
      <c r="HUN12" s="20"/>
      <c r="HUO12" s="20"/>
      <c r="HUP12" s="20"/>
      <c r="HUQ12" s="20"/>
      <c r="HUR12" s="20"/>
      <c r="HUS12" s="20"/>
      <c r="HUT12" s="20"/>
      <c r="HUU12" s="20"/>
      <c r="HUV12" s="20"/>
      <c r="HUW12" s="20"/>
      <c r="HUX12" s="20"/>
      <c r="HUY12" s="20"/>
      <c r="HUZ12" s="20"/>
      <c r="HVA12" s="20"/>
      <c r="HVB12" s="20"/>
      <c r="HVC12" s="20"/>
      <c r="HVD12" s="20"/>
      <c r="HVE12" s="20"/>
      <c r="HVF12" s="20"/>
      <c r="HVG12" s="20"/>
      <c r="HVH12" s="20"/>
      <c r="HVI12" s="20"/>
      <c r="HVJ12" s="20"/>
      <c r="HVK12" s="20"/>
      <c r="HVL12" s="20"/>
      <c r="HVM12" s="20"/>
      <c r="HVN12" s="20"/>
      <c r="HVO12" s="20"/>
      <c r="HVP12" s="20"/>
      <c r="HVQ12" s="20"/>
      <c r="HVR12" s="20"/>
      <c r="HVS12" s="20"/>
      <c r="HVT12" s="20"/>
      <c r="HVU12" s="20"/>
      <c r="HVV12" s="20"/>
      <c r="HVW12" s="20"/>
      <c r="HVX12" s="20"/>
      <c r="HVY12" s="20"/>
      <c r="HVZ12" s="20"/>
      <c r="HWA12" s="20"/>
      <c r="HWB12" s="20"/>
      <c r="HWC12" s="20"/>
      <c r="HWD12" s="20"/>
      <c r="HWE12" s="20"/>
      <c r="HWF12" s="20"/>
      <c r="HWG12" s="20"/>
      <c r="HWH12" s="20"/>
      <c r="HWI12" s="20"/>
      <c r="HWJ12" s="20"/>
      <c r="HWK12" s="20"/>
      <c r="HWL12" s="20"/>
      <c r="HWM12" s="20"/>
      <c r="HWN12" s="20"/>
      <c r="HWO12" s="20"/>
      <c r="HWP12" s="20"/>
      <c r="HWQ12" s="20"/>
      <c r="HWR12" s="20"/>
      <c r="HWS12" s="20"/>
      <c r="HWT12" s="20"/>
      <c r="HWU12" s="20"/>
      <c r="HWV12" s="20"/>
      <c r="HWW12" s="20"/>
      <c r="HWX12" s="20"/>
      <c r="HWY12" s="20"/>
      <c r="HWZ12" s="20"/>
      <c r="HXA12" s="20"/>
      <c r="HXB12" s="20"/>
      <c r="HXC12" s="20"/>
      <c r="HXD12" s="20"/>
      <c r="HXE12" s="20"/>
      <c r="HXF12" s="20"/>
      <c r="HXG12" s="20"/>
      <c r="HXH12" s="20"/>
      <c r="HXI12" s="20"/>
      <c r="HXJ12" s="20"/>
      <c r="HXK12" s="20"/>
      <c r="HXL12" s="20"/>
      <c r="HXM12" s="20"/>
      <c r="HXN12" s="20"/>
      <c r="HXO12" s="20"/>
      <c r="HXP12" s="20"/>
      <c r="HXQ12" s="20"/>
      <c r="HXR12" s="20"/>
      <c r="HXS12" s="20"/>
      <c r="HXT12" s="20"/>
      <c r="HXU12" s="20"/>
      <c r="HXV12" s="20"/>
      <c r="HXW12" s="20"/>
      <c r="HXX12" s="20"/>
      <c r="HXY12" s="20"/>
      <c r="HXZ12" s="20"/>
      <c r="HYA12" s="20"/>
      <c r="HYB12" s="20"/>
      <c r="HYC12" s="20"/>
      <c r="HYD12" s="20"/>
      <c r="HYE12" s="20"/>
      <c r="HYF12" s="20"/>
      <c r="HYG12" s="20"/>
      <c r="HYH12" s="20"/>
      <c r="HYI12" s="20"/>
      <c r="HYJ12" s="20"/>
      <c r="HYK12" s="20"/>
      <c r="HYL12" s="20"/>
      <c r="HYM12" s="20"/>
      <c r="HYN12" s="20"/>
      <c r="HYO12" s="20"/>
      <c r="HYP12" s="20"/>
      <c r="HYQ12" s="20"/>
      <c r="HYR12" s="20"/>
      <c r="HYS12" s="20"/>
      <c r="HYT12" s="20"/>
      <c r="HYU12" s="20"/>
      <c r="HYV12" s="20"/>
      <c r="HYW12" s="20"/>
      <c r="HYX12" s="20"/>
      <c r="HYY12" s="20"/>
      <c r="HYZ12" s="20"/>
      <c r="HZA12" s="20"/>
      <c r="HZB12" s="20"/>
      <c r="HZC12" s="20"/>
      <c r="HZD12" s="20"/>
      <c r="HZE12" s="20"/>
      <c r="HZF12" s="20"/>
      <c r="HZG12" s="20"/>
      <c r="HZH12" s="20"/>
      <c r="HZI12" s="20"/>
      <c r="HZJ12" s="20"/>
      <c r="HZK12" s="20"/>
      <c r="HZL12" s="20"/>
      <c r="HZM12" s="20"/>
      <c r="HZN12" s="20"/>
      <c r="HZO12" s="20"/>
      <c r="HZP12" s="20"/>
      <c r="HZQ12" s="20"/>
      <c r="HZR12" s="20"/>
      <c r="HZS12" s="20"/>
      <c r="HZT12" s="20"/>
      <c r="HZU12" s="20"/>
      <c r="HZV12" s="20"/>
      <c r="HZW12" s="20"/>
      <c r="HZX12" s="20"/>
      <c r="HZY12" s="20"/>
      <c r="HZZ12" s="20"/>
      <c r="IAA12" s="20"/>
      <c r="IAB12" s="20"/>
      <c r="IAC12" s="20"/>
      <c r="IAD12" s="20"/>
      <c r="IAE12" s="20"/>
      <c r="IAF12" s="20"/>
      <c r="IAG12" s="20"/>
      <c r="IAH12" s="20"/>
      <c r="IAI12" s="20"/>
      <c r="IAJ12" s="20"/>
      <c r="IAK12" s="20"/>
      <c r="IAL12" s="20"/>
      <c r="IAM12" s="20"/>
      <c r="IAN12" s="20"/>
      <c r="IAO12" s="20"/>
      <c r="IAP12" s="20"/>
      <c r="IAQ12" s="20"/>
      <c r="IAR12" s="20"/>
      <c r="IAS12" s="20"/>
      <c r="IAT12" s="20"/>
      <c r="IAU12" s="20"/>
      <c r="IAV12" s="20"/>
      <c r="IAW12" s="20"/>
      <c r="IAX12" s="20"/>
      <c r="IAY12" s="20"/>
      <c r="IAZ12" s="20"/>
      <c r="IBA12" s="20"/>
      <c r="IBB12" s="20"/>
      <c r="IBC12" s="20"/>
      <c r="IBD12" s="20"/>
      <c r="IBE12" s="20"/>
      <c r="IBF12" s="20"/>
      <c r="IBG12" s="20"/>
      <c r="IBH12" s="20"/>
      <c r="IBI12" s="20"/>
      <c r="IBJ12" s="20"/>
      <c r="IBK12" s="20"/>
      <c r="IBL12" s="20"/>
      <c r="IBM12" s="20"/>
      <c r="IBN12" s="20"/>
      <c r="IBO12" s="20"/>
      <c r="IBP12" s="20"/>
      <c r="IBQ12" s="20"/>
      <c r="IBR12" s="20"/>
      <c r="IBS12" s="20"/>
      <c r="IBT12" s="20"/>
      <c r="IBU12" s="20"/>
      <c r="IBV12" s="20"/>
      <c r="IBW12" s="20"/>
      <c r="IBX12" s="20"/>
      <c r="IBY12" s="20"/>
      <c r="IBZ12" s="20"/>
      <c r="ICA12" s="20"/>
      <c r="ICB12" s="20"/>
      <c r="ICC12" s="20"/>
      <c r="ICD12" s="20"/>
      <c r="ICE12" s="20"/>
      <c r="ICF12" s="20"/>
      <c r="ICG12" s="20"/>
      <c r="ICH12" s="20"/>
      <c r="ICI12" s="20"/>
      <c r="ICJ12" s="20"/>
      <c r="ICK12" s="20"/>
      <c r="ICL12" s="20"/>
      <c r="ICM12" s="20"/>
      <c r="ICN12" s="20"/>
      <c r="ICO12" s="20"/>
      <c r="ICP12" s="20"/>
      <c r="ICQ12" s="20"/>
      <c r="ICR12" s="20"/>
      <c r="ICS12" s="20"/>
      <c r="ICT12" s="20"/>
      <c r="ICU12" s="20"/>
      <c r="ICV12" s="20"/>
      <c r="ICW12" s="20"/>
      <c r="ICX12" s="20"/>
      <c r="ICY12" s="20"/>
      <c r="ICZ12" s="20"/>
      <c r="IDA12" s="20"/>
      <c r="IDB12" s="20"/>
      <c r="IDC12" s="20"/>
      <c r="IDD12" s="20"/>
      <c r="IDE12" s="20"/>
      <c r="IDF12" s="20"/>
      <c r="IDG12" s="20"/>
      <c r="IDH12" s="20"/>
      <c r="IDI12" s="20"/>
      <c r="IDJ12" s="20"/>
      <c r="IDK12" s="20"/>
      <c r="IDL12" s="20"/>
      <c r="IDM12" s="20"/>
      <c r="IDN12" s="20"/>
      <c r="IDO12" s="20"/>
      <c r="IDP12" s="20"/>
      <c r="IDQ12" s="20"/>
      <c r="IDR12" s="20"/>
      <c r="IDS12" s="20"/>
      <c r="IDT12" s="20"/>
      <c r="IDU12" s="20"/>
      <c r="IDV12" s="20"/>
      <c r="IDW12" s="20"/>
      <c r="IDX12" s="20"/>
      <c r="IDY12" s="20"/>
      <c r="IDZ12" s="20"/>
      <c r="IEA12" s="20"/>
      <c r="IEB12" s="20"/>
      <c r="IEC12" s="20"/>
      <c r="IED12" s="20"/>
      <c r="IEE12" s="20"/>
      <c r="IEF12" s="20"/>
      <c r="IEG12" s="20"/>
      <c r="IEH12" s="20"/>
      <c r="IEI12" s="20"/>
      <c r="IEJ12" s="20"/>
      <c r="IEK12" s="20"/>
      <c r="IEL12" s="20"/>
      <c r="IEM12" s="20"/>
      <c r="IEN12" s="20"/>
      <c r="IEO12" s="20"/>
      <c r="IEP12" s="20"/>
      <c r="IEQ12" s="20"/>
      <c r="IER12" s="20"/>
      <c r="IES12" s="20"/>
      <c r="IET12" s="20"/>
      <c r="IEU12" s="20"/>
      <c r="IEV12" s="20"/>
      <c r="IEW12" s="20"/>
      <c r="IEX12" s="20"/>
      <c r="IEY12" s="20"/>
      <c r="IEZ12" s="20"/>
      <c r="IFA12" s="20"/>
      <c r="IFB12" s="20"/>
      <c r="IFC12" s="20"/>
      <c r="IFD12" s="20"/>
      <c r="IFE12" s="20"/>
      <c r="IFF12" s="20"/>
      <c r="IFG12" s="20"/>
      <c r="IFH12" s="20"/>
      <c r="IFI12" s="20"/>
      <c r="IFJ12" s="20"/>
      <c r="IFK12" s="20"/>
      <c r="IFL12" s="20"/>
      <c r="IFM12" s="20"/>
      <c r="IFN12" s="20"/>
      <c r="IFO12" s="20"/>
      <c r="IFP12" s="20"/>
      <c r="IFQ12" s="20"/>
      <c r="IFR12" s="20"/>
      <c r="IFS12" s="20"/>
      <c r="IFT12" s="20"/>
      <c r="IFU12" s="20"/>
      <c r="IFV12" s="20"/>
      <c r="IFW12" s="20"/>
      <c r="IFX12" s="20"/>
      <c r="IFY12" s="20"/>
      <c r="IFZ12" s="20"/>
      <c r="IGA12" s="20"/>
      <c r="IGB12" s="20"/>
      <c r="IGC12" s="20"/>
      <c r="IGD12" s="20"/>
      <c r="IGE12" s="20"/>
      <c r="IGF12" s="20"/>
      <c r="IGG12" s="20"/>
      <c r="IGH12" s="20"/>
      <c r="IGI12" s="20"/>
      <c r="IGJ12" s="20"/>
      <c r="IGK12" s="20"/>
      <c r="IGL12" s="20"/>
      <c r="IGM12" s="20"/>
      <c r="IGN12" s="20"/>
      <c r="IGO12" s="20"/>
      <c r="IGP12" s="20"/>
      <c r="IGQ12" s="20"/>
      <c r="IGR12" s="20"/>
      <c r="IGS12" s="20"/>
      <c r="IGT12" s="20"/>
      <c r="IGU12" s="20"/>
      <c r="IGV12" s="20"/>
      <c r="IGW12" s="20"/>
      <c r="IGX12" s="20"/>
      <c r="IGY12" s="20"/>
      <c r="IGZ12" s="20"/>
      <c r="IHA12" s="20"/>
      <c r="IHB12" s="20"/>
      <c r="IHC12" s="20"/>
      <c r="IHD12" s="20"/>
      <c r="IHE12" s="20"/>
      <c r="IHF12" s="20"/>
      <c r="IHG12" s="20"/>
      <c r="IHH12" s="20"/>
      <c r="IHI12" s="20"/>
      <c r="IHJ12" s="20"/>
      <c r="IHK12" s="20"/>
      <c r="IHL12" s="20"/>
      <c r="IHM12" s="20"/>
      <c r="IHN12" s="20"/>
      <c r="IHO12" s="20"/>
      <c r="IHP12" s="20"/>
      <c r="IHQ12" s="20"/>
      <c r="IHR12" s="20"/>
      <c r="IHS12" s="20"/>
      <c r="IHT12" s="20"/>
      <c r="IHU12" s="20"/>
      <c r="IHV12" s="20"/>
      <c r="IHW12" s="20"/>
      <c r="IHX12" s="20"/>
      <c r="IHY12" s="20"/>
      <c r="IHZ12" s="20"/>
      <c r="IIA12" s="20"/>
      <c r="IIB12" s="20"/>
      <c r="IIC12" s="20"/>
      <c r="IID12" s="20"/>
      <c r="IIE12" s="20"/>
      <c r="IIF12" s="20"/>
      <c r="IIG12" s="20"/>
      <c r="IIH12" s="20"/>
      <c r="III12" s="20"/>
      <c r="IIJ12" s="20"/>
      <c r="IIK12" s="20"/>
      <c r="IIL12" s="20"/>
      <c r="IIM12" s="20"/>
      <c r="IIN12" s="20"/>
      <c r="IIO12" s="20"/>
      <c r="IIP12" s="20"/>
      <c r="IIQ12" s="20"/>
      <c r="IIR12" s="20"/>
      <c r="IIS12" s="20"/>
      <c r="IIT12" s="20"/>
      <c r="IIU12" s="20"/>
      <c r="IIV12" s="20"/>
      <c r="IIW12" s="20"/>
      <c r="IIX12" s="20"/>
      <c r="IIY12" s="20"/>
      <c r="IIZ12" s="20"/>
      <c r="IJA12" s="20"/>
      <c r="IJB12" s="20"/>
      <c r="IJC12" s="20"/>
      <c r="IJD12" s="20"/>
      <c r="IJE12" s="20"/>
      <c r="IJF12" s="20"/>
      <c r="IJG12" s="20"/>
      <c r="IJH12" s="20"/>
      <c r="IJI12" s="20"/>
      <c r="IJJ12" s="20"/>
      <c r="IJK12" s="20"/>
      <c r="IJL12" s="20"/>
      <c r="IJM12" s="20"/>
      <c r="IJN12" s="20"/>
      <c r="IJO12" s="20"/>
      <c r="IJP12" s="20"/>
      <c r="IJQ12" s="20"/>
      <c r="IJR12" s="20"/>
      <c r="IJS12" s="20"/>
      <c r="IJT12" s="20"/>
      <c r="IJU12" s="20"/>
      <c r="IJV12" s="20"/>
      <c r="IJW12" s="20"/>
      <c r="IJX12" s="20"/>
      <c r="IJY12" s="20"/>
      <c r="IJZ12" s="20"/>
      <c r="IKA12" s="20"/>
      <c r="IKB12" s="20"/>
      <c r="IKC12" s="20"/>
      <c r="IKD12" s="20"/>
      <c r="IKE12" s="20"/>
      <c r="IKF12" s="20"/>
      <c r="IKG12" s="20"/>
      <c r="IKH12" s="20"/>
      <c r="IKI12" s="20"/>
      <c r="IKJ12" s="20"/>
      <c r="IKK12" s="20"/>
      <c r="IKL12" s="20"/>
      <c r="IKM12" s="20"/>
      <c r="IKN12" s="20"/>
      <c r="IKO12" s="20"/>
      <c r="IKP12" s="20"/>
      <c r="IKQ12" s="20"/>
      <c r="IKR12" s="20"/>
      <c r="IKS12" s="20"/>
      <c r="IKT12" s="20"/>
      <c r="IKU12" s="20"/>
      <c r="IKV12" s="20"/>
      <c r="IKW12" s="20"/>
      <c r="IKX12" s="20"/>
      <c r="IKY12" s="20"/>
      <c r="IKZ12" s="20"/>
      <c r="ILA12" s="20"/>
      <c r="ILB12" s="20"/>
      <c r="ILC12" s="20"/>
      <c r="ILD12" s="20"/>
      <c r="ILE12" s="20"/>
      <c r="ILF12" s="20"/>
      <c r="ILG12" s="20"/>
      <c r="ILH12" s="20"/>
      <c r="ILI12" s="20"/>
      <c r="ILJ12" s="20"/>
      <c r="ILK12" s="20"/>
      <c r="ILL12" s="20"/>
      <c r="ILM12" s="20"/>
      <c r="ILN12" s="20"/>
      <c r="ILO12" s="20"/>
      <c r="ILP12" s="20"/>
      <c r="ILQ12" s="20"/>
      <c r="ILR12" s="20"/>
      <c r="ILS12" s="20"/>
      <c r="ILT12" s="20"/>
      <c r="ILU12" s="20"/>
      <c r="ILV12" s="20"/>
      <c r="ILW12" s="20"/>
      <c r="ILX12" s="20"/>
      <c r="ILY12" s="20"/>
      <c r="ILZ12" s="20"/>
      <c r="IMA12" s="20"/>
      <c r="IMB12" s="20"/>
      <c r="IMC12" s="20"/>
      <c r="IMD12" s="20"/>
      <c r="IME12" s="20"/>
      <c r="IMF12" s="20"/>
      <c r="IMG12" s="20"/>
      <c r="IMH12" s="20"/>
      <c r="IMI12" s="20"/>
      <c r="IMJ12" s="20"/>
      <c r="IMK12" s="20"/>
      <c r="IML12" s="20"/>
      <c r="IMM12" s="20"/>
      <c r="IMN12" s="20"/>
      <c r="IMO12" s="20"/>
      <c r="IMP12" s="20"/>
      <c r="IMQ12" s="20"/>
      <c r="IMR12" s="20"/>
      <c r="IMS12" s="20"/>
      <c r="IMT12" s="20"/>
      <c r="IMU12" s="20"/>
      <c r="IMV12" s="20"/>
      <c r="IMW12" s="20"/>
      <c r="IMX12" s="20"/>
      <c r="IMY12" s="20"/>
      <c r="IMZ12" s="20"/>
      <c r="INA12" s="20"/>
      <c r="INB12" s="20"/>
      <c r="INC12" s="20"/>
      <c r="IND12" s="20"/>
      <c r="INE12" s="20"/>
      <c r="INF12" s="20"/>
      <c r="ING12" s="20"/>
      <c r="INH12" s="20"/>
      <c r="INI12" s="20"/>
      <c r="INJ12" s="20"/>
      <c r="INK12" s="20"/>
      <c r="INL12" s="20"/>
      <c r="INM12" s="20"/>
      <c r="INN12" s="20"/>
      <c r="INO12" s="20"/>
      <c r="INP12" s="20"/>
      <c r="INQ12" s="20"/>
      <c r="INR12" s="20"/>
      <c r="INS12" s="20"/>
      <c r="INT12" s="20"/>
      <c r="INU12" s="20"/>
      <c r="INV12" s="20"/>
      <c r="INW12" s="20"/>
      <c r="INX12" s="20"/>
      <c r="INY12" s="20"/>
      <c r="INZ12" s="20"/>
      <c r="IOA12" s="20"/>
      <c r="IOB12" s="20"/>
      <c r="IOC12" s="20"/>
      <c r="IOD12" s="20"/>
      <c r="IOE12" s="20"/>
      <c r="IOF12" s="20"/>
      <c r="IOG12" s="20"/>
      <c r="IOH12" s="20"/>
      <c r="IOI12" s="20"/>
      <c r="IOJ12" s="20"/>
      <c r="IOK12" s="20"/>
      <c r="IOL12" s="20"/>
      <c r="IOM12" s="20"/>
      <c r="ION12" s="20"/>
      <c r="IOO12" s="20"/>
      <c r="IOP12" s="20"/>
      <c r="IOQ12" s="20"/>
      <c r="IOR12" s="20"/>
      <c r="IOS12" s="20"/>
      <c r="IOT12" s="20"/>
      <c r="IOU12" s="20"/>
      <c r="IOV12" s="20"/>
      <c r="IOW12" s="20"/>
      <c r="IOX12" s="20"/>
      <c r="IOY12" s="20"/>
      <c r="IOZ12" s="20"/>
      <c r="IPA12" s="20"/>
      <c r="IPB12" s="20"/>
      <c r="IPC12" s="20"/>
      <c r="IPD12" s="20"/>
      <c r="IPE12" s="20"/>
      <c r="IPF12" s="20"/>
      <c r="IPG12" s="20"/>
      <c r="IPH12" s="20"/>
      <c r="IPI12" s="20"/>
      <c r="IPJ12" s="20"/>
      <c r="IPK12" s="20"/>
      <c r="IPL12" s="20"/>
      <c r="IPM12" s="20"/>
      <c r="IPN12" s="20"/>
      <c r="IPO12" s="20"/>
      <c r="IPP12" s="20"/>
      <c r="IPQ12" s="20"/>
      <c r="IPR12" s="20"/>
      <c r="IPS12" s="20"/>
      <c r="IPT12" s="20"/>
      <c r="IPU12" s="20"/>
      <c r="IPV12" s="20"/>
      <c r="IPW12" s="20"/>
      <c r="IPX12" s="20"/>
      <c r="IPY12" s="20"/>
      <c r="IPZ12" s="20"/>
      <c r="IQA12" s="20"/>
      <c r="IQB12" s="20"/>
      <c r="IQC12" s="20"/>
      <c r="IQD12" s="20"/>
      <c r="IQE12" s="20"/>
      <c r="IQF12" s="20"/>
      <c r="IQG12" s="20"/>
      <c r="IQH12" s="20"/>
      <c r="IQI12" s="20"/>
      <c r="IQJ12" s="20"/>
      <c r="IQK12" s="20"/>
      <c r="IQL12" s="20"/>
      <c r="IQM12" s="20"/>
      <c r="IQN12" s="20"/>
      <c r="IQO12" s="20"/>
      <c r="IQP12" s="20"/>
      <c r="IQQ12" s="20"/>
      <c r="IQR12" s="20"/>
      <c r="IQS12" s="20"/>
      <c r="IQT12" s="20"/>
      <c r="IQU12" s="20"/>
      <c r="IQV12" s="20"/>
      <c r="IQW12" s="20"/>
      <c r="IQX12" s="20"/>
      <c r="IQY12" s="20"/>
      <c r="IQZ12" s="20"/>
      <c r="IRA12" s="20"/>
      <c r="IRB12" s="20"/>
      <c r="IRC12" s="20"/>
      <c r="IRD12" s="20"/>
      <c r="IRE12" s="20"/>
      <c r="IRF12" s="20"/>
      <c r="IRG12" s="20"/>
      <c r="IRH12" s="20"/>
      <c r="IRI12" s="20"/>
      <c r="IRJ12" s="20"/>
      <c r="IRK12" s="20"/>
      <c r="IRL12" s="20"/>
      <c r="IRM12" s="20"/>
      <c r="IRN12" s="20"/>
      <c r="IRO12" s="20"/>
      <c r="IRP12" s="20"/>
      <c r="IRQ12" s="20"/>
      <c r="IRR12" s="20"/>
      <c r="IRS12" s="20"/>
      <c r="IRT12" s="20"/>
      <c r="IRU12" s="20"/>
      <c r="IRV12" s="20"/>
      <c r="IRW12" s="20"/>
      <c r="IRX12" s="20"/>
      <c r="IRY12" s="20"/>
      <c r="IRZ12" s="20"/>
      <c r="ISA12" s="20"/>
      <c r="ISB12" s="20"/>
      <c r="ISC12" s="20"/>
      <c r="ISD12" s="20"/>
      <c r="ISE12" s="20"/>
      <c r="ISF12" s="20"/>
      <c r="ISG12" s="20"/>
      <c r="ISH12" s="20"/>
      <c r="ISI12" s="20"/>
      <c r="ISJ12" s="20"/>
      <c r="ISK12" s="20"/>
      <c r="ISL12" s="20"/>
      <c r="ISM12" s="20"/>
      <c r="ISN12" s="20"/>
      <c r="ISO12" s="20"/>
      <c r="ISP12" s="20"/>
      <c r="ISQ12" s="20"/>
      <c r="ISR12" s="20"/>
      <c r="ISS12" s="20"/>
      <c r="IST12" s="20"/>
      <c r="ISU12" s="20"/>
      <c r="ISV12" s="20"/>
      <c r="ISW12" s="20"/>
      <c r="ISX12" s="20"/>
      <c r="ISY12" s="20"/>
      <c r="ISZ12" s="20"/>
      <c r="ITA12" s="20"/>
      <c r="ITB12" s="20"/>
      <c r="ITC12" s="20"/>
      <c r="ITD12" s="20"/>
      <c r="ITE12" s="20"/>
      <c r="ITF12" s="20"/>
      <c r="ITG12" s="20"/>
      <c r="ITH12" s="20"/>
      <c r="ITI12" s="20"/>
      <c r="ITJ12" s="20"/>
      <c r="ITK12" s="20"/>
      <c r="ITL12" s="20"/>
      <c r="ITM12" s="20"/>
      <c r="ITN12" s="20"/>
      <c r="ITO12" s="20"/>
      <c r="ITP12" s="20"/>
      <c r="ITQ12" s="20"/>
      <c r="ITR12" s="20"/>
      <c r="ITS12" s="20"/>
      <c r="ITT12" s="20"/>
      <c r="ITU12" s="20"/>
      <c r="ITV12" s="20"/>
      <c r="ITW12" s="20"/>
      <c r="ITX12" s="20"/>
      <c r="ITY12" s="20"/>
      <c r="ITZ12" s="20"/>
      <c r="IUA12" s="20"/>
      <c r="IUB12" s="20"/>
      <c r="IUC12" s="20"/>
      <c r="IUD12" s="20"/>
      <c r="IUE12" s="20"/>
      <c r="IUF12" s="20"/>
      <c r="IUG12" s="20"/>
      <c r="IUH12" s="20"/>
      <c r="IUI12" s="20"/>
      <c r="IUJ12" s="20"/>
      <c r="IUK12" s="20"/>
      <c r="IUL12" s="20"/>
      <c r="IUM12" s="20"/>
      <c r="IUN12" s="20"/>
      <c r="IUO12" s="20"/>
      <c r="IUP12" s="20"/>
      <c r="IUQ12" s="20"/>
      <c r="IUR12" s="20"/>
      <c r="IUS12" s="20"/>
      <c r="IUT12" s="20"/>
      <c r="IUU12" s="20"/>
      <c r="IUV12" s="20"/>
      <c r="IUW12" s="20"/>
      <c r="IUX12" s="20"/>
      <c r="IUY12" s="20"/>
      <c r="IUZ12" s="20"/>
      <c r="IVA12" s="20"/>
      <c r="IVB12" s="20"/>
      <c r="IVC12" s="20"/>
      <c r="IVD12" s="20"/>
      <c r="IVE12" s="20"/>
      <c r="IVF12" s="20"/>
      <c r="IVG12" s="20"/>
      <c r="IVH12" s="20"/>
      <c r="IVI12" s="20"/>
      <c r="IVJ12" s="20"/>
      <c r="IVK12" s="20"/>
      <c r="IVL12" s="20"/>
      <c r="IVM12" s="20"/>
      <c r="IVN12" s="20"/>
      <c r="IVO12" s="20"/>
      <c r="IVP12" s="20"/>
      <c r="IVQ12" s="20"/>
      <c r="IVR12" s="20"/>
      <c r="IVS12" s="20"/>
      <c r="IVT12" s="20"/>
      <c r="IVU12" s="20"/>
      <c r="IVV12" s="20"/>
      <c r="IVW12" s="20"/>
      <c r="IVX12" s="20"/>
      <c r="IVY12" s="20"/>
      <c r="IVZ12" s="20"/>
      <c r="IWA12" s="20"/>
      <c r="IWB12" s="20"/>
      <c r="IWC12" s="20"/>
      <c r="IWD12" s="20"/>
      <c r="IWE12" s="20"/>
      <c r="IWF12" s="20"/>
      <c r="IWG12" s="20"/>
      <c r="IWH12" s="20"/>
      <c r="IWI12" s="20"/>
      <c r="IWJ12" s="20"/>
      <c r="IWK12" s="20"/>
      <c r="IWL12" s="20"/>
      <c r="IWM12" s="20"/>
      <c r="IWN12" s="20"/>
      <c r="IWO12" s="20"/>
      <c r="IWP12" s="20"/>
      <c r="IWQ12" s="20"/>
      <c r="IWR12" s="20"/>
      <c r="IWS12" s="20"/>
      <c r="IWT12" s="20"/>
      <c r="IWU12" s="20"/>
      <c r="IWV12" s="20"/>
      <c r="IWW12" s="20"/>
      <c r="IWX12" s="20"/>
      <c r="IWY12" s="20"/>
      <c r="IWZ12" s="20"/>
      <c r="IXA12" s="20"/>
      <c r="IXB12" s="20"/>
      <c r="IXC12" s="20"/>
      <c r="IXD12" s="20"/>
      <c r="IXE12" s="20"/>
      <c r="IXF12" s="20"/>
      <c r="IXG12" s="20"/>
      <c r="IXH12" s="20"/>
      <c r="IXI12" s="20"/>
      <c r="IXJ12" s="20"/>
      <c r="IXK12" s="20"/>
      <c r="IXL12" s="20"/>
      <c r="IXM12" s="20"/>
      <c r="IXN12" s="20"/>
      <c r="IXO12" s="20"/>
      <c r="IXP12" s="20"/>
      <c r="IXQ12" s="20"/>
      <c r="IXR12" s="20"/>
      <c r="IXS12" s="20"/>
      <c r="IXT12" s="20"/>
      <c r="IXU12" s="20"/>
      <c r="IXV12" s="20"/>
      <c r="IXW12" s="20"/>
      <c r="IXX12" s="20"/>
      <c r="IXY12" s="20"/>
      <c r="IXZ12" s="20"/>
      <c r="IYA12" s="20"/>
      <c r="IYB12" s="20"/>
      <c r="IYC12" s="20"/>
      <c r="IYD12" s="20"/>
      <c r="IYE12" s="20"/>
      <c r="IYF12" s="20"/>
      <c r="IYG12" s="20"/>
      <c r="IYH12" s="20"/>
      <c r="IYI12" s="20"/>
      <c r="IYJ12" s="20"/>
      <c r="IYK12" s="20"/>
      <c r="IYL12" s="20"/>
      <c r="IYM12" s="20"/>
      <c r="IYN12" s="20"/>
      <c r="IYO12" s="20"/>
      <c r="IYP12" s="20"/>
      <c r="IYQ12" s="20"/>
      <c r="IYR12" s="20"/>
      <c r="IYS12" s="20"/>
      <c r="IYT12" s="20"/>
      <c r="IYU12" s="20"/>
      <c r="IYV12" s="20"/>
      <c r="IYW12" s="20"/>
      <c r="IYX12" s="20"/>
      <c r="IYY12" s="20"/>
      <c r="IYZ12" s="20"/>
      <c r="IZA12" s="20"/>
      <c r="IZB12" s="20"/>
      <c r="IZC12" s="20"/>
      <c r="IZD12" s="20"/>
      <c r="IZE12" s="20"/>
      <c r="IZF12" s="20"/>
      <c r="IZG12" s="20"/>
      <c r="IZH12" s="20"/>
      <c r="IZI12" s="20"/>
      <c r="IZJ12" s="20"/>
      <c r="IZK12" s="20"/>
      <c r="IZL12" s="20"/>
      <c r="IZM12" s="20"/>
      <c r="IZN12" s="20"/>
      <c r="IZO12" s="20"/>
      <c r="IZP12" s="20"/>
      <c r="IZQ12" s="20"/>
      <c r="IZR12" s="20"/>
      <c r="IZS12" s="20"/>
      <c r="IZT12" s="20"/>
      <c r="IZU12" s="20"/>
      <c r="IZV12" s="20"/>
      <c r="IZW12" s="20"/>
      <c r="IZX12" s="20"/>
      <c r="IZY12" s="20"/>
      <c r="IZZ12" s="20"/>
      <c r="JAA12" s="20"/>
      <c r="JAB12" s="20"/>
      <c r="JAC12" s="20"/>
      <c r="JAD12" s="20"/>
      <c r="JAE12" s="20"/>
      <c r="JAF12" s="20"/>
      <c r="JAG12" s="20"/>
      <c r="JAH12" s="20"/>
      <c r="JAI12" s="20"/>
      <c r="JAJ12" s="20"/>
      <c r="JAK12" s="20"/>
      <c r="JAL12" s="20"/>
      <c r="JAM12" s="20"/>
      <c r="JAN12" s="20"/>
      <c r="JAO12" s="20"/>
      <c r="JAP12" s="20"/>
      <c r="JAQ12" s="20"/>
      <c r="JAR12" s="20"/>
      <c r="JAS12" s="20"/>
      <c r="JAT12" s="20"/>
      <c r="JAU12" s="20"/>
      <c r="JAV12" s="20"/>
      <c r="JAW12" s="20"/>
      <c r="JAX12" s="20"/>
      <c r="JAY12" s="20"/>
      <c r="JAZ12" s="20"/>
      <c r="JBA12" s="20"/>
      <c r="JBB12" s="20"/>
      <c r="JBC12" s="20"/>
      <c r="JBD12" s="20"/>
      <c r="JBE12" s="20"/>
      <c r="JBF12" s="20"/>
      <c r="JBG12" s="20"/>
      <c r="JBH12" s="20"/>
      <c r="JBI12" s="20"/>
      <c r="JBJ12" s="20"/>
      <c r="JBK12" s="20"/>
      <c r="JBL12" s="20"/>
      <c r="JBM12" s="20"/>
      <c r="JBN12" s="20"/>
      <c r="JBO12" s="20"/>
      <c r="JBP12" s="20"/>
      <c r="JBQ12" s="20"/>
      <c r="JBR12" s="20"/>
      <c r="JBS12" s="20"/>
      <c r="JBT12" s="20"/>
      <c r="JBU12" s="20"/>
      <c r="JBV12" s="20"/>
      <c r="JBW12" s="20"/>
      <c r="JBX12" s="20"/>
      <c r="JBY12" s="20"/>
      <c r="JBZ12" s="20"/>
      <c r="JCA12" s="20"/>
      <c r="JCB12" s="20"/>
      <c r="JCC12" s="20"/>
      <c r="JCD12" s="20"/>
      <c r="JCE12" s="20"/>
      <c r="JCF12" s="20"/>
      <c r="JCG12" s="20"/>
      <c r="JCH12" s="20"/>
      <c r="JCI12" s="20"/>
      <c r="JCJ12" s="20"/>
      <c r="JCK12" s="20"/>
      <c r="JCL12" s="20"/>
      <c r="JCM12" s="20"/>
      <c r="JCN12" s="20"/>
      <c r="JCO12" s="20"/>
      <c r="JCP12" s="20"/>
      <c r="JCQ12" s="20"/>
      <c r="JCR12" s="20"/>
      <c r="JCS12" s="20"/>
      <c r="JCT12" s="20"/>
      <c r="JCU12" s="20"/>
      <c r="JCV12" s="20"/>
      <c r="JCW12" s="20"/>
      <c r="JCX12" s="20"/>
      <c r="JCY12" s="20"/>
      <c r="JCZ12" s="20"/>
      <c r="JDA12" s="20"/>
      <c r="JDB12" s="20"/>
      <c r="JDC12" s="20"/>
      <c r="JDD12" s="20"/>
      <c r="JDE12" s="20"/>
      <c r="JDF12" s="20"/>
      <c r="JDG12" s="20"/>
      <c r="JDH12" s="20"/>
      <c r="JDI12" s="20"/>
      <c r="JDJ12" s="20"/>
      <c r="JDK12" s="20"/>
      <c r="JDL12" s="20"/>
      <c r="JDM12" s="20"/>
      <c r="JDN12" s="20"/>
      <c r="JDO12" s="20"/>
      <c r="JDP12" s="20"/>
      <c r="JDQ12" s="20"/>
      <c r="JDR12" s="20"/>
      <c r="JDS12" s="20"/>
      <c r="JDT12" s="20"/>
      <c r="JDU12" s="20"/>
      <c r="JDV12" s="20"/>
      <c r="JDW12" s="20"/>
      <c r="JDX12" s="20"/>
      <c r="JDY12" s="20"/>
      <c r="JDZ12" s="20"/>
      <c r="JEA12" s="20"/>
      <c r="JEB12" s="20"/>
      <c r="JEC12" s="20"/>
      <c r="JED12" s="20"/>
      <c r="JEE12" s="20"/>
      <c r="JEF12" s="20"/>
      <c r="JEG12" s="20"/>
      <c r="JEH12" s="20"/>
      <c r="JEI12" s="20"/>
      <c r="JEJ12" s="20"/>
      <c r="JEK12" s="20"/>
      <c r="JEL12" s="20"/>
      <c r="JEM12" s="20"/>
      <c r="JEN12" s="20"/>
      <c r="JEO12" s="20"/>
      <c r="JEP12" s="20"/>
      <c r="JEQ12" s="20"/>
      <c r="JER12" s="20"/>
      <c r="JES12" s="20"/>
      <c r="JET12" s="20"/>
      <c r="JEU12" s="20"/>
      <c r="JEV12" s="20"/>
      <c r="JEW12" s="20"/>
      <c r="JEX12" s="20"/>
      <c r="JEY12" s="20"/>
      <c r="JEZ12" s="20"/>
      <c r="JFA12" s="20"/>
      <c r="JFB12" s="20"/>
      <c r="JFC12" s="20"/>
      <c r="JFD12" s="20"/>
      <c r="JFE12" s="20"/>
      <c r="JFF12" s="20"/>
      <c r="JFG12" s="20"/>
      <c r="JFH12" s="20"/>
      <c r="JFI12" s="20"/>
      <c r="JFJ12" s="20"/>
      <c r="JFK12" s="20"/>
      <c r="JFL12" s="20"/>
      <c r="JFM12" s="20"/>
      <c r="JFN12" s="20"/>
      <c r="JFO12" s="20"/>
      <c r="JFP12" s="20"/>
      <c r="JFQ12" s="20"/>
      <c r="JFR12" s="20"/>
      <c r="JFS12" s="20"/>
      <c r="JFT12" s="20"/>
      <c r="JFU12" s="20"/>
      <c r="JFV12" s="20"/>
      <c r="JFW12" s="20"/>
      <c r="JFX12" s="20"/>
      <c r="JFY12" s="20"/>
      <c r="JFZ12" s="20"/>
      <c r="JGA12" s="20"/>
      <c r="JGB12" s="20"/>
      <c r="JGC12" s="20"/>
      <c r="JGD12" s="20"/>
      <c r="JGE12" s="20"/>
      <c r="JGF12" s="20"/>
      <c r="JGG12" s="20"/>
      <c r="JGH12" s="20"/>
      <c r="JGI12" s="20"/>
      <c r="JGJ12" s="20"/>
      <c r="JGK12" s="20"/>
      <c r="JGL12" s="20"/>
      <c r="JGM12" s="20"/>
      <c r="JGN12" s="20"/>
      <c r="JGO12" s="20"/>
      <c r="JGP12" s="20"/>
      <c r="JGQ12" s="20"/>
      <c r="JGR12" s="20"/>
      <c r="JGS12" s="20"/>
      <c r="JGT12" s="20"/>
      <c r="JGU12" s="20"/>
      <c r="JGV12" s="20"/>
      <c r="JGW12" s="20"/>
      <c r="JGX12" s="20"/>
      <c r="JGY12" s="20"/>
      <c r="JGZ12" s="20"/>
      <c r="JHA12" s="20"/>
      <c r="JHB12" s="20"/>
      <c r="JHC12" s="20"/>
      <c r="JHD12" s="20"/>
      <c r="JHE12" s="20"/>
      <c r="JHF12" s="20"/>
      <c r="JHG12" s="20"/>
      <c r="JHH12" s="20"/>
      <c r="JHI12" s="20"/>
      <c r="JHJ12" s="20"/>
      <c r="JHK12" s="20"/>
      <c r="JHL12" s="20"/>
      <c r="JHM12" s="20"/>
      <c r="JHN12" s="20"/>
      <c r="JHO12" s="20"/>
      <c r="JHP12" s="20"/>
      <c r="JHQ12" s="20"/>
      <c r="JHR12" s="20"/>
      <c r="JHS12" s="20"/>
      <c r="JHT12" s="20"/>
      <c r="JHU12" s="20"/>
      <c r="JHV12" s="20"/>
      <c r="JHW12" s="20"/>
      <c r="JHX12" s="20"/>
      <c r="JHY12" s="20"/>
      <c r="JHZ12" s="20"/>
      <c r="JIA12" s="20"/>
      <c r="JIB12" s="20"/>
      <c r="JIC12" s="20"/>
      <c r="JID12" s="20"/>
      <c r="JIE12" s="20"/>
      <c r="JIF12" s="20"/>
      <c r="JIG12" s="20"/>
      <c r="JIH12" s="20"/>
      <c r="JII12" s="20"/>
      <c r="JIJ12" s="20"/>
      <c r="JIK12" s="20"/>
      <c r="JIL12" s="20"/>
      <c r="JIM12" s="20"/>
      <c r="JIN12" s="20"/>
      <c r="JIO12" s="20"/>
      <c r="JIP12" s="20"/>
      <c r="JIQ12" s="20"/>
      <c r="JIR12" s="20"/>
      <c r="JIS12" s="20"/>
      <c r="JIT12" s="20"/>
      <c r="JIU12" s="20"/>
      <c r="JIV12" s="20"/>
      <c r="JIW12" s="20"/>
      <c r="JIX12" s="20"/>
      <c r="JIY12" s="20"/>
      <c r="JIZ12" s="20"/>
      <c r="JJA12" s="20"/>
      <c r="JJB12" s="20"/>
      <c r="JJC12" s="20"/>
      <c r="JJD12" s="20"/>
      <c r="JJE12" s="20"/>
      <c r="JJF12" s="20"/>
      <c r="JJG12" s="20"/>
      <c r="JJH12" s="20"/>
      <c r="JJI12" s="20"/>
      <c r="JJJ12" s="20"/>
      <c r="JJK12" s="20"/>
      <c r="JJL12" s="20"/>
      <c r="JJM12" s="20"/>
      <c r="JJN12" s="20"/>
      <c r="JJO12" s="20"/>
      <c r="JJP12" s="20"/>
      <c r="JJQ12" s="20"/>
      <c r="JJR12" s="20"/>
      <c r="JJS12" s="20"/>
      <c r="JJT12" s="20"/>
      <c r="JJU12" s="20"/>
      <c r="JJV12" s="20"/>
      <c r="JJW12" s="20"/>
      <c r="JJX12" s="20"/>
      <c r="JJY12" s="20"/>
      <c r="JJZ12" s="20"/>
      <c r="JKA12" s="20"/>
      <c r="JKB12" s="20"/>
      <c r="JKC12" s="20"/>
      <c r="JKD12" s="20"/>
      <c r="JKE12" s="20"/>
      <c r="JKF12" s="20"/>
      <c r="JKG12" s="20"/>
      <c r="JKH12" s="20"/>
      <c r="JKI12" s="20"/>
      <c r="JKJ12" s="20"/>
      <c r="JKK12" s="20"/>
      <c r="JKL12" s="20"/>
      <c r="JKM12" s="20"/>
      <c r="JKN12" s="20"/>
      <c r="JKO12" s="20"/>
      <c r="JKP12" s="20"/>
      <c r="JKQ12" s="20"/>
      <c r="JKR12" s="20"/>
      <c r="JKS12" s="20"/>
      <c r="JKT12" s="20"/>
      <c r="JKU12" s="20"/>
      <c r="JKV12" s="20"/>
      <c r="JKW12" s="20"/>
      <c r="JKX12" s="20"/>
      <c r="JKY12" s="20"/>
      <c r="JKZ12" s="20"/>
      <c r="JLA12" s="20"/>
      <c r="JLB12" s="20"/>
      <c r="JLC12" s="20"/>
      <c r="JLD12" s="20"/>
      <c r="JLE12" s="20"/>
      <c r="JLF12" s="20"/>
      <c r="JLG12" s="20"/>
      <c r="JLH12" s="20"/>
      <c r="JLI12" s="20"/>
      <c r="JLJ12" s="20"/>
      <c r="JLK12" s="20"/>
      <c r="JLL12" s="20"/>
      <c r="JLM12" s="20"/>
      <c r="JLN12" s="20"/>
      <c r="JLO12" s="20"/>
      <c r="JLP12" s="20"/>
      <c r="JLQ12" s="20"/>
      <c r="JLR12" s="20"/>
      <c r="JLS12" s="20"/>
      <c r="JLT12" s="20"/>
      <c r="JLU12" s="20"/>
      <c r="JLV12" s="20"/>
      <c r="JLW12" s="20"/>
      <c r="JLX12" s="20"/>
      <c r="JLY12" s="20"/>
      <c r="JLZ12" s="20"/>
      <c r="JMA12" s="20"/>
      <c r="JMB12" s="20"/>
      <c r="JMC12" s="20"/>
      <c r="JMD12" s="20"/>
      <c r="JME12" s="20"/>
      <c r="JMF12" s="20"/>
      <c r="JMG12" s="20"/>
      <c r="JMH12" s="20"/>
      <c r="JMI12" s="20"/>
      <c r="JMJ12" s="20"/>
      <c r="JMK12" s="20"/>
      <c r="JML12" s="20"/>
      <c r="JMM12" s="20"/>
      <c r="JMN12" s="20"/>
      <c r="JMO12" s="20"/>
      <c r="JMP12" s="20"/>
      <c r="JMQ12" s="20"/>
      <c r="JMR12" s="20"/>
      <c r="JMS12" s="20"/>
      <c r="JMT12" s="20"/>
      <c r="JMU12" s="20"/>
      <c r="JMV12" s="20"/>
      <c r="JMW12" s="20"/>
      <c r="JMX12" s="20"/>
      <c r="JMY12" s="20"/>
      <c r="JMZ12" s="20"/>
      <c r="JNA12" s="20"/>
      <c r="JNB12" s="20"/>
      <c r="JNC12" s="20"/>
      <c r="JND12" s="20"/>
      <c r="JNE12" s="20"/>
      <c r="JNF12" s="20"/>
      <c r="JNG12" s="20"/>
      <c r="JNH12" s="20"/>
      <c r="JNI12" s="20"/>
      <c r="JNJ12" s="20"/>
      <c r="JNK12" s="20"/>
      <c r="JNL12" s="20"/>
      <c r="JNM12" s="20"/>
      <c r="JNN12" s="20"/>
      <c r="JNO12" s="20"/>
      <c r="JNP12" s="20"/>
      <c r="JNQ12" s="20"/>
      <c r="JNR12" s="20"/>
      <c r="JNS12" s="20"/>
      <c r="JNT12" s="20"/>
      <c r="JNU12" s="20"/>
      <c r="JNV12" s="20"/>
      <c r="JNW12" s="20"/>
      <c r="JNX12" s="20"/>
      <c r="JNY12" s="20"/>
      <c r="JNZ12" s="20"/>
      <c r="JOA12" s="20"/>
      <c r="JOB12" s="20"/>
      <c r="JOC12" s="20"/>
      <c r="JOD12" s="20"/>
      <c r="JOE12" s="20"/>
      <c r="JOF12" s="20"/>
      <c r="JOG12" s="20"/>
      <c r="JOH12" s="20"/>
      <c r="JOI12" s="20"/>
      <c r="JOJ12" s="20"/>
      <c r="JOK12" s="20"/>
      <c r="JOL12" s="20"/>
      <c r="JOM12" s="20"/>
      <c r="JON12" s="20"/>
      <c r="JOO12" s="20"/>
      <c r="JOP12" s="20"/>
      <c r="JOQ12" s="20"/>
      <c r="JOR12" s="20"/>
      <c r="JOS12" s="20"/>
      <c r="JOT12" s="20"/>
      <c r="JOU12" s="20"/>
      <c r="JOV12" s="20"/>
      <c r="JOW12" s="20"/>
      <c r="JOX12" s="20"/>
      <c r="JOY12" s="20"/>
      <c r="JOZ12" s="20"/>
      <c r="JPA12" s="20"/>
      <c r="JPB12" s="20"/>
      <c r="JPC12" s="20"/>
      <c r="JPD12" s="20"/>
      <c r="JPE12" s="20"/>
      <c r="JPF12" s="20"/>
      <c r="JPG12" s="20"/>
      <c r="JPH12" s="20"/>
      <c r="JPI12" s="20"/>
      <c r="JPJ12" s="20"/>
      <c r="JPK12" s="20"/>
      <c r="JPL12" s="20"/>
      <c r="JPM12" s="20"/>
      <c r="JPN12" s="20"/>
      <c r="JPO12" s="20"/>
      <c r="JPP12" s="20"/>
      <c r="JPQ12" s="20"/>
      <c r="JPR12" s="20"/>
      <c r="JPS12" s="20"/>
      <c r="JPT12" s="20"/>
      <c r="JPU12" s="20"/>
      <c r="JPV12" s="20"/>
      <c r="JPW12" s="20"/>
      <c r="JPX12" s="20"/>
      <c r="JPY12" s="20"/>
      <c r="JPZ12" s="20"/>
      <c r="JQA12" s="20"/>
      <c r="JQB12" s="20"/>
      <c r="JQC12" s="20"/>
      <c r="JQD12" s="20"/>
      <c r="JQE12" s="20"/>
      <c r="JQF12" s="20"/>
      <c r="JQG12" s="20"/>
      <c r="JQH12" s="20"/>
      <c r="JQI12" s="20"/>
      <c r="JQJ12" s="20"/>
      <c r="JQK12" s="20"/>
      <c r="JQL12" s="20"/>
      <c r="JQM12" s="20"/>
      <c r="JQN12" s="20"/>
      <c r="JQO12" s="20"/>
      <c r="JQP12" s="20"/>
      <c r="JQQ12" s="20"/>
      <c r="JQR12" s="20"/>
      <c r="JQS12" s="20"/>
      <c r="JQT12" s="20"/>
      <c r="JQU12" s="20"/>
      <c r="JQV12" s="20"/>
      <c r="JQW12" s="20"/>
      <c r="JQX12" s="20"/>
      <c r="JQY12" s="20"/>
      <c r="JQZ12" s="20"/>
      <c r="JRA12" s="20"/>
      <c r="JRB12" s="20"/>
      <c r="JRC12" s="20"/>
      <c r="JRD12" s="20"/>
      <c r="JRE12" s="20"/>
      <c r="JRF12" s="20"/>
      <c r="JRG12" s="20"/>
      <c r="JRH12" s="20"/>
      <c r="JRI12" s="20"/>
      <c r="JRJ12" s="20"/>
      <c r="JRK12" s="20"/>
      <c r="JRL12" s="20"/>
      <c r="JRM12" s="20"/>
      <c r="JRN12" s="20"/>
      <c r="JRO12" s="20"/>
      <c r="JRP12" s="20"/>
      <c r="JRQ12" s="20"/>
      <c r="JRR12" s="20"/>
      <c r="JRS12" s="20"/>
      <c r="JRT12" s="20"/>
      <c r="JRU12" s="20"/>
      <c r="JRV12" s="20"/>
      <c r="JRW12" s="20"/>
      <c r="JRX12" s="20"/>
      <c r="JRY12" s="20"/>
      <c r="JRZ12" s="20"/>
      <c r="JSA12" s="20"/>
      <c r="JSB12" s="20"/>
      <c r="JSC12" s="20"/>
      <c r="JSD12" s="20"/>
      <c r="JSE12" s="20"/>
      <c r="JSF12" s="20"/>
      <c r="JSG12" s="20"/>
      <c r="JSH12" s="20"/>
      <c r="JSI12" s="20"/>
      <c r="JSJ12" s="20"/>
      <c r="JSK12" s="20"/>
      <c r="JSL12" s="20"/>
      <c r="JSM12" s="20"/>
      <c r="JSN12" s="20"/>
      <c r="JSO12" s="20"/>
      <c r="JSP12" s="20"/>
      <c r="JSQ12" s="20"/>
      <c r="JSR12" s="20"/>
      <c r="JSS12" s="20"/>
      <c r="JST12" s="20"/>
      <c r="JSU12" s="20"/>
      <c r="JSV12" s="20"/>
      <c r="JSW12" s="20"/>
      <c r="JSX12" s="20"/>
      <c r="JSY12" s="20"/>
      <c r="JSZ12" s="20"/>
      <c r="JTA12" s="20"/>
      <c r="JTB12" s="20"/>
      <c r="JTC12" s="20"/>
      <c r="JTD12" s="20"/>
      <c r="JTE12" s="20"/>
      <c r="JTF12" s="20"/>
      <c r="JTG12" s="20"/>
      <c r="JTH12" s="20"/>
      <c r="JTI12" s="20"/>
      <c r="JTJ12" s="20"/>
      <c r="JTK12" s="20"/>
      <c r="JTL12" s="20"/>
      <c r="JTM12" s="20"/>
      <c r="JTN12" s="20"/>
      <c r="JTO12" s="20"/>
      <c r="JTP12" s="20"/>
      <c r="JTQ12" s="20"/>
      <c r="JTR12" s="20"/>
      <c r="JTS12" s="20"/>
      <c r="JTT12" s="20"/>
      <c r="JTU12" s="20"/>
      <c r="JTV12" s="20"/>
      <c r="JTW12" s="20"/>
      <c r="JTX12" s="20"/>
      <c r="JTY12" s="20"/>
      <c r="JTZ12" s="20"/>
      <c r="JUA12" s="20"/>
      <c r="JUB12" s="20"/>
      <c r="JUC12" s="20"/>
      <c r="JUD12" s="20"/>
      <c r="JUE12" s="20"/>
      <c r="JUF12" s="20"/>
      <c r="JUG12" s="20"/>
      <c r="JUH12" s="20"/>
      <c r="JUI12" s="20"/>
      <c r="JUJ12" s="20"/>
      <c r="JUK12" s="20"/>
      <c r="JUL12" s="20"/>
      <c r="JUM12" s="20"/>
      <c r="JUN12" s="20"/>
      <c r="JUO12" s="20"/>
      <c r="JUP12" s="20"/>
      <c r="JUQ12" s="20"/>
      <c r="JUR12" s="20"/>
      <c r="JUS12" s="20"/>
      <c r="JUT12" s="20"/>
      <c r="JUU12" s="20"/>
      <c r="JUV12" s="20"/>
      <c r="JUW12" s="20"/>
      <c r="JUX12" s="20"/>
      <c r="JUY12" s="20"/>
      <c r="JUZ12" s="20"/>
      <c r="JVA12" s="20"/>
      <c r="JVB12" s="20"/>
      <c r="JVC12" s="20"/>
      <c r="JVD12" s="20"/>
      <c r="JVE12" s="20"/>
      <c r="JVF12" s="20"/>
      <c r="JVG12" s="20"/>
      <c r="JVH12" s="20"/>
      <c r="JVI12" s="20"/>
      <c r="JVJ12" s="20"/>
      <c r="JVK12" s="20"/>
      <c r="JVL12" s="20"/>
      <c r="JVM12" s="20"/>
      <c r="JVN12" s="20"/>
      <c r="JVO12" s="20"/>
      <c r="JVP12" s="20"/>
      <c r="JVQ12" s="20"/>
      <c r="JVR12" s="20"/>
      <c r="JVS12" s="20"/>
      <c r="JVT12" s="20"/>
      <c r="JVU12" s="20"/>
      <c r="JVV12" s="20"/>
      <c r="JVW12" s="20"/>
      <c r="JVX12" s="20"/>
      <c r="JVY12" s="20"/>
      <c r="JVZ12" s="20"/>
      <c r="JWA12" s="20"/>
      <c r="JWB12" s="20"/>
      <c r="JWC12" s="20"/>
      <c r="JWD12" s="20"/>
      <c r="JWE12" s="20"/>
      <c r="JWF12" s="20"/>
      <c r="JWG12" s="20"/>
      <c r="JWH12" s="20"/>
      <c r="JWI12" s="20"/>
      <c r="JWJ12" s="20"/>
      <c r="JWK12" s="20"/>
      <c r="JWL12" s="20"/>
      <c r="JWM12" s="20"/>
      <c r="JWN12" s="20"/>
      <c r="JWO12" s="20"/>
      <c r="JWP12" s="20"/>
      <c r="JWQ12" s="20"/>
      <c r="JWR12" s="20"/>
      <c r="JWS12" s="20"/>
      <c r="JWT12" s="20"/>
      <c r="JWU12" s="20"/>
      <c r="JWV12" s="20"/>
      <c r="JWW12" s="20"/>
      <c r="JWX12" s="20"/>
      <c r="JWY12" s="20"/>
      <c r="JWZ12" s="20"/>
      <c r="JXA12" s="20"/>
      <c r="JXB12" s="20"/>
      <c r="JXC12" s="20"/>
      <c r="JXD12" s="20"/>
      <c r="JXE12" s="20"/>
      <c r="JXF12" s="20"/>
      <c r="JXG12" s="20"/>
      <c r="JXH12" s="20"/>
      <c r="JXI12" s="20"/>
      <c r="JXJ12" s="20"/>
      <c r="JXK12" s="20"/>
      <c r="JXL12" s="20"/>
      <c r="JXM12" s="20"/>
      <c r="JXN12" s="20"/>
      <c r="JXO12" s="20"/>
      <c r="JXP12" s="20"/>
      <c r="JXQ12" s="20"/>
      <c r="JXR12" s="20"/>
      <c r="JXS12" s="20"/>
      <c r="JXT12" s="20"/>
      <c r="JXU12" s="20"/>
      <c r="JXV12" s="20"/>
      <c r="JXW12" s="20"/>
      <c r="JXX12" s="20"/>
      <c r="JXY12" s="20"/>
      <c r="JXZ12" s="20"/>
      <c r="JYA12" s="20"/>
      <c r="JYB12" s="20"/>
      <c r="JYC12" s="20"/>
      <c r="JYD12" s="20"/>
      <c r="JYE12" s="20"/>
      <c r="JYF12" s="20"/>
      <c r="JYG12" s="20"/>
      <c r="JYH12" s="20"/>
      <c r="JYI12" s="20"/>
      <c r="JYJ12" s="20"/>
      <c r="JYK12" s="20"/>
      <c r="JYL12" s="20"/>
      <c r="JYM12" s="20"/>
      <c r="JYN12" s="20"/>
      <c r="JYO12" s="20"/>
      <c r="JYP12" s="20"/>
      <c r="JYQ12" s="20"/>
      <c r="JYR12" s="20"/>
      <c r="JYS12" s="20"/>
      <c r="JYT12" s="20"/>
      <c r="JYU12" s="20"/>
      <c r="JYV12" s="20"/>
      <c r="JYW12" s="20"/>
      <c r="JYX12" s="20"/>
      <c r="JYY12" s="20"/>
      <c r="JYZ12" s="20"/>
      <c r="JZA12" s="20"/>
      <c r="JZB12" s="20"/>
      <c r="JZC12" s="20"/>
      <c r="JZD12" s="20"/>
      <c r="JZE12" s="20"/>
      <c r="JZF12" s="20"/>
      <c r="JZG12" s="20"/>
      <c r="JZH12" s="20"/>
      <c r="JZI12" s="20"/>
      <c r="JZJ12" s="20"/>
      <c r="JZK12" s="20"/>
      <c r="JZL12" s="20"/>
      <c r="JZM12" s="20"/>
      <c r="JZN12" s="20"/>
      <c r="JZO12" s="20"/>
      <c r="JZP12" s="20"/>
      <c r="JZQ12" s="20"/>
      <c r="JZR12" s="20"/>
      <c r="JZS12" s="20"/>
      <c r="JZT12" s="20"/>
      <c r="JZU12" s="20"/>
      <c r="JZV12" s="20"/>
      <c r="JZW12" s="20"/>
      <c r="JZX12" s="20"/>
      <c r="JZY12" s="20"/>
      <c r="JZZ12" s="20"/>
      <c r="KAA12" s="20"/>
      <c r="KAB12" s="20"/>
      <c r="KAC12" s="20"/>
      <c r="KAD12" s="20"/>
      <c r="KAE12" s="20"/>
      <c r="KAF12" s="20"/>
      <c r="KAG12" s="20"/>
      <c r="KAH12" s="20"/>
      <c r="KAI12" s="20"/>
      <c r="KAJ12" s="20"/>
      <c r="KAK12" s="20"/>
      <c r="KAL12" s="20"/>
      <c r="KAM12" s="20"/>
      <c r="KAN12" s="20"/>
      <c r="KAO12" s="20"/>
      <c r="KAP12" s="20"/>
      <c r="KAQ12" s="20"/>
      <c r="KAR12" s="20"/>
      <c r="KAS12" s="20"/>
      <c r="KAT12" s="20"/>
      <c r="KAU12" s="20"/>
      <c r="KAV12" s="20"/>
      <c r="KAW12" s="20"/>
      <c r="KAX12" s="20"/>
      <c r="KAY12" s="20"/>
      <c r="KAZ12" s="20"/>
      <c r="KBA12" s="20"/>
      <c r="KBB12" s="20"/>
      <c r="KBC12" s="20"/>
      <c r="KBD12" s="20"/>
      <c r="KBE12" s="20"/>
      <c r="KBF12" s="20"/>
      <c r="KBG12" s="20"/>
      <c r="KBH12" s="20"/>
      <c r="KBI12" s="20"/>
      <c r="KBJ12" s="20"/>
      <c r="KBK12" s="20"/>
      <c r="KBL12" s="20"/>
      <c r="KBM12" s="20"/>
      <c r="KBN12" s="20"/>
      <c r="KBO12" s="20"/>
      <c r="KBP12" s="20"/>
      <c r="KBQ12" s="20"/>
      <c r="KBR12" s="20"/>
      <c r="KBS12" s="20"/>
      <c r="KBT12" s="20"/>
      <c r="KBU12" s="20"/>
      <c r="KBV12" s="20"/>
      <c r="KBW12" s="20"/>
      <c r="KBX12" s="20"/>
      <c r="KBY12" s="20"/>
      <c r="KBZ12" s="20"/>
      <c r="KCA12" s="20"/>
      <c r="KCB12" s="20"/>
      <c r="KCC12" s="20"/>
      <c r="KCD12" s="20"/>
      <c r="KCE12" s="20"/>
      <c r="KCF12" s="20"/>
      <c r="KCG12" s="20"/>
      <c r="KCH12" s="20"/>
      <c r="KCI12" s="20"/>
      <c r="KCJ12" s="20"/>
      <c r="KCK12" s="20"/>
      <c r="KCL12" s="20"/>
      <c r="KCM12" s="20"/>
      <c r="KCN12" s="20"/>
      <c r="KCO12" s="20"/>
      <c r="KCP12" s="20"/>
      <c r="KCQ12" s="20"/>
      <c r="KCR12" s="20"/>
      <c r="KCS12" s="20"/>
      <c r="KCT12" s="20"/>
      <c r="KCU12" s="20"/>
      <c r="KCV12" s="20"/>
      <c r="KCW12" s="20"/>
      <c r="KCX12" s="20"/>
      <c r="KCY12" s="20"/>
      <c r="KCZ12" s="20"/>
      <c r="KDA12" s="20"/>
      <c r="KDB12" s="20"/>
      <c r="KDC12" s="20"/>
      <c r="KDD12" s="20"/>
      <c r="KDE12" s="20"/>
      <c r="KDF12" s="20"/>
      <c r="KDG12" s="20"/>
      <c r="KDH12" s="20"/>
      <c r="KDI12" s="20"/>
      <c r="KDJ12" s="20"/>
      <c r="KDK12" s="20"/>
      <c r="KDL12" s="20"/>
      <c r="KDM12" s="20"/>
      <c r="KDN12" s="20"/>
      <c r="KDO12" s="20"/>
      <c r="KDP12" s="20"/>
      <c r="KDQ12" s="20"/>
      <c r="KDR12" s="20"/>
      <c r="KDS12" s="20"/>
      <c r="KDT12" s="20"/>
      <c r="KDU12" s="20"/>
      <c r="KDV12" s="20"/>
      <c r="KDW12" s="20"/>
      <c r="KDX12" s="20"/>
      <c r="KDY12" s="20"/>
      <c r="KDZ12" s="20"/>
      <c r="KEA12" s="20"/>
      <c r="KEB12" s="20"/>
      <c r="KEC12" s="20"/>
      <c r="KED12" s="20"/>
      <c r="KEE12" s="20"/>
      <c r="KEF12" s="20"/>
      <c r="KEG12" s="20"/>
      <c r="KEH12" s="20"/>
      <c r="KEI12" s="20"/>
      <c r="KEJ12" s="20"/>
      <c r="KEK12" s="20"/>
      <c r="KEL12" s="20"/>
      <c r="KEM12" s="20"/>
      <c r="KEN12" s="20"/>
      <c r="KEO12" s="20"/>
      <c r="KEP12" s="20"/>
      <c r="KEQ12" s="20"/>
      <c r="KER12" s="20"/>
      <c r="KES12" s="20"/>
      <c r="KET12" s="20"/>
      <c r="KEU12" s="20"/>
      <c r="KEV12" s="20"/>
      <c r="KEW12" s="20"/>
      <c r="KEX12" s="20"/>
      <c r="KEY12" s="20"/>
      <c r="KEZ12" s="20"/>
      <c r="KFA12" s="20"/>
      <c r="KFB12" s="20"/>
      <c r="KFC12" s="20"/>
      <c r="KFD12" s="20"/>
      <c r="KFE12" s="20"/>
      <c r="KFF12" s="20"/>
      <c r="KFG12" s="20"/>
      <c r="KFH12" s="20"/>
      <c r="KFI12" s="20"/>
      <c r="KFJ12" s="20"/>
      <c r="KFK12" s="20"/>
      <c r="KFL12" s="20"/>
      <c r="KFM12" s="20"/>
      <c r="KFN12" s="20"/>
      <c r="KFO12" s="20"/>
      <c r="KFP12" s="20"/>
      <c r="KFQ12" s="20"/>
      <c r="KFR12" s="20"/>
      <c r="KFS12" s="20"/>
      <c r="KFT12" s="20"/>
      <c r="KFU12" s="20"/>
      <c r="KFV12" s="20"/>
      <c r="KFW12" s="20"/>
      <c r="KFX12" s="20"/>
      <c r="KFY12" s="20"/>
      <c r="KFZ12" s="20"/>
      <c r="KGA12" s="20"/>
      <c r="KGB12" s="20"/>
      <c r="KGC12" s="20"/>
      <c r="KGD12" s="20"/>
      <c r="KGE12" s="20"/>
      <c r="KGF12" s="20"/>
      <c r="KGG12" s="20"/>
      <c r="KGH12" s="20"/>
      <c r="KGI12" s="20"/>
      <c r="KGJ12" s="20"/>
      <c r="KGK12" s="20"/>
      <c r="KGL12" s="20"/>
      <c r="KGM12" s="20"/>
      <c r="KGN12" s="20"/>
      <c r="KGO12" s="20"/>
      <c r="KGP12" s="20"/>
      <c r="KGQ12" s="20"/>
      <c r="KGR12" s="20"/>
      <c r="KGS12" s="20"/>
      <c r="KGT12" s="20"/>
      <c r="KGU12" s="20"/>
      <c r="KGV12" s="20"/>
      <c r="KGW12" s="20"/>
      <c r="KGX12" s="20"/>
      <c r="KGY12" s="20"/>
      <c r="KGZ12" s="20"/>
      <c r="KHA12" s="20"/>
      <c r="KHB12" s="20"/>
      <c r="KHC12" s="20"/>
      <c r="KHD12" s="20"/>
      <c r="KHE12" s="20"/>
      <c r="KHF12" s="20"/>
      <c r="KHG12" s="20"/>
      <c r="KHH12" s="20"/>
      <c r="KHI12" s="20"/>
      <c r="KHJ12" s="20"/>
      <c r="KHK12" s="20"/>
      <c r="KHL12" s="20"/>
      <c r="KHM12" s="20"/>
      <c r="KHN12" s="20"/>
      <c r="KHO12" s="20"/>
      <c r="KHP12" s="20"/>
      <c r="KHQ12" s="20"/>
      <c r="KHR12" s="20"/>
      <c r="KHS12" s="20"/>
      <c r="KHT12" s="20"/>
      <c r="KHU12" s="20"/>
      <c r="KHV12" s="20"/>
      <c r="KHW12" s="20"/>
      <c r="KHX12" s="20"/>
      <c r="KHY12" s="20"/>
      <c r="KHZ12" s="20"/>
      <c r="KIA12" s="20"/>
      <c r="KIB12" s="20"/>
      <c r="KIC12" s="20"/>
      <c r="KID12" s="20"/>
      <c r="KIE12" s="20"/>
      <c r="KIF12" s="20"/>
      <c r="KIG12" s="20"/>
      <c r="KIH12" s="20"/>
      <c r="KII12" s="20"/>
      <c r="KIJ12" s="20"/>
      <c r="KIK12" s="20"/>
      <c r="KIL12" s="20"/>
      <c r="KIM12" s="20"/>
      <c r="KIN12" s="20"/>
      <c r="KIO12" s="20"/>
      <c r="KIP12" s="20"/>
      <c r="KIQ12" s="20"/>
      <c r="KIR12" s="20"/>
      <c r="KIS12" s="20"/>
      <c r="KIT12" s="20"/>
      <c r="KIU12" s="20"/>
      <c r="KIV12" s="20"/>
      <c r="KIW12" s="20"/>
      <c r="KIX12" s="20"/>
      <c r="KIY12" s="20"/>
      <c r="KIZ12" s="20"/>
      <c r="KJA12" s="20"/>
      <c r="KJB12" s="20"/>
      <c r="KJC12" s="20"/>
      <c r="KJD12" s="20"/>
      <c r="KJE12" s="20"/>
      <c r="KJF12" s="20"/>
      <c r="KJG12" s="20"/>
      <c r="KJH12" s="20"/>
      <c r="KJI12" s="20"/>
      <c r="KJJ12" s="20"/>
      <c r="KJK12" s="20"/>
      <c r="KJL12" s="20"/>
      <c r="KJM12" s="20"/>
      <c r="KJN12" s="20"/>
      <c r="KJO12" s="20"/>
      <c r="KJP12" s="20"/>
      <c r="KJQ12" s="20"/>
      <c r="KJR12" s="20"/>
      <c r="KJS12" s="20"/>
      <c r="KJT12" s="20"/>
      <c r="KJU12" s="20"/>
      <c r="KJV12" s="20"/>
      <c r="KJW12" s="20"/>
      <c r="KJX12" s="20"/>
      <c r="KJY12" s="20"/>
      <c r="KJZ12" s="20"/>
      <c r="KKA12" s="20"/>
      <c r="KKB12" s="20"/>
      <c r="KKC12" s="20"/>
      <c r="KKD12" s="20"/>
      <c r="KKE12" s="20"/>
      <c r="KKF12" s="20"/>
      <c r="KKG12" s="20"/>
      <c r="KKH12" s="20"/>
      <c r="KKI12" s="20"/>
      <c r="KKJ12" s="20"/>
      <c r="KKK12" s="20"/>
      <c r="KKL12" s="20"/>
      <c r="KKM12" s="20"/>
      <c r="KKN12" s="20"/>
      <c r="KKO12" s="20"/>
      <c r="KKP12" s="20"/>
      <c r="KKQ12" s="20"/>
      <c r="KKR12" s="20"/>
      <c r="KKS12" s="20"/>
      <c r="KKT12" s="20"/>
      <c r="KKU12" s="20"/>
      <c r="KKV12" s="20"/>
      <c r="KKW12" s="20"/>
      <c r="KKX12" s="20"/>
      <c r="KKY12" s="20"/>
      <c r="KKZ12" s="20"/>
      <c r="KLA12" s="20"/>
      <c r="KLB12" s="20"/>
      <c r="KLC12" s="20"/>
      <c r="KLD12" s="20"/>
      <c r="KLE12" s="20"/>
      <c r="KLF12" s="20"/>
      <c r="KLG12" s="20"/>
      <c r="KLH12" s="20"/>
      <c r="KLI12" s="20"/>
      <c r="KLJ12" s="20"/>
      <c r="KLK12" s="20"/>
      <c r="KLL12" s="20"/>
      <c r="KLM12" s="20"/>
      <c r="KLN12" s="20"/>
      <c r="KLO12" s="20"/>
      <c r="KLP12" s="20"/>
      <c r="KLQ12" s="20"/>
      <c r="KLR12" s="20"/>
      <c r="KLS12" s="20"/>
      <c r="KLT12" s="20"/>
      <c r="KLU12" s="20"/>
      <c r="KLV12" s="20"/>
      <c r="KLW12" s="20"/>
      <c r="KLX12" s="20"/>
      <c r="KLY12" s="20"/>
      <c r="KLZ12" s="20"/>
      <c r="KMA12" s="20"/>
      <c r="KMB12" s="20"/>
      <c r="KMC12" s="20"/>
      <c r="KMD12" s="20"/>
      <c r="KME12" s="20"/>
      <c r="KMF12" s="20"/>
      <c r="KMG12" s="20"/>
      <c r="KMH12" s="20"/>
      <c r="KMI12" s="20"/>
      <c r="KMJ12" s="20"/>
      <c r="KMK12" s="20"/>
      <c r="KML12" s="20"/>
      <c r="KMM12" s="20"/>
      <c r="KMN12" s="20"/>
      <c r="KMO12" s="20"/>
      <c r="KMP12" s="20"/>
      <c r="KMQ12" s="20"/>
      <c r="KMR12" s="20"/>
      <c r="KMS12" s="20"/>
      <c r="KMT12" s="20"/>
      <c r="KMU12" s="20"/>
      <c r="KMV12" s="20"/>
      <c r="KMW12" s="20"/>
      <c r="KMX12" s="20"/>
      <c r="KMY12" s="20"/>
      <c r="KMZ12" s="20"/>
      <c r="KNA12" s="20"/>
      <c r="KNB12" s="20"/>
      <c r="KNC12" s="20"/>
      <c r="KND12" s="20"/>
      <c r="KNE12" s="20"/>
      <c r="KNF12" s="20"/>
      <c r="KNG12" s="20"/>
      <c r="KNH12" s="20"/>
      <c r="KNI12" s="20"/>
      <c r="KNJ12" s="20"/>
      <c r="KNK12" s="20"/>
      <c r="KNL12" s="20"/>
      <c r="KNM12" s="20"/>
      <c r="KNN12" s="20"/>
      <c r="KNO12" s="20"/>
      <c r="KNP12" s="20"/>
      <c r="KNQ12" s="20"/>
      <c r="KNR12" s="20"/>
      <c r="KNS12" s="20"/>
      <c r="KNT12" s="20"/>
      <c r="KNU12" s="20"/>
      <c r="KNV12" s="20"/>
      <c r="KNW12" s="20"/>
      <c r="KNX12" s="20"/>
      <c r="KNY12" s="20"/>
      <c r="KNZ12" s="20"/>
      <c r="KOA12" s="20"/>
      <c r="KOB12" s="20"/>
      <c r="KOC12" s="20"/>
      <c r="KOD12" s="20"/>
      <c r="KOE12" s="20"/>
      <c r="KOF12" s="20"/>
      <c r="KOG12" s="20"/>
      <c r="KOH12" s="20"/>
      <c r="KOI12" s="20"/>
      <c r="KOJ12" s="20"/>
      <c r="KOK12" s="20"/>
      <c r="KOL12" s="20"/>
      <c r="KOM12" s="20"/>
      <c r="KON12" s="20"/>
      <c r="KOO12" s="20"/>
      <c r="KOP12" s="20"/>
      <c r="KOQ12" s="20"/>
      <c r="KOR12" s="20"/>
      <c r="KOS12" s="20"/>
      <c r="KOT12" s="20"/>
      <c r="KOU12" s="20"/>
      <c r="KOV12" s="20"/>
      <c r="KOW12" s="20"/>
      <c r="KOX12" s="20"/>
      <c r="KOY12" s="20"/>
      <c r="KOZ12" s="20"/>
      <c r="KPA12" s="20"/>
      <c r="KPB12" s="20"/>
      <c r="KPC12" s="20"/>
      <c r="KPD12" s="20"/>
      <c r="KPE12" s="20"/>
      <c r="KPF12" s="20"/>
      <c r="KPG12" s="20"/>
      <c r="KPH12" s="20"/>
      <c r="KPI12" s="20"/>
      <c r="KPJ12" s="20"/>
      <c r="KPK12" s="20"/>
      <c r="KPL12" s="20"/>
      <c r="KPM12" s="20"/>
      <c r="KPN12" s="20"/>
      <c r="KPO12" s="20"/>
      <c r="KPP12" s="20"/>
      <c r="KPQ12" s="20"/>
      <c r="KPR12" s="20"/>
      <c r="KPS12" s="20"/>
      <c r="KPT12" s="20"/>
      <c r="KPU12" s="20"/>
      <c r="KPV12" s="20"/>
      <c r="KPW12" s="20"/>
      <c r="KPX12" s="20"/>
      <c r="KPY12" s="20"/>
      <c r="KPZ12" s="20"/>
      <c r="KQA12" s="20"/>
      <c r="KQB12" s="20"/>
      <c r="KQC12" s="20"/>
      <c r="KQD12" s="20"/>
      <c r="KQE12" s="20"/>
      <c r="KQF12" s="20"/>
      <c r="KQG12" s="20"/>
      <c r="KQH12" s="20"/>
      <c r="KQI12" s="20"/>
      <c r="KQJ12" s="20"/>
      <c r="KQK12" s="20"/>
      <c r="KQL12" s="20"/>
      <c r="KQM12" s="20"/>
      <c r="KQN12" s="20"/>
      <c r="KQO12" s="20"/>
      <c r="KQP12" s="20"/>
      <c r="KQQ12" s="20"/>
      <c r="KQR12" s="20"/>
      <c r="KQS12" s="20"/>
      <c r="KQT12" s="20"/>
      <c r="KQU12" s="20"/>
      <c r="KQV12" s="20"/>
      <c r="KQW12" s="20"/>
      <c r="KQX12" s="20"/>
      <c r="KQY12" s="20"/>
      <c r="KQZ12" s="20"/>
      <c r="KRA12" s="20"/>
      <c r="KRB12" s="20"/>
      <c r="KRC12" s="20"/>
      <c r="KRD12" s="20"/>
      <c r="KRE12" s="20"/>
      <c r="KRF12" s="20"/>
      <c r="KRG12" s="20"/>
      <c r="KRH12" s="20"/>
      <c r="KRI12" s="20"/>
      <c r="KRJ12" s="20"/>
      <c r="KRK12" s="20"/>
      <c r="KRL12" s="20"/>
      <c r="KRM12" s="20"/>
      <c r="KRN12" s="20"/>
      <c r="KRO12" s="20"/>
      <c r="KRP12" s="20"/>
      <c r="KRQ12" s="20"/>
      <c r="KRR12" s="20"/>
      <c r="KRS12" s="20"/>
      <c r="KRT12" s="20"/>
      <c r="KRU12" s="20"/>
      <c r="KRV12" s="20"/>
      <c r="KRW12" s="20"/>
      <c r="KRX12" s="20"/>
      <c r="KRY12" s="20"/>
      <c r="KRZ12" s="20"/>
      <c r="KSA12" s="20"/>
      <c r="KSB12" s="20"/>
      <c r="KSC12" s="20"/>
      <c r="KSD12" s="20"/>
      <c r="KSE12" s="20"/>
      <c r="KSF12" s="20"/>
      <c r="KSG12" s="20"/>
      <c r="KSH12" s="20"/>
      <c r="KSI12" s="20"/>
      <c r="KSJ12" s="20"/>
      <c r="KSK12" s="20"/>
      <c r="KSL12" s="20"/>
      <c r="KSM12" s="20"/>
      <c r="KSN12" s="20"/>
      <c r="KSO12" s="20"/>
      <c r="KSP12" s="20"/>
      <c r="KSQ12" s="20"/>
      <c r="KSR12" s="20"/>
      <c r="KSS12" s="20"/>
      <c r="KST12" s="20"/>
      <c r="KSU12" s="20"/>
      <c r="KSV12" s="20"/>
      <c r="KSW12" s="20"/>
      <c r="KSX12" s="20"/>
      <c r="KSY12" s="20"/>
      <c r="KSZ12" s="20"/>
      <c r="KTA12" s="20"/>
      <c r="KTB12" s="20"/>
      <c r="KTC12" s="20"/>
      <c r="KTD12" s="20"/>
      <c r="KTE12" s="20"/>
      <c r="KTF12" s="20"/>
      <c r="KTG12" s="20"/>
      <c r="KTH12" s="20"/>
      <c r="KTI12" s="20"/>
      <c r="KTJ12" s="20"/>
      <c r="KTK12" s="20"/>
      <c r="KTL12" s="20"/>
      <c r="KTM12" s="20"/>
      <c r="KTN12" s="20"/>
      <c r="KTO12" s="20"/>
      <c r="KTP12" s="20"/>
      <c r="KTQ12" s="20"/>
      <c r="KTR12" s="20"/>
      <c r="KTS12" s="20"/>
      <c r="KTT12" s="20"/>
      <c r="KTU12" s="20"/>
      <c r="KTV12" s="20"/>
      <c r="KTW12" s="20"/>
      <c r="KTX12" s="20"/>
      <c r="KTY12" s="20"/>
      <c r="KTZ12" s="20"/>
      <c r="KUA12" s="20"/>
      <c r="KUB12" s="20"/>
      <c r="KUC12" s="20"/>
      <c r="KUD12" s="20"/>
      <c r="KUE12" s="20"/>
      <c r="KUF12" s="20"/>
      <c r="KUG12" s="20"/>
      <c r="KUH12" s="20"/>
      <c r="KUI12" s="20"/>
      <c r="KUJ12" s="20"/>
      <c r="KUK12" s="20"/>
      <c r="KUL12" s="20"/>
      <c r="KUM12" s="20"/>
      <c r="KUN12" s="20"/>
      <c r="KUO12" s="20"/>
      <c r="KUP12" s="20"/>
      <c r="KUQ12" s="20"/>
      <c r="KUR12" s="20"/>
      <c r="KUS12" s="20"/>
      <c r="KUT12" s="20"/>
      <c r="KUU12" s="20"/>
      <c r="KUV12" s="20"/>
      <c r="KUW12" s="20"/>
      <c r="KUX12" s="20"/>
      <c r="KUY12" s="20"/>
      <c r="KUZ12" s="20"/>
      <c r="KVA12" s="20"/>
      <c r="KVB12" s="20"/>
      <c r="KVC12" s="20"/>
      <c r="KVD12" s="20"/>
      <c r="KVE12" s="20"/>
      <c r="KVF12" s="20"/>
      <c r="KVG12" s="20"/>
      <c r="KVH12" s="20"/>
      <c r="KVI12" s="20"/>
      <c r="KVJ12" s="20"/>
      <c r="KVK12" s="20"/>
      <c r="KVL12" s="20"/>
      <c r="KVM12" s="20"/>
      <c r="KVN12" s="20"/>
      <c r="KVO12" s="20"/>
      <c r="KVP12" s="20"/>
      <c r="KVQ12" s="20"/>
      <c r="KVR12" s="20"/>
      <c r="KVS12" s="20"/>
      <c r="KVT12" s="20"/>
      <c r="KVU12" s="20"/>
      <c r="KVV12" s="20"/>
      <c r="KVW12" s="20"/>
      <c r="KVX12" s="20"/>
      <c r="KVY12" s="20"/>
      <c r="KVZ12" s="20"/>
      <c r="KWA12" s="20"/>
      <c r="KWB12" s="20"/>
      <c r="KWC12" s="20"/>
      <c r="KWD12" s="20"/>
      <c r="KWE12" s="20"/>
      <c r="KWF12" s="20"/>
      <c r="KWG12" s="20"/>
      <c r="KWH12" s="20"/>
      <c r="KWI12" s="20"/>
      <c r="KWJ12" s="20"/>
      <c r="KWK12" s="20"/>
      <c r="KWL12" s="20"/>
      <c r="KWM12" s="20"/>
      <c r="KWN12" s="20"/>
      <c r="KWO12" s="20"/>
      <c r="KWP12" s="20"/>
      <c r="KWQ12" s="20"/>
      <c r="KWR12" s="20"/>
      <c r="KWS12" s="20"/>
      <c r="KWT12" s="20"/>
      <c r="KWU12" s="20"/>
      <c r="KWV12" s="20"/>
      <c r="KWW12" s="20"/>
      <c r="KWX12" s="20"/>
      <c r="KWY12" s="20"/>
      <c r="KWZ12" s="20"/>
      <c r="KXA12" s="20"/>
      <c r="KXB12" s="20"/>
      <c r="KXC12" s="20"/>
      <c r="KXD12" s="20"/>
      <c r="KXE12" s="20"/>
      <c r="KXF12" s="20"/>
      <c r="KXG12" s="20"/>
      <c r="KXH12" s="20"/>
      <c r="KXI12" s="20"/>
      <c r="KXJ12" s="20"/>
      <c r="KXK12" s="20"/>
      <c r="KXL12" s="20"/>
      <c r="KXM12" s="20"/>
      <c r="KXN12" s="20"/>
      <c r="KXO12" s="20"/>
      <c r="KXP12" s="20"/>
      <c r="KXQ12" s="20"/>
      <c r="KXR12" s="20"/>
      <c r="KXS12" s="20"/>
      <c r="KXT12" s="20"/>
      <c r="KXU12" s="20"/>
      <c r="KXV12" s="20"/>
      <c r="KXW12" s="20"/>
      <c r="KXX12" s="20"/>
      <c r="KXY12" s="20"/>
      <c r="KXZ12" s="20"/>
      <c r="KYA12" s="20"/>
      <c r="KYB12" s="20"/>
      <c r="KYC12" s="20"/>
      <c r="KYD12" s="20"/>
      <c r="KYE12" s="20"/>
      <c r="KYF12" s="20"/>
      <c r="KYG12" s="20"/>
      <c r="KYH12" s="20"/>
      <c r="KYI12" s="20"/>
      <c r="KYJ12" s="20"/>
      <c r="KYK12" s="20"/>
      <c r="KYL12" s="20"/>
      <c r="KYM12" s="20"/>
      <c r="KYN12" s="20"/>
      <c r="KYO12" s="20"/>
      <c r="KYP12" s="20"/>
      <c r="KYQ12" s="20"/>
      <c r="KYR12" s="20"/>
      <c r="KYS12" s="20"/>
      <c r="KYT12" s="20"/>
      <c r="KYU12" s="20"/>
      <c r="KYV12" s="20"/>
      <c r="KYW12" s="20"/>
      <c r="KYX12" s="20"/>
      <c r="KYY12" s="20"/>
      <c r="KYZ12" s="20"/>
      <c r="KZA12" s="20"/>
      <c r="KZB12" s="20"/>
      <c r="KZC12" s="20"/>
      <c r="KZD12" s="20"/>
      <c r="KZE12" s="20"/>
      <c r="KZF12" s="20"/>
      <c r="KZG12" s="20"/>
      <c r="KZH12" s="20"/>
      <c r="KZI12" s="20"/>
      <c r="KZJ12" s="20"/>
      <c r="KZK12" s="20"/>
      <c r="KZL12" s="20"/>
      <c r="KZM12" s="20"/>
      <c r="KZN12" s="20"/>
      <c r="KZO12" s="20"/>
      <c r="KZP12" s="20"/>
      <c r="KZQ12" s="20"/>
      <c r="KZR12" s="20"/>
      <c r="KZS12" s="20"/>
      <c r="KZT12" s="20"/>
      <c r="KZU12" s="20"/>
      <c r="KZV12" s="20"/>
      <c r="KZW12" s="20"/>
      <c r="KZX12" s="20"/>
      <c r="KZY12" s="20"/>
      <c r="KZZ12" s="20"/>
      <c r="LAA12" s="20"/>
      <c r="LAB12" s="20"/>
      <c r="LAC12" s="20"/>
      <c r="LAD12" s="20"/>
      <c r="LAE12" s="20"/>
      <c r="LAF12" s="20"/>
      <c r="LAG12" s="20"/>
      <c r="LAH12" s="20"/>
      <c r="LAI12" s="20"/>
      <c r="LAJ12" s="20"/>
      <c r="LAK12" s="20"/>
      <c r="LAL12" s="20"/>
      <c r="LAM12" s="20"/>
      <c r="LAN12" s="20"/>
      <c r="LAO12" s="20"/>
      <c r="LAP12" s="20"/>
      <c r="LAQ12" s="20"/>
      <c r="LAR12" s="20"/>
      <c r="LAS12" s="20"/>
      <c r="LAT12" s="20"/>
      <c r="LAU12" s="20"/>
      <c r="LAV12" s="20"/>
      <c r="LAW12" s="20"/>
      <c r="LAX12" s="20"/>
      <c r="LAY12" s="20"/>
      <c r="LAZ12" s="20"/>
      <c r="LBA12" s="20"/>
      <c r="LBB12" s="20"/>
      <c r="LBC12" s="20"/>
      <c r="LBD12" s="20"/>
      <c r="LBE12" s="20"/>
      <c r="LBF12" s="20"/>
      <c r="LBG12" s="20"/>
      <c r="LBH12" s="20"/>
      <c r="LBI12" s="20"/>
      <c r="LBJ12" s="20"/>
      <c r="LBK12" s="20"/>
      <c r="LBL12" s="20"/>
      <c r="LBM12" s="20"/>
      <c r="LBN12" s="20"/>
      <c r="LBO12" s="20"/>
      <c r="LBP12" s="20"/>
      <c r="LBQ12" s="20"/>
      <c r="LBR12" s="20"/>
      <c r="LBS12" s="20"/>
      <c r="LBT12" s="20"/>
      <c r="LBU12" s="20"/>
      <c r="LBV12" s="20"/>
      <c r="LBW12" s="20"/>
      <c r="LBX12" s="20"/>
      <c r="LBY12" s="20"/>
      <c r="LBZ12" s="20"/>
      <c r="LCA12" s="20"/>
      <c r="LCB12" s="20"/>
      <c r="LCC12" s="20"/>
      <c r="LCD12" s="20"/>
      <c r="LCE12" s="20"/>
      <c r="LCF12" s="20"/>
      <c r="LCG12" s="20"/>
      <c r="LCH12" s="20"/>
      <c r="LCI12" s="20"/>
      <c r="LCJ12" s="20"/>
      <c r="LCK12" s="20"/>
      <c r="LCL12" s="20"/>
      <c r="LCM12" s="20"/>
      <c r="LCN12" s="20"/>
      <c r="LCO12" s="20"/>
      <c r="LCP12" s="20"/>
      <c r="LCQ12" s="20"/>
      <c r="LCR12" s="20"/>
      <c r="LCS12" s="20"/>
      <c r="LCT12" s="20"/>
      <c r="LCU12" s="20"/>
      <c r="LCV12" s="20"/>
      <c r="LCW12" s="20"/>
      <c r="LCX12" s="20"/>
      <c r="LCY12" s="20"/>
      <c r="LCZ12" s="20"/>
      <c r="LDA12" s="20"/>
      <c r="LDB12" s="20"/>
      <c r="LDC12" s="20"/>
      <c r="LDD12" s="20"/>
      <c r="LDE12" s="20"/>
      <c r="LDF12" s="20"/>
      <c r="LDG12" s="20"/>
      <c r="LDH12" s="20"/>
      <c r="LDI12" s="20"/>
      <c r="LDJ12" s="20"/>
      <c r="LDK12" s="20"/>
      <c r="LDL12" s="20"/>
      <c r="LDM12" s="20"/>
      <c r="LDN12" s="20"/>
      <c r="LDO12" s="20"/>
      <c r="LDP12" s="20"/>
      <c r="LDQ12" s="20"/>
      <c r="LDR12" s="20"/>
      <c r="LDS12" s="20"/>
      <c r="LDT12" s="20"/>
      <c r="LDU12" s="20"/>
      <c r="LDV12" s="20"/>
      <c r="LDW12" s="20"/>
      <c r="LDX12" s="20"/>
      <c r="LDY12" s="20"/>
      <c r="LDZ12" s="20"/>
      <c r="LEA12" s="20"/>
      <c r="LEB12" s="20"/>
      <c r="LEC12" s="20"/>
      <c r="LED12" s="20"/>
      <c r="LEE12" s="20"/>
      <c r="LEF12" s="20"/>
      <c r="LEG12" s="20"/>
      <c r="LEH12" s="20"/>
      <c r="LEI12" s="20"/>
      <c r="LEJ12" s="20"/>
      <c r="LEK12" s="20"/>
      <c r="LEL12" s="20"/>
      <c r="LEM12" s="20"/>
      <c r="LEN12" s="20"/>
      <c r="LEO12" s="20"/>
      <c r="LEP12" s="20"/>
      <c r="LEQ12" s="20"/>
      <c r="LER12" s="20"/>
      <c r="LES12" s="20"/>
      <c r="LET12" s="20"/>
      <c r="LEU12" s="20"/>
      <c r="LEV12" s="20"/>
      <c r="LEW12" s="20"/>
      <c r="LEX12" s="20"/>
      <c r="LEY12" s="20"/>
      <c r="LEZ12" s="20"/>
      <c r="LFA12" s="20"/>
      <c r="LFB12" s="20"/>
      <c r="LFC12" s="20"/>
      <c r="LFD12" s="20"/>
      <c r="LFE12" s="20"/>
      <c r="LFF12" s="20"/>
      <c r="LFG12" s="20"/>
      <c r="LFH12" s="20"/>
      <c r="LFI12" s="20"/>
      <c r="LFJ12" s="20"/>
      <c r="LFK12" s="20"/>
      <c r="LFL12" s="20"/>
      <c r="LFM12" s="20"/>
      <c r="LFN12" s="20"/>
      <c r="LFO12" s="20"/>
      <c r="LFP12" s="20"/>
      <c r="LFQ12" s="20"/>
      <c r="LFR12" s="20"/>
      <c r="LFS12" s="20"/>
      <c r="LFT12" s="20"/>
      <c r="LFU12" s="20"/>
      <c r="LFV12" s="20"/>
      <c r="LFW12" s="20"/>
      <c r="LFX12" s="20"/>
      <c r="LFY12" s="20"/>
      <c r="LFZ12" s="20"/>
      <c r="LGA12" s="20"/>
      <c r="LGB12" s="20"/>
      <c r="LGC12" s="20"/>
      <c r="LGD12" s="20"/>
      <c r="LGE12" s="20"/>
      <c r="LGF12" s="20"/>
      <c r="LGG12" s="20"/>
      <c r="LGH12" s="20"/>
      <c r="LGI12" s="20"/>
      <c r="LGJ12" s="20"/>
      <c r="LGK12" s="20"/>
      <c r="LGL12" s="20"/>
      <c r="LGM12" s="20"/>
      <c r="LGN12" s="20"/>
      <c r="LGO12" s="20"/>
      <c r="LGP12" s="20"/>
      <c r="LGQ12" s="20"/>
      <c r="LGR12" s="20"/>
      <c r="LGS12" s="20"/>
      <c r="LGT12" s="20"/>
      <c r="LGU12" s="20"/>
      <c r="LGV12" s="20"/>
      <c r="LGW12" s="20"/>
      <c r="LGX12" s="20"/>
      <c r="LGY12" s="20"/>
      <c r="LGZ12" s="20"/>
      <c r="LHA12" s="20"/>
      <c r="LHB12" s="20"/>
      <c r="LHC12" s="20"/>
      <c r="LHD12" s="20"/>
      <c r="LHE12" s="20"/>
      <c r="LHF12" s="20"/>
      <c r="LHG12" s="20"/>
      <c r="LHH12" s="20"/>
      <c r="LHI12" s="20"/>
      <c r="LHJ12" s="20"/>
      <c r="LHK12" s="20"/>
      <c r="LHL12" s="20"/>
      <c r="LHM12" s="20"/>
      <c r="LHN12" s="20"/>
      <c r="LHO12" s="20"/>
      <c r="LHP12" s="20"/>
      <c r="LHQ12" s="20"/>
      <c r="LHR12" s="20"/>
      <c r="LHS12" s="20"/>
      <c r="LHT12" s="20"/>
      <c r="LHU12" s="20"/>
      <c r="LHV12" s="20"/>
      <c r="LHW12" s="20"/>
      <c r="LHX12" s="20"/>
      <c r="LHY12" s="20"/>
      <c r="LHZ12" s="20"/>
      <c r="LIA12" s="20"/>
      <c r="LIB12" s="20"/>
      <c r="LIC12" s="20"/>
      <c r="LID12" s="20"/>
      <c r="LIE12" s="20"/>
      <c r="LIF12" s="20"/>
      <c r="LIG12" s="20"/>
      <c r="LIH12" s="20"/>
      <c r="LII12" s="20"/>
      <c r="LIJ12" s="20"/>
      <c r="LIK12" s="20"/>
      <c r="LIL12" s="20"/>
      <c r="LIM12" s="20"/>
      <c r="LIN12" s="20"/>
      <c r="LIO12" s="20"/>
      <c r="LIP12" s="20"/>
      <c r="LIQ12" s="20"/>
      <c r="LIR12" s="20"/>
      <c r="LIS12" s="20"/>
      <c r="LIT12" s="20"/>
      <c r="LIU12" s="20"/>
      <c r="LIV12" s="20"/>
      <c r="LIW12" s="20"/>
      <c r="LIX12" s="20"/>
      <c r="LIY12" s="20"/>
      <c r="LIZ12" s="20"/>
      <c r="LJA12" s="20"/>
      <c r="LJB12" s="20"/>
      <c r="LJC12" s="20"/>
      <c r="LJD12" s="20"/>
      <c r="LJE12" s="20"/>
      <c r="LJF12" s="20"/>
      <c r="LJG12" s="20"/>
      <c r="LJH12" s="20"/>
      <c r="LJI12" s="20"/>
      <c r="LJJ12" s="20"/>
      <c r="LJK12" s="20"/>
      <c r="LJL12" s="20"/>
      <c r="LJM12" s="20"/>
      <c r="LJN12" s="20"/>
      <c r="LJO12" s="20"/>
      <c r="LJP12" s="20"/>
      <c r="LJQ12" s="20"/>
      <c r="LJR12" s="20"/>
      <c r="LJS12" s="20"/>
      <c r="LJT12" s="20"/>
      <c r="LJU12" s="20"/>
      <c r="LJV12" s="20"/>
      <c r="LJW12" s="20"/>
      <c r="LJX12" s="20"/>
      <c r="LJY12" s="20"/>
      <c r="LJZ12" s="20"/>
      <c r="LKA12" s="20"/>
      <c r="LKB12" s="20"/>
      <c r="LKC12" s="20"/>
      <c r="LKD12" s="20"/>
      <c r="LKE12" s="20"/>
      <c r="LKF12" s="20"/>
      <c r="LKG12" s="20"/>
      <c r="LKH12" s="20"/>
      <c r="LKI12" s="20"/>
      <c r="LKJ12" s="20"/>
      <c r="LKK12" s="20"/>
      <c r="LKL12" s="20"/>
      <c r="LKM12" s="20"/>
      <c r="LKN12" s="20"/>
      <c r="LKO12" s="20"/>
      <c r="LKP12" s="20"/>
      <c r="LKQ12" s="20"/>
      <c r="LKR12" s="20"/>
      <c r="LKS12" s="20"/>
      <c r="LKT12" s="20"/>
      <c r="LKU12" s="20"/>
      <c r="LKV12" s="20"/>
      <c r="LKW12" s="20"/>
      <c r="LKX12" s="20"/>
      <c r="LKY12" s="20"/>
      <c r="LKZ12" s="20"/>
      <c r="LLA12" s="20"/>
      <c r="LLB12" s="20"/>
      <c r="LLC12" s="20"/>
      <c r="LLD12" s="20"/>
      <c r="LLE12" s="20"/>
      <c r="LLF12" s="20"/>
      <c r="LLG12" s="20"/>
      <c r="LLH12" s="20"/>
      <c r="LLI12" s="20"/>
      <c r="LLJ12" s="20"/>
      <c r="LLK12" s="20"/>
      <c r="LLL12" s="20"/>
      <c r="LLM12" s="20"/>
      <c r="LLN12" s="20"/>
      <c r="LLO12" s="20"/>
      <c r="LLP12" s="20"/>
      <c r="LLQ12" s="20"/>
      <c r="LLR12" s="20"/>
      <c r="LLS12" s="20"/>
      <c r="LLT12" s="20"/>
      <c r="LLU12" s="20"/>
      <c r="LLV12" s="20"/>
      <c r="LLW12" s="20"/>
      <c r="LLX12" s="20"/>
      <c r="LLY12" s="20"/>
      <c r="LLZ12" s="20"/>
      <c r="LMA12" s="20"/>
      <c r="LMB12" s="20"/>
      <c r="LMC12" s="20"/>
      <c r="LMD12" s="20"/>
      <c r="LME12" s="20"/>
      <c r="LMF12" s="20"/>
      <c r="LMG12" s="20"/>
      <c r="LMH12" s="20"/>
      <c r="LMI12" s="20"/>
      <c r="LMJ12" s="20"/>
      <c r="LMK12" s="20"/>
      <c r="LML12" s="20"/>
      <c r="LMM12" s="20"/>
      <c r="LMN12" s="20"/>
      <c r="LMO12" s="20"/>
      <c r="LMP12" s="20"/>
      <c r="LMQ12" s="20"/>
      <c r="LMR12" s="20"/>
      <c r="LMS12" s="20"/>
      <c r="LMT12" s="20"/>
      <c r="LMU12" s="20"/>
      <c r="LMV12" s="20"/>
      <c r="LMW12" s="20"/>
      <c r="LMX12" s="20"/>
      <c r="LMY12" s="20"/>
      <c r="LMZ12" s="20"/>
      <c r="LNA12" s="20"/>
      <c r="LNB12" s="20"/>
      <c r="LNC12" s="20"/>
      <c r="LND12" s="20"/>
      <c r="LNE12" s="20"/>
      <c r="LNF12" s="20"/>
      <c r="LNG12" s="20"/>
      <c r="LNH12" s="20"/>
      <c r="LNI12" s="20"/>
      <c r="LNJ12" s="20"/>
      <c r="LNK12" s="20"/>
      <c r="LNL12" s="20"/>
      <c r="LNM12" s="20"/>
      <c r="LNN12" s="20"/>
      <c r="LNO12" s="20"/>
      <c r="LNP12" s="20"/>
      <c r="LNQ12" s="20"/>
      <c r="LNR12" s="20"/>
      <c r="LNS12" s="20"/>
      <c r="LNT12" s="20"/>
      <c r="LNU12" s="20"/>
      <c r="LNV12" s="20"/>
      <c r="LNW12" s="20"/>
      <c r="LNX12" s="20"/>
      <c r="LNY12" s="20"/>
      <c r="LNZ12" s="20"/>
      <c r="LOA12" s="20"/>
      <c r="LOB12" s="20"/>
      <c r="LOC12" s="20"/>
      <c r="LOD12" s="20"/>
      <c r="LOE12" s="20"/>
      <c r="LOF12" s="20"/>
      <c r="LOG12" s="20"/>
      <c r="LOH12" s="20"/>
      <c r="LOI12" s="20"/>
      <c r="LOJ12" s="20"/>
      <c r="LOK12" s="20"/>
      <c r="LOL12" s="20"/>
      <c r="LOM12" s="20"/>
      <c r="LON12" s="20"/>
      <c r="LOO12" s="20"/>
      <c r="LOP12" s="20"/>
      <c r="LOQ12" s="20"/>
      <c r="LOR12" s="20"/>
      <c r="LOS12" s="20"/>
      <c r="LOT12" s="20"/>
      <c r="LOU12" s="20"/>
      <c r="LOV12" s="20"/>
      <c r="LOW12" s="20"/>
      <c r="LOX12" s="20"/>
      <c r="LOY12" s="20"/>
      <c r="LOZ12" s="20"/>
      <c r="LPA12" s="20"/>
      <c r="LPB12" s="20"/>
      <c r="LPC12" s="20"/>
      <c r="LPD12" s="20"/>
      <c r="LPE12" s="20"/>
      <c r="LPF12" s="20"/>
      <c r="LPG12" s="20"/>
      <c r="LPH12" s="20"/>
      <c r="LPI12" s="20"/>
      <c r="LPJ12" s="20"/>
      <c r="LPK12" s="20"/>
      <c r="LPL12" s="20"/>
      <c r="LPM12" s="20"/>
      <c r="LPN12" s="20"/>
      <c r="LPO12" s="20"/>
      <c r="LPP12" s="20"/>
      <c r="LPQ12" s="20"/>
      <c r="LPR12" s="20"/>
      <c r="LPS12" s="20"/>
      <c r="LPT12" s="20"/>
      <c r="LPU12" s="20"/>
      <c r="LPV12" s="20"/>
      <c r="LPW12" s="20"/>
      <c r="LPX12" s="20"/>
      <c r="LPY12" s="20"/>
      <c r="LPZ12" s="20"/>
      <c r="LQA12" s="20"/>
      <c r="LQB12" s="20"/>
      <c r="LQC12" s="20"/>
      <c r="LQD12" s="20"/>
      <c r="LQE12" s="20"/>
      <c r="LQF12" s="20"/>
      <c r="LQG12" s="20"/>
      <c r="LQH12" s="20"/>
      <c r="LQI12" s="20"/>
      <c r="LQJ12" s="20"/>
      <c r="LQK12" s="20"/>
      <c r="LQL12" s="20"/>
      <c r="LQM12" s="20"/>
      <c r="LQN12" s="20"/>
      <c r="LQO12" s="20"/>
      <c r="LQP12" s="20"/>
      <c r="LQQ12" s="20"/>
      <c r="LQR12" s="20"/>
      <c r="LQS12" s="20"/>
      <c r="LQT12" s="20"/>
      <c r="LQU12" s="20"/>
      <c r="LQV12" s="20"/>
      <c r="LQW12" s="20"/>
      <c r="LQX12" s="20"/>
      <c r="LQY12" s="20"/>
      <c r="LQZ12" s="20"/>
      <c r="LRA12" s="20"/>
      <c r="LRB12" s="20"/>
      <c r="LRC12" s="20"/>
      <c r="LRD12" s="20"/>
      <c r="LRE12" s="20"/>
      <c r="LRF12" s="20"/>
      <c r="LRG12" s="20"/>
      <c r="LRH12" s="20"/>
      <c r="LRI12" s="20"/>
      <c r="LRJ12" s="20"/>
      <c r="LRK12" s="20"/>
      <c r="LRL12" s="20"/>
      <c r="LRM12" s="20"/>
      <c r="LRN12" s="20"/>
      <c r="LRO12" s="20"/>
      <c r="LRP12" s="20"/>
      <c r="LRQ12" s="20"/>
      <c r="LRR12" s="20"/>
      <c r="LRS12" s="20"/>
      <c r="LRT12" s="20"/>
      <c r="LRU12" s="20"/>
      <c r="LRV12" s="20"/>
      <c r="LRW12" s="20"/>
      <c r="LRX12" s="20"/>
      <c r="LRY12" s="20"/>
      <c r="LRZ12" s="20"/>
      <c r="LSA12" s="20"/>
      <c r="LSB12" s="20"/>
      <c r="LSC12" s="20"/>
      <c r="LSD12" s="20"/>
      <c r="LSE12" s="20"/>
      <c r="LSF12" s="20"/>
      <c r="LSG12" s="20"/>
      <c r="LSH12" s="20"/>
      <c r="LSI12" s="20"/>
      <c r="LSJ12" s="20"/>
      <c r="LSK12" s="20"/>
      <c r="LSL12" s="20"/>
      <c r="LSM12" s="20"/>
      <c r="LSN12" s="20"/>
      <c r="LSO12" s="20"/>
      <c r="LSP12" s="20"/>
      <c r="LSQ12" s="20"/>
      <c r="LSR12" s="20"/>
      <c r="LSS12" s="20"/>
      <c r="LST12" s="20"/>
      <c r="LSU12" s="20"/>
      <c r="LSV12" s="20"/>
      <c r="LSW12" s="20"/>
      <c r="LSX12" s="20"/>
      <c r="LSY12" s="20"/>
      <c r="LSZ12" s="20"/>
      <c r="LTA12" s="20"/>
      <c r="LTB12" s="20"/>
      <c r="LTC12" s="20"/>
      <c r="LTD12" s="20"/>
      <c r="LTE12" s="20"/>
      <c r="LTF12" s="20"/>
      <c r="LTG12" s="20"/>
      <c r="LTH12" s="20"/>
      <c r="LTI12" s="20"/>
      <c r="LTJ12" s="20"/>
      <c r="LTK12" s="20"/>
      <c r="LTL12" s="20"/>
      <c r="LTM12" s="20"/>
      <c r="LTN12" s="20"/>
      <c r="LTO12" s="20"/>
      <c r="LTP12" s="20"/>
      <c r="LTQ12" s="20"/>
      <c r="LTR12" s="20"/>
      <c r="LTS12" s="20"/>
      <c r="LTT12" s="20"/>
      <c r="LTU12" s="20"/>
      <c r="LTV12" s="20"/>
      <c r="LTW12" s="20"/>
      <c r="LTX12" s="20"/>
      <c r="LTY12" s="20"/>
      <c r="LTZ12" s="20"/>
      <c r="LUA12" s="20"/>
      <c r="LUB12" s="20"/>
      <c r="LUC12" s="20"/>
      <c r="LUD12" s="20"/>
      <c r="LUE12" s="20"/>
      <c r="LUF12" s="20"/>
      <c r="LUG12" s="20"/>
      <c r="LUH12" s="20"/>
      <c r="LUI12" s="20"/>
      <c r="LUJ12" s="20"/>
      <c r="LUK12" s="20"/>
      <c r="LUL12" s="20"/>
      <c r="LUM12" s="20"/>
      <c r="LUN12" s="20"/>
      <c r="LUO12" s="20"/>
      <c r="LUP12" s="20"/>
      <c r="LUQ12" s="20"/>
      <c r="LUR12" s="20"/>
      <c r="LUS12" s="20"/>
      <c r="LUT12" s="20"/>
      <c r="LUU12" s="20"/>
      <c r="LUV12" s="20"/>
      <c r="LUW12" s="20"/>
      <c r="LUX12" s="20"/>
      <c r="LUY12" s="20"/>
      <c r="LUZ12" s="20"/>
      <c r="LVA12" s="20"/>
      <c r="LVB12" s="20"/>
      <c r="LVC12" s="20"/>
      <c r="LVD12" s="20"/>
      <c r="LVE12" s="20"/>
      <c r="LVF12" s="20"/>
      <c r="LVG12" s="20"/>
      <c r="LVH12" s="20"/>
      <c r="LVI12" s="20"/>
      <c r="LVJ12" s="20"/>
      <c r="LVK12" s="20"/>
      <c r="LVL12" s="20"/>
      <c r="LVM12" s="20"/>
      <c r="LVN12" s="20"/>
      <c r="LVO12" s="20"/>
      <c r="LVP12" s="20"/>
      <c r="LVQ12" s="20"/>
      <c r="LVR12" s="20"/>
      <c r="LVS12" s="20"/>
      <c r="LVT12" s="20"/>
      <c r="LVU12" s="20"/>
      <c r="LVV12" s="20"/>
      <c r="LVW12" s="20"/>
      <c r="LVX12" s="20"/>
      <c r="LVY12" s="20"/>
      <c r="LVZ12" s="20"/>
      <c r="LWA12" s="20"/>
      <c r="LWB12" s="20"/>
      <c r="LWC12" s="20"/>
      <c r="LWD12" s="20"/>
      <c r="LWE12" s="20"/>
      <c r="LWF12" s="20"/>
      <c r="LWG12" s="20"/>
      <c r="LWH12" s="20"/>
      <c r="LWI12" s="20"/>
      <c r="LWJ12" s="20"/>
      <c r="LWK12" s="20"/>
      <c r="LWL12" s="20"/>
      <c r="LWM12" s="20"/>
      <c r="LWN12" s="20"/>
      <c r="LWO12" s="20"/>
      <c r="LWP12" s="20"/>
      <c r="LWQ12" s="20"/>
      <c r="LWR12" s="20"/>
      <c r="LWS12" s="20"/>
      <c r="LWT12" s="20"/>
      <c r="LWU12" s="20"/>
      <c r="LWV12" s="20"/>
      <c r="LWW12" s="20"/>
      <c r="LWX12" s="20"/>
      <c r="LWY12" s="20"/>
      <c r="LWZ12" s="20"/>
      <c r="LXA12" s="20"/>
      <c r="LXB12" s="20"/>
      <c r="LXC12" s="20"/>
      <c r="LXD12" s="20"/>
      <c r="LXE12" s="20"/>
      <c r="LXF12" s="20"/>
      <c r="LXG12" s="20"/>
      <c r="LXH12" s="20"/>
      <c r="LXI12" s="20"/>
      <c r="LXJ12" s="20"/>
      <c r="LXK12" s="20"/>
      <c r="LXL12" s="20"/>
      <c r="LXM12" s="20"/>
      <c r="LXN12" s="20"/>
      <c r="LXO12" s="20"/>
      <c r="LXP12" s="20"/>
      <c r="LXQ12" s="20"/>
      <c r="LXR12" s="20"/>
      <c r="LXS12" s="20"/>
      <c r="LXT12" s="20"/>
      <c r="LXU12" s="20"/>
      <c r="LXV12" s="20"/>
      <c r="LXW12" s="20"/>
      <c r="LXX12" s="20"/>
      <c r="LXY12" s="20"/>
      <c r="LXZ12" s="20"/>
      <c r="LYA12" s="20"/>
      <c r="LYB12" s="20"/>
      <c r="LYC12" s="20"/>
      <c r="LYD12" s="20"/>
      <c r="LYE12" s="20"/>
      <c r="LYF12" s="20"/>
      <c r="LYG12" s="20"/>
      <c r="LYH12" s="20"/>
      <c r="LYI12" s="20"/>
      <c r="LYJ12" s="20"/>
      <c r="LYK12" s="20"/>
      <c r="LYL12" s="20"/>
      <c r="LYM12" s="20"/>
      <c r="LYN12" s="20"/>
      <c r="LYO12" s="20"/>
      <c r="LYP12" s="20"/>
      <c r="LYQ12" s="20"/>
      <c r="LYR12" s="20"/>
      <c r="LYS12" s="20"/>
      <c r="LYT12" s="20"/>
      <c r="LYU12" s="20"/>
      <c r="LYV12" s="20"/>
      <c r="LYW12" s="20"/>
      <c r="LYX12" s="20"/>
      <c r="LYY12" s="20"/>
      <c r="LYZ12" s="20"/>
      <c r="LZA12" s="20"/>
      <c r="LZB12" s="20"/>
      <c r="LZC12" s="20"/>
      <c r="LZD12" s="20"/>
      <c r="LZE12" s="20"/>
      <c r="LZF12" s="20"/>
      <c r="LZG12" s="20"/>
      <c r="LZH12" s="20"/>
      <c r="LZI12" s="20"/>
      <c r="LZJ12" s="20"/>
      <c r="LZK12" s="20"/>
      <c r="LZL12" s="20"/>
      <c r="LZM12" s="20"/>
      <c r="LZN12" s="20"/>
      <c r="LZO12" s="20"/>
      <c r="LZP12" s="20"/>
      <c r="LZQ12" s="20"/>
      <c r="LZR12" s="20"/>
      <c r="LZS12" s="20"/>
      <c r="LZT12" s="20"/>
      <c r="LZU12" s="20"/>
      <c r="LZV12" s="20"/>
      <c r="LZW12" s="20"/>
      <c r="LZX12" s="20"/>
      <c r="LZY12" s="20"/>
      <c r="LZZ12" s="20"/>
      <c r="MAA12" s="20"/>
      <c r="MAB12" s="20"/>
      <c r="MAC12" s="20"/>
      <c r="MAD12" s="20"/>
      <c r="MAE12" s="20"/>
      <c r="MAF12" s="20"/>
      <c r="MAG12" s="20"/>
      <c r="MAH12" s="20"/>
      <c r="MAI12" s="20"/>
      <c r="MAJ12" s="20"/>
      <c r="MAK12" s="20"/>
      <c r="MAL12" s="20"/>
      <c r="MAM12" s="20"/>
      <c r="MAN12" s="20"/>
      <c r="MAO12" s="20"/>
      <c r="MAP12" s="20"/>
      <c r="MAQ12" s="20"/>
      <c r="MAR12" s="20"/>
      <c r="MAS12" s="20"/>
      <c r="MAT12" s="20"/>
      <c r="MAU12" s="20"/>
      <c r="MAV12" s="20"/>
      <c r="MAW12" s="20"/>
      <c r="MAX12" s="20"/>
      <c r="MAY12" s="20"/>
      <c r="MAZ12" s="20"/>
      <c r="MBA12" s="20"/>
      <c r="MBB12" s="20"/>
      <c r="MBC12" s="20"/>
      <c r="MBD12" s="20"/>
      <c r="MBE12" s="20"/>
      <c r="MBF12" s="20"/>
      <c r="MBG12" s="20"/>
      <c r="MBH12" s="20"/>
      <c r="MBI12" s="20"/>
      <c r="MBJ12" s="20"/>
      <c r="MBK12" s="20"/>
      <c r="MBL12" s="20"/>
      <c r="MBM12" s="20"/>
      <c r="MBN12" s="20"/>
      <c r="MBO12" s="20"/>
      <c r="MBP12" s="20"/>
      <c r="MBQ12" s="20"/>
      <c r="MBR12" s="20"/>
      <c r="MBS12" s="20"/>
      <c r="MBT12" s="20"/>
      <c r="MBU12" s="20"/>
      <c r="MBV12" s="20"/>
      <c r="MBW12" s="20"/>
      <c r="MBX12" s="20"/>
      <c r="MBY12" s="20"/>
      <c r="MBZ12" s="20"/>
      <c r="MCA12" s="20"/>
      <c r="MCB12" s="20"/>
      <c r="MCC12" s="20"/>
      <c r="MCD12" s="20"/>
      <c r="MCE12" s="20"/>
      <c r="MCF12" s="20"/>
      <c r="MCG12" s="20"/>
      <c r="MCH12" s="20"/>
      <c r="MCI12" s="20"/>
      <c r="MCJ12" s="20"/>
      <c r="MCK12" s="20"/>
      <c r="MCL12" s="20"/>
      <c r="MCM12" s="20"/>
      <c r="MCN12" s="20"/>
      <c r="MCO12" s="20"/>
      <c r="MCP12" s="20"/>
      <c r="MCQ12" s="20"/>
      <c r="MCR12" s="20"/>
      <c r="MCS12" s="20"/>
      <c r="MCT12" s="20"/>
      <c r="MCU12" s="20"/>
      <c r="MCV12" s="20"/>
      <c r="MCW12" s="20"/>
      <c r="MCX12" s="20"/>
      <c r="MCY12" s="20"/>
      <c r="MCZ12" s="20"/>
      <c r="MDA12" s="20"/>
      <c r="MDB12" s="20"/>
      <c r="MDC12" s="20"/>
      <c r="MDD12" s="20"/>
      <c r="MDE12" s="20"/>
      <c r="MDF12" s="20"/>
      <c r="MDG12" s="20"/>
      <c r="MDH12" s="20"/>
      <c r="MDI12" s="20"/>
      <c r="MDJ12" s="20"/>
      <c r="MDK12" s="20"/>
      <c r="MDL12" s="20"/>
      <c r="MDM12" s="20"/>
      <c r="MDN12" s="20"/>
      <c r="MDO12" s="20"/>
      <c r="MDP12" s="20"/>
      <c r="MDQ12" s="20"/>
      <c r="MDR12" s="20"/>
      <c r="MDS12" s="20"/>
      <c r="MDT12" s="20"/>
      <c r="MDU12" s="20"/>
      <c r="MDV12" s="20"/>
      <c r="MDW12" s="20"/>
      <c r="MDX12" s="20"/>
      <c r="MDY12" s="20"/>
      <c r="MDZ12" s="20"/>
      <c r="MEA12" s="20"/>
      <c r="MEB12" s="20"/>
      <c r="MEC12" s="20"/>
      <c r="MED12" s="20"/>
      <c r="MEE12" s="20"/>
      <c r="MEF12" s="20"/>
      <c r="MEG12" s="20"/>
      <c r="MEH12" s="20"/>
      <c r="MEI12" s="20"/>
      <c r="MEJ12" s="20"/>
      <c r="MEK12" s="20"/>
      <c r="MEL12" s="20"/>
      <c r="MEM12" s="20"/>
      <c r="MEN12" s="20"/>
      <c r="MEO12" s="20"/>
      <c r="MEP12" s="20"/>
      <c r="MEQ12" s="20"/>
      <c r="MER12" s="20"/>
      <c r="MES12" s="20"/>
      <c r="MET12" s="20"/>
      <c r="MEU12" s="20"/>
      <c r="MEV12" s="20"/>
      <c r="MEW12" s="20"/>
      <c r="MEX12" s="20"/>
      <c r="MEY12" s="20"/>
      <c r="MEZ12" s="20"/>
      <c r="MFA12" s="20"/>
      <c r="MFB12" s="20"/>
      <c r="MFC12" s="20"/>
      <c r="MFD12" s="20"/>
      <c r="MFE12" s="20"/>
      <c r="MFF12" s="20"/>
      <c r="MFG12" s="20"/>
      <c r="MFH12" s="20"/>
      <c r="MFI12" s="20"/>
      <c r="MFJ12" s="20"/>
      <c r="MFK12" s="20"/>
      <c r="MFL12" s="20"/>
      <c r="MFM12" s="20"/>
      <c r="MFN12" s="20"/>
      <c r="MFO12" s="20"/>
      <c r="MFP12" s="20"/>
      <c r="MFQ12" s="20"/>
      <c r="MFR12" s="20"/>
      <c r="MFS12" s="20"/>
      <c r="MFT12" s="20"/>
      <c r="MFU12" s="20"/>
      <c r="MFV12" s="20"/>
      <c r="MFW12" s="20"/>
      <c r="MFX12" s="20"/>
      <c r="MFY12" s="20"/>
      <c r="MFZ12" s="20"/>
      <c r="MGA12" s="20"/>
      <c r="MGB12" s="20"/>
      <c r="MGC12" s="20"/>
      <c r="MGD12" s="20"/>
      <c r="MGE12" s="20"/>
      <c r="MGF12" s="20"/>
      <c r="MGG12" s="20"/>
      <c r="MGH12" s="20"/>
      <c r="MGI12" s="20"/>
      <c r="MGJ12" s="20"/>
      <c r="MGK12" s="20"/>
      <c r="MGL12" s="20"/>
      <c r="MGM12" s="20"/>
      <c r="MGN12" s="20"/>
      <c r="MGO12" s="20"/>
      <c r="MGP12" s="20"/>
      <c r="MGQ12" s="20"/>
      <c r="MGR12" s="20"/>
      <c r="MGS12" s="20"/>
      <c r="MGT12" s="20"/>
      <c r="MGU12" s="20"/>
      <c r="MGV12" s="20"/>
      <c r="MGW12" s="20"/>
      <c r="MGX12" s="20"/>
      <c r="MGY12" s="20"/>
      <c r="MGZ12" s="20"/>
      <c r="MHA12" s="20"/>
      <c r="MHB12" s="20"/>
      <c r="MHC12" s="20"/>
      <c r="MHD12" s="20"/>
      <c r="MHE12" s="20"/>
      <c r="MHF12" s="20"/>
      <c r="MHG12" s="20"/>
      <c r="MHH12" s="20"/>
      <c r="MHI12" s="20"/>
      <c r="MHJ12" s="20"/>
      <c r="MHK12" s="20"/>
      <c r="MHL12" s="20"/>
      <c r="MHM12" s="20"/>
      <c r="MHN12" s="20"/>
      <c r="MHO12" s="20"/>
      <c r="MHP12" s="20"/>
      <c r="MHQ12" s="20"/>
      <c r="MHR12" s="20"/>
      <c r="MHS12" s="20"/>
      <c r="MHT12" s="20"/>
      <c r="MHU12" s="20"/>
      <c r="MHV12" s="20"/>
      <c r="MHW12" s="20"/>
      <c r="MHX12" s="20"/>
      <c r="MHY12" s="20"/>
      <c r="MHZ12" s="20"/>
      <c r="MIA12" s="20"/>
      <c r="MIB12" s="20"/>
      <c r="MIC12" s="20"/>
      <c r="MID12" s="20"/>
      <c r="MIE12" s="20"/>
      <c r="MIF12" s="20"/>
      <c r="MIG12" s="20"/>
      <c r="MIH12" s="20"/>
      <c r="MII12" s="20"/>
      <c r="MIJ12" s="20"/>
      <c r="MIK12" s="20"/>
      <c r="MIL12" s="20"/>
      <c r="MIM12" s="20"/>
      <c r="MIN12" s="20"/>
      <c r="MIO12" s="20"/>
      <c r="MIP12" s="20"/>
      <c r="MIQ12" s="20"/>
      <c r="MIR12" s="20"/>
      <c r="MIS12" s="20"/>
      <c r="MIT12" s="20"/>
      <c r="MIU12" s="20"/>
      <c r="MIV12" s="20"/>
      <c r="MIW12" s="20"/>
      <c r="MIX12" s="20"/>
      <c r="MIY12" s="20"/>
      <c r="MIZ12" s="20"/>
      <c r="MJA12" s="20"/>
      <c r="MJB12" s="20"/>
      <c r="MJC12" s="20"/>
      <c r="MJD12" s="20"/>
      <c r="MJE12" s="20"/>
      <c r="MJF12" s="20"/>
      <c r="MJG12" s="20"/>
      <c r="MJH12" s="20"/>
      <c r="MJI12" s="20"/>
      <c r="MJJ12" s="20"/>
      <c r="MJK12" s="20"/>
      <c r="MJL12" s="20"/>
      <c r="MJM12" s="20"/>
      <c r="MJN12" s="20"/>
      <c r="MJO12" s="20"/>
      <c r="MJP12" s="20"/>
      <c r="MJQ12" s="20"/>
      <c r="MJR12" s="20"/>
      <c r="MJS12" s="20"/>
      <c r="MJT12" s="20"/>
      <c r="MJU12" s="20"/>
      <c r="MJV12" s="20"/>
      <c r="MJW12" s="20"/>
      <c r="MJX12" s="20"/>
      <c r="MJY12" s="20"/>
      <c r="MJZ12" s="20"/>
      <c r="MKA12" s="20"/>
      <c r="MKB12" s="20"/>
      <c r="MKC12" s="20"/>
      <c r="MKD12" s="20"/>
      <c r="MKE12" s="20"/>
      <c r="MKF12" s="20"/>
      <c r="MKG12" s="20"/>
      <c r="MKH12" s="20"/>
      <c r="MKI12" s="20"/>
      <c r="MKJ12" s="20"/>
      <c r="MKK12" s="20"/>
      <c r="MKL12" s="20"/>
      <c r="MKM12" s="20"/>
      <c r="MKN12" s="20"/>
      <c r="MKO12" s="20"/>
      <c r="MKP12" s="20"/>
      <c r="MKQ12" s="20"/>
      <c r="MKR12" s="20"/>
      <c r="MKS12" s="20"/>
      <c r="MKT12" s="20"/>
      <c r="MKU12" s="20"/>
      <c r="MKV12" s="20"/>
      <c r="MKW12" s="20"/>
      <c r="MKX12" s="20"/>
      <c r="MKY12" s="20"/>
      <c r="MKZ12" s="20"/>
      <c r="MLA12" s="20"/>
      <c r="MLB12" s="20"/>
      <c r="MLC12" s="20"/>
      <c r="MLD12" s="20"/>
      <c r="MLE12" s="20"/>
      <c r="MLF12" s="20"/>
      <c r="MLG12" s="20"/>
      <c r="MLH12" s="20"/>
      <c r="MLI12" s="20"/>
      <c r="MLJ12" s="20"/>
      <c r="MLK12" s="20"/>
      <c r="MLL12" s="20"/>
      <c r="MLM12" s="20"/>
      <c r="MLN12" s="20"/>
      <c r="MLO12" s="20"/>
      <c r="MLP12" s="20"/>
      <c r="MLQ12" s="20"/>
      <c r="MLR12" s="20"/>
      <c r="MLS12" s="20"/>
      <c r="MLT12" s="20"/>
      <c r="MLU12" s="20"/>
      <c r="MLV12" s="20"/>
      <c r="MLW12" s="20"/>
      <c r="MLX12" s="20"/>
      <c r="MLY12" s="20"/>
      <c r="MLZ12" s="20"/>
      <c r="MMA12" s="20"/>
      <c r="MMB12" s="20"/>
      <c r="MMC12" s="20"/>
      <c r="MMD12" s="20"/>
      <c r="MME12" s="20"/>
      <c r="MMF12" s="20"/>
      <c r="MMG12" s="20"/>
      <c r="MMH12" s="20"/>
      <c r="MMI12" s="20"/>
      <c r="MMJ12" s="20"/>
      <c r="MMK12" s="20"/>
      <c r="MML12" s="20"/>
      <c r="MMM12" s="20"/>
      <c r="MMN12" s="20"/>
      <c r="MMO12" s="20"/>
      <c r="MMP12" s="20"/>
      <c r="MMQ12" s="20"/>
      <c r="MMR12" s="20"/>
      <c r="MMS12" s="20"/>
      <c r="MMT12" s="20"/>
      <c r="MMU12" s="20"/>
      <c r="MMV12" s="20"/>
      <c r="MMW12" s="20"/>
      <c r="MMX12" s="20"/>
      <c r="MMY12" s="20"/>
      <c r="MMZ12" s="20"/>
      <c r="MNA12" s="20"/>
      <c r="MNB12" s="20"/>
      <c r="MNC12" s="20"/>
      <c r="MND12" s="20"/>
      <c r="MNE12" s="20"/>
      <c r="MNF12" s="20"/>
      <c r="MNG12" s="20"/>
      <c r="MNH12" s="20"/>
      <c r="MNI12" s="20"/>
      <c r="MNJ12" s="20"/>
      <c r="MNK12" s="20"/>
      <c r="MNL12" s="20"/>
      <c r="MNM12" s="20"/>
      <c r="MNN12" s="20"/>
      <c r="MNO12" s="20"/>
      <c r="MNP12" s="20"/>
      <c r="MNQ12" s="20"/>
      <c r="MNR12" s="20"/>
      <c r="MNS12" s="20"/>
      <c r="MNT12" s="20"/>
      <c r="MNU12" s="20"/>
      <c r="MNV12" s="20"/>
      <c r="MNW12" s="20"/>
      <c r="MNX12" s="20"/>
      <c r="MNY12" s="20"/>
      <c r="MNZ12" s="20"/>
      <c r="MOA12" s="20"/>
      <c r="MOB12" s="20"/>
      <c r="MOC12" s="20"/>
      <c r="MOD12" s="20"/>
      <c r="MOE12" s="20"/>
      <c r="MOF12" s="20"/>
      <c r="MOG12" s="20"/>
      <c r="MOH12" s="20"/>
      <c r="MOI12" s="20"/>
      <c r="MOJ12" s="20"/>
      <c r="MOK12" s="20"/>
      <c r="MOL12" s="20"/>
      <c r="MOM12" s="20"/>
      <c r="MON12" s="20"/>
      <c r="MOO12" s="20"/>
      <c r="MOP12" s="20"/>
      <c r="MOQ12" s="20"/>
      <c r="MOR12" s="20"/>
      <c r="MOS12" s="20"/>
      <c r="MOT12" s="20"/>
      <c r="MOU12" s="20"/>
      <c r="MOV12" s="20"/>
      <c r="MOW12" s="20"/>
      <c r="MOX12" s="20"/>
      <c r="MOY12" s="20"/>
      <c r="MOZ12" s="20"/>
      <c r="MPA12" s="20"/>
      <c r="MPB12" s="20"/>
      <c r="MPC12" s="20"/>
      <c r="MPD12" s="20"/>
      <c r="MPE12" s="20"/>
      <c r="MPF12" s="20"/>
      <c r="MPG12" s="20"/>
      <c r="MPH12" s="20"/>
      <c r="MPI12" s="20"/>
      <c r="MPJ12" s="20"/>
      <c r="MPK12" s="20"/>
      <c r="MPL12" s="20"/>
      <c r="MPM12" s="20"/>
      <c r="MPN12" s="20"/>
      <c r="MPO12" s="20"/>
      <c r="MPP12" s="20"/>
      <c r="MPQ12" s="20"/>
      <c r="MPR12" s="20"/>
      <c r="MPS12" s="20"/>
      <c r="MPT12" s="20"/>
      <c r="MPU12" s="20"/>
      <c r="MPV12" s="20"/>
      <c r="MPW12" s="20"/>
      <c r="MPX12" s="20"/>
      <c r="MPY12" s="20"/>
      <c r="MPZ12" s="20"/>
      <c r="MQA12" s="20"/>
      <c r="MQB12" s="20"/>
      <c r="MQC12" s="20"/>
      <c r="MQD12" s="20"/>
      <c r="MQE12" s="20"/>
      <c r="MQF12" s="20"/>
      <c r="MQG12" s="20"/>
      <c r="MQH12" s="20"/>
      <c r="MQI12" s="20"/>
      <c r="MQJ12" s="20"/>
      <c r="MQK12" s="20"/>
      <c r="MQL12" s="20"/>
      <c r="MQM12" s="20"/>
      <c r="MQN12" s="20"/>
      <c r="MQO12" s="20"/>
      <c r="MQP12" s="20"/>
      <c r="MQQ12" s="20"/>
      <c r="MQR12" s="20"/>
      <c r="MQS12" s="20"/>
      <c r="MQT12" s="20"/>
      <c r="MQU12" s="20"/>
      <c r="MQV12" s="20"/>
      <c r="MQW12" s="20"/>
      <c r="MQX12" s="20"/>
      <c r="MQY12" s="20"/>
      <c r="MQZ12" s="20"/>
      <c r="MRA12" s="20"/>
      <c r="MRB12" s="20"/>
      <c r="MRC12" s="20"/>
      <c r="MRD12" s="20"/>
      <c r="MRE12" s="20"/>
      <c r="MRF12" s="20"/>
      <c r="MRG12" s="20"/>
      <c r="MRH12" s="20"/>
      <c r="MRI12" s="20"/>
      <c r="MRJ12" s="20"/>
      <c r="MRK12" s="20"/>
      <c r="MRL12" s="20"/>
      <c r="MRM12" s="20"/>
      <c r="MRN12" s="20"/>
      <c r="MRO12" s="20"/>
      <c r="MRP12" s="20"/>
      <c r="MRQ12" s="20"/>
      <c r="MRR12" s="20"/>
      <c r="MRS12" s="20"/>
      <c r="MRT12" s="20"/>
      <c r="MRU12" s="20"/>
      <c r="MRV12" s="20"/>
      <c r="MRW12" s="20"/>
      <c r="MRX12" s="20"/>
      <c r="MRY12" s="20"/>
      <c r="MRZ12" s="20"/>
      <c r="MSA12" s="20"/>
      <c r="MSB12" s="20"/>
      <c r="MSC12" s="20"/>
      <c r="MSD12" s="20"/>
      <c r="MSE12" s="20"/>
      <c r="MSF12" s="20"/>
      <c r="MSG12" s="20"/>
      <c r="MSH12" s="20"/>
      <c r="MSI12" s="20"/>
      <c r="MSJ12" s="20"/>
      <c r="MSK12" s="20"/>
      <c r="MSL12" s="20"/>
      <c r="MSM12" s="20"/>
      <c r="MSN12" s="20"/>
      <c r="MSO12" s="20"/>
      <c r="MSP12" s="20"/>
      <c r="MSQ12" s="20"/>
      <c r="MSR12" s="20"/>
      <c r="MSS12" s="20"/>
      <c r="MST12" s="20"/>
      <c r="MSU12" s="20"/>
      <c r="MSV12" s="20"/>
      <c r="MSW12" s="20"/>
      <c r="MSX12" s="20"/>
      <c r="MSY12" s="20"/>
      <c r="MSZ12" s="20"/>
      <c r="MTA12" s="20"/>
      <c r="MTB12" s="20"/>
      <c r="MTC12" s="20"/>
      <c r="MTD12" s="20"/>
      <c r="MTE12" s="20"/>
      <c r="MTF12" s="20"/>
      <c r="MTG12" s="20"/>
      <c r="MTH12" s="20"/>
      <c r="MTI12" s="20"/>
      <c r="MTJ12" s="20"/>
      <c r="MTK12" s="20"/>
      <c r="MTL12" s="20"/>
      <c r="MTM12" s="20"/>
      <c r="MTN12" s="20"/>
      <c r="MTO12" s="20"/>
      <c r="MTP12" s="20"/>
      <c r="MTQ12" s="20"/>
      <c r="MTR12" s="20"/>
      <c r="MTS12" s="20"/>
      <c r="MTT12" s="20"/>
      <c r="MTU12" s="20"/>
      <c r="MTV12" s="20"/>
      <c r="MTW12" s="20"/>
      <c r="MTX12" s="20"/>
      <c r="MTY12" s="20"/>
      <c r="MTZ12" s="20"/>
      <c r="MUA12" s="20"/>
      <c r="MUB12" s="20"/>
      <c r="MUC12" s="20"/>
      <c r="MUD12" s="20"/>
      <c r="MUE12" s="20"/>
      <c r="MUF12" s="20"/>
      <c r="MUG12" s="20"/>
      <c r="MUH12" s="20"/>
      <c r="MUI12" s="20"/>
      <c r="MUJ12" s="20"/>
      <c r="MUK12" s="20"/>
      <c r="MUL12" s="20"/>
      <c r="MUM12" s="20"/>
      <c r="MUN12" s="20"/>
      <c r="MUO12" s="20"/>
      <c r="MUP12" s="20"/>
      <c r="MUQ12" s="20"/>
      <c r="MUR12" s="20"/>
      <c r="MUS12" s="20"/>
      <c r="MUT12" s="20"/>
      <c r="MUU12" s="20"/>
      <c r="MUV12" s="20"/>
      <c r="MUW12" s="20"/>
      <c r="MUX12" s="20"/>
      <c r="MUY12" s="20"/>
      <c r="MUZ12" s="20"/>
      <c r="MVA12" s="20"/>
      <c r="MVB12" s="20"/>
      <c r="MVC12" s="20"/>
      <c r="MVD12" s="20"/>
      <c r="MVE12" s="20"/>
      <c r="MVF12" s="20"/>
      <c r="MVG12" s="20"/>
      <c r="MVH12" s="20"/>
      <c r="MVI12" s="20"/>
      <c r="MVJ12" s="20"/>
      <c r="MVK12" s="20"/>
      <c r="MVL12" s="20"/>
      <c r="MVM12" s="20"/>
      <c r="MVN12" s="20"/>
      <c r="MVO12" s="20"/>
      <c r="MVP12" s="20"/>
      <c r="MVQ12" s="20"/>
      <c r="MVR12" s="20"/>
      <c r="MVS12" s="20"/>
      <c r="MVT12" s="20"/>
      <c r="MVU12" s="20"/>
      <c r="MVV12" s="20"/>
      <c r="MVW12" s="20"/>
      <c r="MVX12" s="20"/>
      <c r="MVY12" s="20"/>
      <c r="MVZ12" s="20"/>
      <c r="MWA12" s="20"/>
      <c r="MWB12" s="20"/>
      <c r="MWC12" s="20"/>
      <c r="MWD12" s="20"/>
      <c r="MWE12" s="20"/>
      <c r="MWF12" s="20"/>
      <c r="MWG12" s="20"/>
      <c r="MWH12" s="20"/>
      <c r="MWI12" s="20"/>
      <c r="MWJ12" s="20"/>
      <c r="MWK12" s="20"/>
      <c r="MWL12" s="20"/>
      <c r="MWM12" s="20"/>
      <c r="MWN12" s="20"/>
      <c r="MWO12" s="20"/>
      <c r="MWP12" s="20"/>
      <c r="MWQ12" s="20"/>
      <c r="MWR12" s="20"/>
      <c r="MWS12" s="20"/>
      <c r="MWT12" s="20"/>
      <c r="MWU12" s="20"/>
      <c r="MWV12" s="20"/>
      <c r="MWW12" s="20"/>
      <c r="MWX12" s="20"/>
      <c r="MWY12" s="20"/>
      <c r="MWZ12" s="20"/>
      <c r="MXA12" s="20"/>
      <c r="MXB12" s="20"/>
      <c r="MXC12" s="20"/>
      <c r="MXD12" s="20"/>
      <c r="MXE12" s="20"/>
      <c r="MXF12" s="20"/>
      <c r="MXG12" s="20"/>
      <c r="MXH12" s="20"/>
      <c r="MXI12" s="20"/>
      <c r="MXJ12" s="20"/>
      <c r="MXK12" s="20"/>
      <c r="MXL12" s="20"/>
      <c r="MXM12" s="20"/>
      <c r="MXN12" s="20"/>
      <c r="MXO12" s="20"/>
      <c r="MXP12" s="20"/>
      <c r="MXQ12" s="20"/>
      <c r="MXR12" s="20"/>
      <c r="MXS12" s="20"/>
      <c r="MXT12" s="20"/>
      <c r="MXU12" s="20"/>
      <c r="MXV12" s="20"/>
      <c r="MXW12" s="20"/>
      <c r="MXX12" s="20"/>
      <c r="MXY12" s="20"/>
      <c r="MXZ12" s="20"/>
      <c r="MYA12" s="20"/>
      <c r="MYB12" s="20"/>
      <c r="MYC12" s="20"/>
      <c r="MYD12" s="20"/>
      <c r="MYE12" s="20"/>
      <c r="MYF12" s="20"/>
      <c r="MYG12" s="20"/>
      <c r="MYH12" s="20"/>
      <c r="MYI12" s="20"/>
      <c r="MYJ12" s="20"/>
      <c r="MYK12" s="20"/>
      <c r="MYL12" s="20"/>
      <c r="MYM12" s="20"/>
      <c r="MYN12" s="20"/>
      <c r="MYO12" s="20"/>
      <c r="MYP12" s="20"/>
      <c r="MYQ12" s="20"/>
      <c r="MYR12" s="20"/>
      <c r="MYS12" s="20"/>
      <c r="MYT12" s="20"/>
      <c r="MYU12" s="20"/>
      <c r="MYV12" s="20"/>
      <c r="MYW12" s="20"/>
      <c r="MYX12" s="20"/>
      <c r="MYY12" s="20"/>
      <c r="MYZ12" s="20"/>
      <c r="MZA12" s="20"/>
      <c r="MZB12" s="20"/>
      <c r="MZC12" s="20"/>
      <c r="MZD12" s="20"/>
      <c r="MZE12" s="20"/>
      <c r="MZF12" s="20"/>
      <c r="MZG12" s="20"/>
      <c r="MZH12" s="20"/>
      <c r="MZI12" s="20"/>
      <c r="MZJ12" s="20"/>
      <c r="MZK12" s="20"/>
      <c r="MZL12" s="20"/>
      <c r="MZM12" s="20"/>
      <c r="MZN12" s="20"/>
      <c r="MZO12" s="20"/>
      <c r="MZP12" s="20"/>
      <c r="MZQ12" s="20"/>
      <c r="MZR12" s="20"/>
      <c r="MZS12" s="20"/>
      <c r="MZT12" s="20"/>
      <c r="MZU12" s="20"/>
      <c r="MZV12" s="20"/>
      <c r="MZW12" s="20"/>
      <c r="MZX12" s="20"/>
      <c r="MZY12" s="20"/>
      <c r="MZZ12" s="20"/>
      <c r="NAA12" s="20"/>
      <c r="NAB12" s="20"/>
      <c r="NAC12" s="20"/>
      <c r="NAD12" s="20"/>
      <c r="NAE12" s="20"/>
      <c r="NAF12" s="20"/>
      <c r="NAG12" s="20"/>
      <c r="NAH12" s="20"/>
      <c r="NAI12" s="20"/>
      <c r="NAJ12" s="20"/>
      <c r="NAK12" s="20"/>
      <c r="NAL12" s="20"/>
      <c r="NAM12" s="20"/>
      <c r="NAN12" s="20"/>
      <c r="NAO12" s="20"/>
      <c r="NAP12" s="20"/>
      <c r="NAQ12" s="20"/>
      <c r="NAR12" s="20"/>
      <c r="NAS12" s="20"/>
      <c r="NAT12" s="20"/>
      <c r="NAU12" s="20"/>
      <c r="NAV12" s="20"/>
      <c r="NAW12" s="20"/>
      <c r="NAX12" s="20"/>
      <c r="NAY12" s="20"/>
      <c r="NAZ12" s="20"/>
      <c r="NBA12" s="20"/>
      <c r="NBB12" s="20"/>
      <c r="NBC12" s="20"/>
      <c r="NBD12" s="20"/>
      <c r="NBE12" s="20"/>
      <c r="NBF12" s="20"/>
      <c r="NBG12" s="20"/>
      <c r="NBH12" s="20"/>
      <c r="NBI12" s="20"/>
      <c r="NBJ12" s="20"/>
      <c r="NBK12" s="20"/>
      <c r="NBL12" s="20"/>
      <c r="NBM12" s="20"/>
      <c r="NBN12" s="20"/>
      <c r="NBO12" s="20"/>
      <c r="NBP12" s="20"/>
      <c r="NBQ12" s="20"/>
      <c r="NBR12" s="20"/>
      <c r="NBS12" s="20"/>
      <c r="NBT12" s="20"/>
      <c r="NBU12" s="20"/>
      <c r="NBV12" s="20"/>
      <c r="NBW12" s="20"/>
      <c r="NBX12" s="20"/>
      <c r="NBY12" s="20"/>
      <c r="NBZ12" s="20"/>
      <c r="NCA12" s="20"/>
      <c r="NCB12" s="20"/>
      <c r="NCC12" s="20"/>
      <c r="NCD12" s="20"/>
      <c r="NCE12" s="20"/>
      <c r="NCF12" s="20"/>
      <c r="NCG12" s="20"/>
      <c r="NCH12" s="20"/>
      <c r="NCI12" s="20"/>
      <c r="NCJ12" s="20"/>
      <c r="NCK12" s="20"/>
      <c r="NCL12" s="20"/>
      <c r="NCM12" s="20"/>
      <c r="NCN12" s="20"/>
      <c r="NCO12" s="20"/>
      <c r="NCP12" s="20"/>
      <c r="NCQ12" s="20"/>
      <c r="NCR12" s="20"/>
      <c r="NCS12" s="20"/>
      <c r="NCT12" s="20"/>
      <c r="NCU12" s="20"/>
      <c r="NCV12" s="20"/>
      <c r="NCW12" s="20"/>
      <c r="NCX12" s="20"/>
      <c r="NCY12" s="20"/>
      <c r="NCZ12" s="20"/>
      <c r="NDA12" s="20"/>
      <c r="NDB12" s="20"/>
      <c r="NDC12" s="20"/>
      <c r="NDD12" s="20"/>
      <c r="NDE12" s="20"/>
      <c r="NDF12" s="20"/>
      <c r="NDG12" s="20"/>
      <c r="NDH12" s="20"/>
      <c r="NDI12" s="20"/>
      <c r="NDJ12" s="20"/>
      <c r="NDK12" s="20"/>
      <c r="NDL12" s="20"/>
      <c r="NDM12" s="20"/>
      <c r="NDN12" s="20"/>
      <c r="NDO12" s="20"/>
      <c r="NDP12" s="20"/>
      <c r="NDQ12" s="20"/>
      <c r="NDR12" s="20"/>
      <c r="NDS12" s="20"/>
      <c r="NDT12" s="20"/>
      <c r="NDU12" s="20"/>
      <c r="NDV12" s="20"/>
      <c r="NDW12" s="20"/>
      <c r="NDX12" s="20"/>
      <c r="NDY12" s="20"/>
      <c r="NDZ12" s="20"/>
      <c r="NEA12" s="20"/>
      <c r="NEB12" s="20"/>
      <c r="NEC12" s="20"/>
      <c r="NED12" s="20"/>
      <c r="NEE12" s="20"/>
      <c r="NEF12" s="20"/>
      <c r="NEG12" s="20"/>
      <c r="NEH12" s="20"/>
      <c r="NEI12" s="20"/>
      <c r="NEJ12" s="20"/>
      <c r="NEK12" s="20"/>
      <c r="NEL12" s="20"/>
      <c r="NEM12" s="20"/>
      <c r="NEN12" s="20"/>
      <c r="NEO12" s="20"/>
      <c r="NEP12" s="20"/>
      <c r="NEQ12" s="20"/>
      <c r="NER12" s="20"/>
      <c r="NES12" s="20"/>
      <c r="NET12" s="20"/>
      <c r="NEU12" s="20"/>
      <c r="NEV12" s="20"/>
      <c r="NEW12" s="20"/>
      <c r="NEX12" s="20"/>
      <c r="NEY12" s="20"/>
      <c r="NEZ12" s="20"/>
      <c r="NFA12" s="20"/>
      <c r="NFB12" s="20"/>
      <c r="NFC12" s="20"/>
      <c r="NFD12" s="20"/>
      <c r="NFE12" s="20"/>
      <c r="NFF12" s="20"/>
      <c r="NFG12" s="20"/>
      <c r="NFH12" s="20"/>
      <c r="NFI12" s="20"/>
      <c r="NFJ12" s="20"/>
      <c r="NFK12" s="20"/>
      <c r="NFL12" s="20"/>
      <c r="NFM12" s="20"/>
      <c r="NFN12" s="20"/>
      <c r="NFO12" s="20"/>
      <c r="NFP12" s="20"/>
      <c r="NFQ12" s="20"/>
      <c r="NFR12" s="20"/>
      <c r="NFS12" s="20"/>
      <c r="NFT12" s="20"/>
      <c r="NFU12" s="20"/>
      <c r="NFV12" s="20"/>
      <c r="NFW12" s="20"/>
      <c r="NFX12" s="20"/>
      <c r="NFY12" s="20"/>
      <c r="NFZ12" s="20"/>
      <c r="NGA12" s="20"/>
      <c r="NGB12" s="20"/>
      <c r="NGC12" s="20"/>
      <c r="NGD12" s="20"/>
      <c r="NGE12" s="20"/>
      <c r="NGF12" s="20"/>
      <c r="NGG12" s="20"/>
      <c r="NGH12" s="20"/>
      <c r="NGI12" s="20"/>
      <c r="NGJ12" s="20"/>
      <c r="NGK12" s="20"/>
      <c r="NGL12" s="20"/>
      <c r="NGM12" s="20"/>
      <c r="NGN12" s="20"/>
      <c r="NGO12" s="20"/>
      <c r="NGP12" s="20"/>
      <c r="NGQ12" s="20"/>
      <c r="NGR12" s="20"/>
      <c r="NGS12" s="20"/>
      <c r="NGT12" s="20"/>
      <c r="NGU12" s="20"/>
      <c r="NGV12" s="20"/>
      <c r="NGW12" s="20"/>
      <c r="NGX12" s="20"/>
      <c r="NGY12" s="20"/>
      <c r="NGZ12" s="20"/>
      <c r="NHA12" s="20"/>
      <c r="NHB12" s="20"/>
      <c r="NHC12" s="20"/>
      <c r="NHD12" s="20"/>
      <c r="NHE12" s="20"/>
      <c r="NHF12" s="20"/>
      <c r="NHG12" s="20"/>
      <c r="NHH12" s="20"/>
      <c r="NHI12" s="20"/>
      <c r="NHJ12" s="20"/>
      <c r="NHK12" s="20"/>
      <c r="NHL12" s="20"/>
      <c r="NHM12" s="20"/>
      <c r="NHN12" s="20"/>
      <c r="NHO12" s="20"/>
      <c r="NHP12" s="20"/>
      <c r="NHQ12" s="20"/>
      <c r="NHR12" s="20"/>
      <c r="NHS12" s="20"/>
      <c r="NHT12" s="20"/>
      <c r="NHU12" s="20"/>
      <c r="NHV12" s="20"/>
      <c r="NHW12" s="20"/>
      <c r="NHX12" s="20"/>
      <c r="NHY12" s="20"/>
      <c r="NHZ12" s="20"/>
      <c r="NIA12" s="20"/>
      <c r="NIB12" s="20"/>
      <c r="NIC12" s="20"/>
      <c r="NID12" s="20"/>
      <c r="NIE12" s="20"/>
      <c r="NIF12" s="20"/>
      <c r="NIG12" s="20"/>
      <c r="NIH12" s="20"/>
      <c r="NII12" s="20"/>
      <c r="NIJ12" s="20"/>
      <c r="NIK12" s="20"/>
      <c r="NIL12" s="20"/>
      <c r="NIM12" s="20"/>
      <c r="NIN12" s="20"/>
      <c r="NIO12" s="20"/>
      <c r="NIP12" s="20"/>
      <c r="NIQ12" s="20"/>
      <c r="NIR12" s="20"/>
      <c r="NIS12" s="20"/>
      <c r="NIT12" s="20"/>
      <c r="NIU12" s="20"/>
      <c r="NIV12" s="20"/>
      <c r="NIW12" s="20"/>
      <c r="NIX12" s="20"/>
      <c r="NIY12" s="20"/>
      <c r="NIZ12" s="20"/>
      <c r="NJA12" s="20"/>
      <c r="NJB12" s="20"/>
      <c r="NJC12" s="20"/>
      <c r="NJD12" s="20"/>
      <c r="NJE12" s="20"/>
      <c r="NJF12" s="20"/>
      <c r="NJG12" s="20"/>
      <c r="NJH12" s="20"/>
      <c r="NJI12" s="20"/>
      <c r="NJJ12" s="20"/>
      <c r="NJK12" s="20"/>
      <c r="NJL12" s="20"/>
      <c r="NJM12" s="20"/>
      <c r="NJN12" s="20"/>
      <c r="NJO12" s="20"/>
      <c r="NJP12" s="20"/>
      <c r="NJQ12" s="20"/>
      <c r="NJR12" s="20"/>
      <c r="NJS12" s="20"/>
      <c r="NJT12" s="20"/>
      <c r="NJU12" s="20"/>
      <c r="NJV12" s="20"/>
      <c r="NJW12" s="20"/>
      <c r="NJX12" s="20"/>
      <c r="NJY12" s="20"/>
      <c r="NJZ12" s="20"/>
      <c r="NKA12" s="20"/>
      <c r="NKB12" s="20"/>
      <c r="NKC12" s="20"/>
      <c r="NKD12" s="20"/>
      <c r="NKE12" s="20"/>
      <c r="NKF12" s="20"/>
      <c r="NKG12" s="20"/>
      <c r="NKH12" s="20"/>
      <c r="NKI12" s="20"/>
      <c r="NKJ12" s="20"/>
      <c r="NKK12" s="20"/>
      <c r="NKL12" s="20"/>
      <c r="NKM12" s="20"/>
      <c r="NKN12" s="20"/>
      <c r="NKO12" s="20"/>
      <c r="NKP12" s="20"/>
      <c r="NKQ12" s="20"/>
      <c r="NKR12" s="20"/>
      <c r="NKS12" s="20"/>
      <c r="NKT12" s="20"/>
      <c r="NKU12" s="20"/>
      <c r="NKV12" s="20"/>
      <c r="NKW12" s="20"/>
      <c r="NKX12" s="20"/>
      <c r="NKY12" s="20"/>
      <c r="NKZ12" s="20"/>
      <c r="NLA12" s="20"/>
      <c r="NLB12" s="20"/>
      <c r="NLC12" s="20"/>
      <c r="NLD12" s="20"/>
      <c r="NLE12" s="20"/>
      <c r="NLF12" s="20"/>
      <c r="NLG12" s="20"/>
      <c r="NLH12" s="20"/>
      <c r="NLI12" s="20"/>
      <c r="NLJ12" s="20"/>
      <c r="NLK12" s="20"/>
      <c r="NLL12" s="20"/>
      <c r="NLM12" s="20"/>
      <c r="NLN12" s="20"/>
      <c r="NLO12" s="20"/>
      <c r="NLP12" s="20"/>
      <c r="NLQ12" s="20"/>
      <c r="NLR12" s="20"/>
      <c r="NLS12" s="20"/>
      <c r="NLT12" s="20"/>
      <c r="NLU12" s="20"/>
      <c r="NLV12" s="20"/>
      <c r="NLW12" s="20"/>
      <c r="NLX12" s="20"/>
      <c r="NLY12" s="20"/>
      <c r="NLZ12" s="20"/>
      <c r="NMA12" s="20"/>
      <c r="NMB12" s="20"/>
      <c r="NMC12" s="20"/>
      <c r="NMD12" s="20"/>
      <c r="NME12" s="20"/>
      <c r="NMF12" s="20"/>
      <c r="NMG12" s="20"/>
      <c r="NMH12" s="20"/>
      <c r="NMI12" s="20"/>
      <c r="NMJ12" s="20"/>
      <c r="NMK12" s="20"/>
      <c r="NML12" s="20"/>
      <c r="NMM12" s="20"/>
      <c r="NMN12" s="20"/>
      <c r="NMO12" s="20"/>
      <c r="NMP12" s="20"/>
      <c r="NMQ12" s="20"/>
      <c r="NMR12" s="20"/>
      <c r="NMS12" s="20"/>
      <c r="NMT12" s="20"/>
      <c r="NMU12" s="20"/>
      <c r="NMV12" s="20"/>
      <c r="NMW12" s="20"/>
      <c r="NMX12" s="20"/>
      <c r="NMY12" s="20"/>
      <c r="NMZ12" s="20"/>
      <c r="NNA12" s="20"/>
      <c r="NNB12" s="20"/>
      <c r="NNC12" s="20"/>
      <c r="NND12" s="20"/>
      <c r="NNE12" s="20"/>
      <c r="NNF12" s="20"/>
      <c r="NNG12" s="20"/>
      <c r="NNH12" s="20"/>
      <c r="NNI12" s="20"/>
      <c r="NNJ12" s="20"/>
      <c r="NNK12" s="20"/>
      <c r="NNL12" s="20"/>
      <c r="NNM12" s="20"/>
      <c r="NNN12" s="20"/>
      <c r="NNO12" s="20"/>
      <c r="NNP12" s="20"/>
      <c r="NNQ12" s="20"/>
      <c r="NNR12" s="20"/>
      <c r="NNS12" s="20"/>
      <c r="NNT12" s="20"/>
      <c r="NNU12" s="20"/>
      <c r="NNV12" s="20"/>
      <c r="NNW12" s="20"/>
      <c r="NNX12" s="20"/>
      <c r="NNY12" s="20"/>
      <c r="NNZ12" s="20"/>
      <c r="NOA12" s="20"/>
      <c r="NOB12" s="20"/>
      <c r="NOC12" s="20"/>
      <c r="NOD12" s="20"/>
      <c r="NOE12" s="20"/>
      <c r="NOF12" s="20"/>
      <c r="NOG12" s="20"/>
      <c r="NOH12" s="20"/>
      <c r="NOI12" s="20"/>
      <c r="NOJ12" s="20"/>
      <c r="NOK12" s="20"/>
      <c r="NOL12" s="20"/>
      <c r="NOM12" s="20"/>
      <c r="NON12" s="20"/>
      <c r="NOO12" s="20"/>
      <c r="NOP12" s="20"/>
      <c r="NOQ12" s="20"/>
      <c r="NOR12" s="20"/>
      <c r="NOS12" s="20"/>
      <c r="NOT12" s="20"/>
      <c r="NOU12" s="20"/>
      <c r="NOV12" s="20"/>
      <c r="NOW12" s="20"/>
      <c r="NOX12" s="20"/>
      <c r="NOY12" s="20"/>
      <c r="NOZ12" s="20"/>
      <c r="NPA12" s="20"/>
      <c r="NPB12" s="20"/>
      <c r="NPC12" s="20"/>
      <c r="NPD12" s="20"/>
      <c r="NPE12" s="20"/>
      <c r="NPF12" s="20"/>
      <c r="NPG12" s="20"/>
      <c r="NPH12" s="20"/>
      <c r="NPI12" s="20"/>
      <c r="NPJ12" s="20"/>
      <c r="NPK12" s="20"/>
      <c r="NPL12" s="20"/>
      <c r="NPM12" s="20"/>
      <c r="NPN12" s="20"/>
      <c r="NPO12" s="20"/>
      <c r="NPP12" s="20"/>
      <c r="NPQ12" s="20"/>
      <c r="NPR12" s="20"/>
      <c r="NPS12" s="20"/>
      <c r="NPT12" s="20"/>
      <c r="NPU12" s="20"/>
      <c r="NPV12" s="20"/>
      <c r="NPW12" s="20"/>
      <c r="NPX12" s="20"/>
      <c r="NPY12" s="20"/>
      <c r="NPZ12" s="20"/>
      <c r="NQA12" s="20"/>
      <c r="NQB12" s="20"/>
      <c r="NQC12" s="20"/>
      <c r="NQD12" s="20"/>
      <c r="NQE12" s="20"/>
      <c r="NQF12" s="20"/>
      <c r="NQG12" s="20"/>
      <c r="NQH12" s="20"/>
      <c r="NQI12" s="20"/>
      <c r="NQJ12" s="20"/>
      <c r="NQK12" s="20"/>
      <c r="NQL12" s="20"/>
      <c r="NQM12" s="20"/>
      <c r="NQN12" s="20"/>
      <c r="NQO12" s="20"/>
      <c r="NQP12" s="20"/>
      <c r="NQQ12" s="20"/>
      <c r="NQR12" s="20"/>
      <c r="NQS12" s="20"/>
      <c r="NQT12" s="20"/>
      <c r="NQU12" s="20"/>
      <c r="NQV12" s="20"/>
      <c r="NQW12" s="20"/>
      <c r="NQX12" s="20"/>
      <c r="NQY12" s="20"/>
      <c r="NQZ12" s="20"/>
      <c r="NRA12" s="20"/>
      <c r="NRB12" s="20"/>
      <c r="NRC12" s="20"/>
      <c r="NRD12" s="20"/>
      <c r="NRE12" s="20"/>
      <c r="NRF12" s="20"/>
      <c r="NRG12" s="20"/>
      <c r="NRH12" s="20"/>
      <c r="NRI12" s="20"/>
      <c r="NRJ12" s="20"/>
      <c r="NRK12" s="20"/>
      <c r="NRL12" s="20"/>
      <c r="NRM12" s="20"/>
      <c r="NRN12" s="20"/>
      <c r="NRO12" s="20"/>
      <c r="NRP12" s="20"/>
      <c r="NRQ12" s="20"/>
      <c r="NRR12" s="20"/>
      <c r="NRS12" s="20"/>
      <c r="NRT12" s="20"/>
      <c r="NRU12" s="20"/>
      <c r="NRV12" s="20"/>
      <c r="NRW12" s="20"/>
      <c r="NRX12" s="20"/>
      <c r="NRY12" s="20"/>
      <c r="NRZ12" s="20"/>
      <c r="NSA12" s="20"/>
      <c r="NSB12" s="20"/>
      <c r="NSC12" s="20"/>
      <c r="NSD12" s="20"/>
      <c r="NSE12" s="20"/>
      <c r="NSF12" s="20"/>
      <c r="NSG12" s="20"/>
      <c r="NSH12" s="20"/>
      <c r="NSI12" s="20"/>
      <c r="NSJ12" s="20"/>
      <c r="NSK12" s="20"/>
      <c r="NSL12" s="20"/>
      <c r="NSM12" s="20"/>
      <c r="NSN12" s="20"/>
      <c r="NSO12" s="20"/>
      <c r="NSP12" s="20"/>
      <c r="NSQ12" s="20"/>
      <c r="NSR12" s="20"/>
      <c r="NSS12" s="20"/>
      <c r="NST12" s="20"/>
      <c r="NSU12" s="20"/>
      <c r="NSV12" s="20"/>
      <c r="NSW12" s="20"/>
      <c r="NSX12" s="20"/>
      <c r="NSY12" s="20"/>
      <c r="NSZ12" s="20"/>
      <c r="NTA12" s="20"/>
      <c r="NTB12" s="20"/>
      <c r="NTC12" s="20"/>
      <c r="NTD12" s="20"/>
      <c r="NTE12" s="20"/>
      <c r="NTF12" s="20"/>
      <c r="NTG12" s="20"/>
      <c r="NTH12" s="20"/>
      <c r="NTI12" s="20"/>
      <c r="NTJ12" s="20"/>
      <c r="NTK12" s="20"/>
      <c r="NTL12" s="20"/>
      <c r="NTM12" s="20"/>
      <c r="NTN12" s="20"/>
      <c r="NTO12" s="20"/>
      <c r="NTP12" s="20"/>
      <c r="NTQ12" s="20"/>
      <c r="NTR12" s="20"/>
      <c r="NTS12" s="20"/>
      <c r="NTT12" s="20"/>
      <c r="NTU12" s="20"/>
      <c r="NTV12" s="20"/>
      <c r="NTW12" s="20"/>
      <c r="NTX12" s="20"/>
      <c r="NTY12" s="20"/>
      <c r="NTZ12" s="20"/>
      <c r="NUA12" s="20"/>
      <c r="NUB12" s="20"/>
      <c r="NUC12" s="20"/>
      <c r="NUD12" s="20"/>
      <c r="NUE12" s="20"/>
      <c r="NUF12" s="20"/>
      <c r="NUG12" s="20"/>
      <c r="NUH12" s="20"/>
      <c r="NUI12" s="20"/>
      <c r="NUJ12" s="20"/>
      <c r="NUK12" s="20"/>
      <c r="NUL12" s="20"/>
      <c r="NUM12" s="20"/>
      <c r="NUN12" s="20"/>
      <c r="NUO12" s="20"/>
      <c r="NUP12" s="20"/>
      <c r="NUQ12" s="20"/>
      <c r="NUR12" s="20"/>
      <c r="NUS12" s="20"/>
      <c r="NUT12" s="20"/>
      <c r="NUU12" s="20"/>
      <c r="NUV12" s="20"/>
      <c r="NUW12" s="20"/>
      <c r="NUX12" s="20"/>
      <c r="NUY12" s="20"/>
      <c r="NUZ12" s="20"/>
      <c r="NVA12" s="20"/>
      <c r="NVB12" s="20"/>
      <c r="NVC12" s="20"/>
      <c r="NVD12" s="20"/>
      <c r="NVE12" s="20"/>
      <c r="NVF12" s="20"/>
      <c r="NVG12" s="20"/>
      <c r="NVH12" s="20"/>
      <c r="NVI12" s="20"/>
      <c r="NVJ12" s="20"/>
      <c r="NVK12" s="20"/>
      <c r="NVL12" s="20"/>
      <c r="NVM12" s="20"/>
      <c r="NVN12" s="20"/>
      <c r="NVO12" s="20"/>
      <c r="NVP12" s="20"/>
      <c r="NVQ12" s="20"/>
      <c r="NVR12" s="20"/>
      <c r="NVS12" s="20"/>
      <c r="NVT12" s="20"/>
      <c r="NVU12" s="20"/>
      <c r="NVV12" s="20"/>
      <c r="NVW12" s="20"/>
      <c r="NVX12" s="20"/>
      <c r="NVY12" s="20"/>
      <c r="NVZ12" s="20"/>
      <c r="NWA12" s="20"/>
      <c r="NWB12" s="20"/>
      <c r="NWC12" s="20"/>
      <c r="NWD12" s="20"/>
      <c r="NWE12" s="20"/>
      <c r="NWF12" s="20"/>
      <c r="NWG12" s="20"/>
      <c r="NWH12" s="20"/>
      <c r="NWI12" s="20"/>
      <c r="NWJ12" s="20"/>
      <c r="NWK12" s="20"/>
      <c r="NWL12" s="20"/>
      <c r="NWM12" s="20"/>
      <c r="NWN12" s="20"/>
      <c r="NWO12" s="20"/>
      <c r="NWP12" s="20"/>
      <c r="NWQ12" s="20"/>
      <c r="NWR12" s="20"/>
      <c r="NWS12" s="20"/>
      <c r="NWT12" s="20"/>
      <c r="NWU12" s="20"/>
      <c r="NWV12" s="20"/>
      <c r="NWW12" s="20"/>
      <c r="NWX12" s="20"/>
      <c r="NWY12" s="20"/>
      <c r="NWZ12" s="20"/>
      <c r="NXA12" s="20"/>
      <c r="NXB12" s="20"/>
      <c r="NXC12" s="20"/>
      <c r="NXD12" s="20"/>
      <c r="NXE12" s="20"/>
      <c r="NXF12" s="20"/>
      <c r="NXG12" s="20"/>
      <c r="NXH12" s="20"/>
      <c r="NXI12" s="20"/>
      <c r="NXJ12" s="20"/>
      <c r="NXK12" s="20"/>
      <c r="NXL12" s="20"/>
      <c r="NXM12" s="20"/>
      <c r="NXN12" s="20"/>
      <c r="NXO12" s="20"/>
      <c r="NXP12" s="20"/>
      <c r="NXQ12" s="20"/>
      <c r="NXR12" s="20"/>
      <c r="NXS12" s="20"/>
      <c r="NXT12" s="20"/>
      <c r="NXU12" s="20"/>
      <c r="NXV12" s="20"/>
      <c r="NXW12" s="20"/>
      <c r="NXX12" s="20"/>
      <c r="NXY12" s="20"/>
      <c r="NXZ12" s="20"/>
      <c r="NYA12" s="20"/>
      <c r="NYB12" s="20"/>
      <c r="NYC12" s="20"/>
      <c r="NYD12" s="20"/>
      <c r="NYE12" s="20"/>
      <c r="NYF12" s="20"/>
      <c r="NYG12" s="20"/>
      <c r="NYH12" s="20"/>
      <c r="NYI12" s="20"/>
      <c r="NYJ12" s="20"/>
      <c r="NYK12" s="20"/>
      <c r="NYL12" s="20"/>
      <c r="NYM12" s="20"/>
      <c r="NYN12" s="20"/>
      <c r="NYO12" s="20"/>
      <c r="NYP12" s="20"/>
      <c r="NYQ12" s="20"/>
      <c r="NYR12" s="20"/>
      <c r="NYS12" s="20"/>
      <c r="NYT12" s="20"/>
      <c r="NYU12" s="20"/>
      <c r="NYV12" s="20"/>
      <c r="NYW12" s="20"/>
      <c r="NYX12" s="20"/>
      <c r="NYY12" s="20"/>
      <c r="NYZ12" s="20"/>
      <c r="NZA12" s="20"/>
      <c r="NZB12" s="20"/>
      <c r="NZC12" s="20"/>
      <c r="NZD12" s="20"/>
      <c r="NZE12" s="20"/>
      <c r="NZF12" s="20"/>
      <c r="NZG12" s="20"/>
      <c r="NZH12" s="20"/>
      <c r="NZI12" s="20"/>
      <c r="NZJ12" s="20"/>
      <c r="NZK12" s="20"/>
      <c r="NZL12" s="20"/>
      <c r="NZM12" s="20"/>
      <c r="NZN12" s="20"/>
      <c r="NZO12" s="20"/>
      <c r="NZP12" s="20"/>
      <c r="NZQ12" s="20"/>
      <c r="NZR12" s="20"/>
      <c r="NZS12" s="20"/>
      <c r="NZT12" s="20"/>
      <c r="NZU12" s="20"/>
      <c r="NZV12" s="20"/>
      <c r="NZW12" s="20"/>
      <c r="NZX12" s="20"/>
      <c r="NZY12" s="20"/>
      <c r="NZZ12" s="20"/>
      <c r="OAA12" s="20"/>
      <c r="OAB12" s="20"/>
      <c r="OAC12" s="20"/>
      <c r="OAD12" s="20"/>
      <c r="OAE12" s="20"/>
      <c r="OAF12" s="20"/>
      <c r="OAG12" s="20"/>
      <c r="OAH12" s="20"/>
      <c r="OAI12" s="20"/>
      <c r="OAJ12" s="20"/>
      <c r="OAK12" s="20"/>
      <c r="OAL12" s="20"/>
      <c r="OAM12" s="20"/>
      <c r="OAN12" s="20"/>
      <c r="OAO12" s="20"/>
      <c r="OAP12" s="20"/>
      <c r="OAQ12" s="20"/>
      <c r="OAR12" s="20"/>
      <c r="OAS12" s="20"/>
      <c r="OAT12" s="20"/>
      <c r="OAU12" s="20"/>
      <c r="OAV12" s="20"/>
      <c r="OAW12" s="20"/>
      <c r="OAX12" s="20"/>
      <c r="OAY12" s="20"/>
      <c r="OAZ12" s="20"/>
      <c r="OBA12" s="20"/>
      <c r="OBB12" s="20"/>
      <c r="OBC12" s="20"/>
      <c r="OBD12" s="20"/>
      <c r="OBE12" s="20"/>
      <c r="OBF12" s="20"/>
      <c r="OBG12" s="20"/>
      <c r="OBH12" s="20"/>
      <c r="OBI12" s="20"/>
      <c r="OBJ12" s="20"/>
      <c r="OBK12" s="20"/>
      <c r="OBL12" s="20"/>
      <c r="OBM12" s="20"/>
      <c r="OBN12" s="20"/>
      <c r="OBO12" s="20"/>
      <c r="OBP12" s="20"/>
      <c r="OBQ12" s="20"/>
      <c r="OBR12" s="20"/>
      <c r="OBS12" s="20"/>
      <c r="OBT12" s="20"/>
      <c r="OBU12" s="20"/>
      <c r="OBV12" s="20"/>
      <c r="OBW12" s="20"/>
      <c r="OBX12" s="20"/>
      <c r="OBY12" s="20"/>
      <c r="OBZ12" s="20"/>
      <c r="OCA12" s="20"/>
      <c r="OCB12" s="20"/>
      <c r="OCC12" s="20"/>
      <c r="OCD12" s="20"/>
      <c r="OCE12" s="20"/>
      <c r="OCF12" s="20"/>
      <c r="OCG12" s="20"/>
      <c r="OCH12" s="20"/>
      <c r="OCI12" s="20"/>
      <c r="OCJ12" s="20"/>
      <c r="OCK12" s="20"/>
      <c r="OCL12" s="20"/>
      <c r="OCM12" s="20"/>
      <c r="OCN12" s="20"/>
      <c r="OCO12" s="20"/>
      <c r="OCP12" s="20"/>
      <c r="OCQ12" s="20"/>
      <c r="OCR12" s="20"/>
      <c r="OCS12" s="20"/>
      <c r="OCT12" s="20"/>
      <c r="OCU12" s="20"/>
      <c r="OCV12" s="20"/>
      <c r="OCW12" s="20"/>
      <c r="OCX12" s="20"/>
      <c r="OCY12" s="20"/>
      <c r="OCZ12" s="20"/>
      <c r="ODA12" s="20"/>
      <c r="ODB12" s="20"/>
      <c r="ODC12" s="20"/>
      <c r="ODD12" s="20"/>
      <c r="ODE12" s="20"/>
      <c r="ODF12" s="20"/>
      <c r="ODG12" s="20"/>
      <c r="ODH12" s="20"/>
      <c r="ODI12" s="20"/>
      <c r="ODJ12" s="20"/>
      <c r="ODK12" s="20"/>
      <c r="ODL12" s="20"/>
      <c r="ODM12" s="20"/>
      <c r="ODN12" s="20"/>
      <c r="ODO12" s="20"/>
      <c r="ODP12" s="20"/>
      <c r="ODQ12" s="20"/>
      <c r="ODR12" s="20"/>
      <c r="ODS12" s="20"/>
      <c r="ODT12" s="20"/>
      <c r="ODU12" s="20"/>
      <c r="ODV12" s="20"/>
      <c r="ODW12" s="20"/>
      <c r="ODX12" s="20"/>
      <c r="ODY12" s="20"/>
      <c r="ODZ12" s="20"/>
      <c r="OEA12" s="20"/>
      <c r="OEB12" s="20"/>
      <c r="OEC12" s="20"/>
      <c r="OED12" s="20"/>
      <c r="OEE12" s="20"/>
      <c r="OEF12" s="20"/>
      <c r="OEG12" s="20"/>
      <c r="OEH12" s="20"/>
      <c r="OEI12" s="20"/>
      <c r="OEJ12" s="20"/>
      <c r="OEK12" s="20"/>
      <c r="OEL12" s="20"/>
      <c r="OEM12" s="20"/>
      <c r="OEN12" s="20"/>
      <c r="OEO12" s="20"/>
      <c r="OEP12" s="20"/>
      <c r="OEQ12" s="20"/>
      <c r="OER12" s="20"/>
      <c r="OES12" s="20"/>
      <c r="OET12" s="20"/>
      <c r="OEU12" s="20"/>
      <c r="OEV12" s="20"/>
      <c r="OEW12" s="20"/>
      <c r="OEX12" s="20"/>
      <c r="OEY12" s="20"/>
      <c r="OEZ12" s="20"/>
      <c r="OFA12" s="20"/>
      <c r="OFB12" s="20"/>
      <c r="OFC12" s="20"/>
      <c r="OFD12" s="20"/>
      <c r="OFE12" s="20"/>
      <c r="OFF12" s="20"/>
      <c r="OFG12" s="20"/>
      <c r="OFH12" s="20"/>
      <c r="OFI12" s="20"/>
      <c r="OFJ12" s="20"/>
      <c r="OFK12" s="20"/>
      <c r="OFL12" s="20"/>
      <c r="OFM12" s="20"/>
      <c r="OFN12" s="20"/>
      <c r="OFO12" s="20"/>
      <c r="OFP12" s="20"/>
      <c r="OFQ12" s="20"/>
      <c r="OFR12" s="20"/>
      <c r="OFS12" s="20"/>
      <c r="OFT12" s="20"/>
      <c r="OFU12" s="20"/>
      <c r="OFV12" s="20"/>
      <c r="OFW12" s="20"/>
      <c r="OFX12" s="20"/>
      <c r="OFY12" s="20"/>
      <c r="OFZ12" s="20"/>
      <c r="OGA12" s="20"/>
      <c r="OGB12" s="20"/>
      <c r="OGC12" s="20"/>
      <c r="OGD12" s="20"/>
      <c r="OGE12" s="20"/>
      <c r="OGF12" s="20"/>
      <c r="OGG12" s="20"/>
      <c r="OGH12" s="20"/>
      <c r="OGI12" s="20"/>
      <c r="OGJ12" s="20"/>
      <c r="OGK12" s="20"/>
      <c r="OGL12" s="20"/>
      <c r="OGM12" s="20"/>
      <c r="OGN12" s="20"/>
      <c r="OGO12" s="20"/>
      <c r="OGP12" s="20"/>
      <c r="OGQ12" s="20"/>
      <c r="OGR12" s="20"/>
      <c r="OGS12" s="20"/>
      <c r="OGT12" s="20"/>
      <c r="OGU12" s="20"/>
      <c r="OGV12" s="20"/>
      <c r="OGW12" s="20"/>
      <c r="OGX12" s="20"/>
      <c r="OGY12" s="20"/>
      <c r="OGZ12" s="20"/>
      <c r="OHA12" s="20"/>
      <c r="OHB12" s="20"/>
      <c r="OHC12" s="20"/>
      <c r="OHD12" s="20"/>
      <c r="OHE12" s="20"/>
      <c r="OHF12" s="20"/>
      <c r="OHG12" s="20"/>
      <c r="OHH12" s="20"/>
      <c r="OHI12" s="20"/>
      <c r="OHJ12" s="20"/>
      <c r="OHK12" s="20"/>
      <c r="OHL12" s="20"/>
      <c r="OHM12" s="20"/>
      <c r="OHN12" s="20"/>
      <c r="OHO12" s="20"/>
      <c r="OHP12" s="20"/>
      <c r="OHQ12" s="20"/>
      <c r="OHR12" s="20"/>
      <c r="OHS12" s="20"/>
      <c r="OHT12" s="20"/>
      <c r="OHU12" s="20"/>
      <c r="OHV12" s="20"/>
      <c r="OHW12" s="20"/>
      <c r="OHX12" s="20"/>
      <c r="OHY12" s="20"/>
      <c r="OHZ12" s="20"/>
      <c r="OIA12" s="20"/>
      <c r="OIB12" s="20"/>
      <c r="OIC12" s="20"/>
      <c r="OID12" s="20"/>
      <c r="OIE12" s="20"/>
      <c r="OIF12" s="20"/>
      <c r="OIG12" s="20"/>
      <c r="OIH12" s="20"/>
      <c r="OII12" s="20"/>
      <c r="OIJ12" s="20"/>
      <c r="OIK12" s="20"/>
      <c r="OIL12" s="20"/>
      <c r="OIM12" s="20"/>
      <c r="OIN12" s="20"/>
      <c r="OIO12" s="20"/>
      <c r="OIP12" s="20"/>
      <c r="OIQ12" s="20"/>
      <c r="OIR12" s="20"/>
      <c r="OIS12" s="20"/>
      <c r="OIT12" s="20"/>
      <c r="OIU12" s="20"/>
      <c r="OIV12" s="20"/>
      <c r="OIW12" s="20"/>
      <c r="OIX12" s="20"/>
      <c r="OIY12" s="20"/>
      <c r="OIZ12" s="20"/>
      <c r="OJA12" s="20"/>
      <c r="OJB12" s="20"/>
      <c r="OJC12" s="20"/>
      <c r="OJD12" s="20"/>
      <c r="OJE12" s="20"/>
      <c r="OJF12" s="20"/>
      <c r="OJG12" s="20"/>
      <c r="OJH12" s="20"/>
      <c r="OJI12" s="20"/>
      <c r="OJJ12" s="20"/>
      <c r="OJK12" s="20"/>
      <c r="OJL12" s="20"/>
      <c r="OJM12" s="20"/>
      <c r="OJN12" s="20"/>
      <c r="OJO12" s="20"/>
      <c r="OJP12" s="20"/>
      <c r="OJQ12" s="20"/>
      <c r="OJR12" s="20"/>
      <c r="OJS12" s="20"/>
      <c r="OJT12" s="20"/>
      <c r="OJU12" s="20"/>
      <c r="OJV12" s="20"/>
      <c r="OJW12" s="20"/>
      <c r="OJX12" s="20"/>
      <c r="OJY12" s="20"/>
      <c r="OJZ12" s="20"/>
      <c r="OKA12" s="20"/>
      <c r="OKB12" s="20"/>
      <c r="OKC12" s="20"/>
      <c r="OKD12" s="20"/>
      <c r="OKE12" s="20"/>
      <c r="OKF12" s="20"/>
      <c r="OKG12" s="20"/>
      <c r="OKH12" s="20"/>
      <c r="OKI12" s="20"/>
      <c r="OKJ12" s="20"/>
      <c r="OKK12" s="20"/>
      <c r="OKL12" s="20"/>
      <c r="OKM12" s="20"/>
      <c r="OKN12" s="20"/>
      <c r="OKO12" s="20"/>
      <c r="OKP12" s="20"/>
      <c r="OKQ12" s="20"/>
      <c r="OKR12" s="20"/>
      <c r="OKS12" s="20"/>
      <c r="OKT12" s="20"/>
      <c r="OKU12" s="20"/>
      <c r="OKV12" s="20"/>
      <c r="OKW12" s="20"/>
      <c r="OKX12" s="20"/>
      <c r="OKY12" s="20"/>
      <c r="OKZ12" s="20"/>
      <c r="OLA12" s="20"/>
      <c r="OLB12" s="20"/>
      <c r="OLC12" s="20"/>
      <c r="OLD12" s="20"/>
      <c r="OLE12" s="20"/>
      <c r="OLF12" s="20"/>
      <c r="OLG12" s="20"/>
      <c r="OLH12" s="20"/>
      <c r="OLI12" s="20"/>
      <c r="OLJ12" s="20"/>
      <c r="OLK12" s="20"/>
      <c r="OLL12" s="20"/>
      <c r="OLM12" s="20"/>
      <c r="OLN12" s="20"/>
      <c r="OLO12" s="20"/>
      <c r="OLP12" s="20"/>
      <c r="OLQ12" s="20"/>
      <c r="OLR12" s="20"/>
      <c r="OLS12" s="20"/>
      <c r="OLT12" s="20"/>
      <c r="OLU12" s="20"/>
      <c r="OLV12" s="20"/>
      <c r="OLW12" s="20"/>
      <c r="OLX12" s="20"/>
      <c r="OLY12" s="20"/>
      <c r="OLZ12" s="20"/>
      <c r="OMA12" s="20"/>
      <c r="OMB12" s="20"/>
      <c r="OMC12" s="20"/>
      <c r="OMD12" s="20"/>
      <c r="OME12" s="20"/>
      <c r="OMF12" s="20"/>
      <c r="OMG12" s="20"/>
      <c r="OMH12" s="20"/>
      <c r="OMI12" s="20"/>
      <c r="OMJ12" s="20"/>
      <c r="OMK12" s="20"/>
      <c r="OML12" s="20"/>
      <c r="OMM12" s="20"/>
      <c r="OMN12" s="20"/>
      <c r="OMO12" s="20"/>
      <c r="OMP12" s="20"/>
      <c r="OMQ12" s="20"/>
      <c r="OMR12" s="20"/>
      <c r="OMS12" s="20"/>
      <c r="OMT12" s="20"/>
      <c r="OMU12" s="20"/>
      <c r="OMV12" s="20"/>
      <c r="OMW12" s="20"/>
      <c r="OMX12" s="20"/>
      <c r="OMY12" s="20"/>
      <c r="OMZ12" s="20"/>
      <c r="ONA12" s="20"/>
      <c r="ONB12" s="20"/>
      <c r="ONC12" s="20"/>
      <c r="OND12" s="20"/>
      <c r="ONE12" s="20"/>
      <c r="ONF12" s="20"/>
      <c r="ONG12" s="20"/>
      <c r="ONH12" s="20"/>
      <c r="ONI12" s="20"/>
      <c r="ONJ12" s="20"/>
      <c r="ONK12" s="20"/>
      <c r="ONL12" s="20"/>
      <c r="ONM12" s="20"/>
      <c r="ONN12" s="20"/>
      <c r="ONO12" s="20"/>
      <c r="ONP12" s="20"/>
      <c r="ONQ12" s="20"/>
      <c r="ONR12" s="20"/>
      <c r="ONS12" s="20"/>
      <c r="ONT12" s="20"/>
      <c r="ONU12" s="20"/>
      <c r="ONV12" s="20"/>
      <c r="ONW12" s="20"/>
      <c r="ONX12" s="20"/>
      <c r="ONY12" s="20"/>
      <c r="ONZ12" s="20"/>
      <c r="OOA12" s="20"/>
      <c r="OOB12" s="20"/>
      <c r="OOC12" s="20"/>
      <c r="OOD12" s="20"/>
      <c r="OOE12" s="20"/>
      <c r="OOF12" s="20"/>
      <c r="OOG12" s="20"/>
      <c r="OOH12" s="20"/>
      <c r="OOI12" s="20"/>
      <c r="OOJ12" s="20"/>
      <c r="OOK12" s="20"/>
      <c r="OOL12" s="20"/>
      <c r="OOM12" s="20"/>
      <c r="OON12" s="20"/>
      <c r="OOO12" s="20"/>
      <c r="OOP12" s="20"/>
      <c r="OOQ12" s="20"/>
      <c r="OOR12" s="20"/>
      <c r="OOS12" s="20"/>
      <c r="OOT12" s="20"/>
      <c r="OOU12" s="20"/>
      <c r="OOV12" s="20"/>
      <c r="OOW12" s="20"/>
      <c r="OOX12" s="20"/>
      <c r="OOY12" s="20"/>
      <c r="OOZ12" s="20"/>
      <c r="OPA12" s="20"/>
      <c r="OPB12" s="20"/>
      <c r="OPC12" s="20"/>
      <c r="OPD12" s="20"/>
      <c r="OPE12" s="20"/>
      <c r="OPF12" s="20"/>
      <c r="OPG12" s="20"/>
      <c r="OPH12" s="20"/>
      <c r="OPI12" s="20"/>
      <c r="OPJ12" s="20"/>
      <c r="OPK12" s="20"/>
      <c r="OPL12" s="20"/>
      <c r="OPM12" s="20"/>
      <c r="OPN12" s="20"/>
      <c r="OPO12" s="20"/>
      <c r="OPP12" s="20"/>
      <c r="OPQ12" s="20"/>
      <c r="OPR12" s="20"/>
      <c r="OPS12" s="20"/>
      <c r="OPT12" s="20"/>
      <c r="OPU12" s="20"/>
      <c r="OPV12" s="20"/>
      <c r="OPW12" s="20"/>
      <c r="OPX12" s="20"/>
      <c r="OPY12" s="20"/>
      <c r="OPZ12" s="20"/>
      <c r="OQA12" s="20"/>
      <c r="OQB12" s="20"/>
      <c r="OQC12" s="20"/>
      <c r="OQD12" s="20"/>
      <c r="OQE12" s="20"/>
      <c r="OQF12" s="20"/>
      <c r="OQG12" s="20"/>
      <c r="OQH12" s="20"/>
      <c r="OQI12" s="20"/>
      <c r="OQJ12" s="20"/>
      <c r="OQK12" s="20"/>
      <c r="OQL12" s="20"/>
      <c r="OQM12" s="20"/>
      <c r="OQN12" s="20"/>
      <c r="OQO12" s="20"/>
      <c r="OQP12" s="20"/>
      <c r="OQQ12" s="20"/>
      <c r="OQR12" s="20"/>
      <c r="OQS12" s="20"/>
      <c r="OQT12" s="20"/>
      <c r="OQU12" s="20"/>
      <c r="OQV12" s="20"/>
      <c r="OQW12" s="20"/>
      <c r="OQX12" s="20"/>
      <c r="OQY12" s="20"/>
      <c r="OQZ12" s="20"/>
      <c r="ORA12" s="20"/>
      <c r="ORB12" s="20"/>
      <c r="ORC12" s="20"/>
      <c r="ORD12" s="20"/>
      <c r="ORE12" s="20"/>
      <c r="ORF12" s="20"/>
      <c r="ORG12" s="20"/>
      <c r="ORH12" s="20"/>
      <c r="ORI12" s="20"/>
      <c r="ORJ12" s="20"/>
      <c r="ORK12" s="20"/>
      <c r="ORL12" s="20"/>
      <c r="ORM12" s="20"/>
      <c r="ORN12" s="20"/>
      <c r="ORO12" s="20"/>
      <c r="ORP12" s="20"/>
      <c r="ORQ12" s="20"/>
      <c r="ORR12" s="20"/>
      <c r="ORS12" s="20"/>
      <c r="ORT12" s="20"/>
      <c r="ORU12" s="20"/>
      <c r="ORV12" s="20"/>
      <c r="ORW12" s="20"/>
      <c r="ORX12" s="20"/>
      <c r="ORY12" s="20"/>
      <c r="ORZ12" s="20"/>
      <c r="OSA12" s="20"/>
      <c r="OSB12" s="20"/>
      <c r="OSC12" s="20"/>
      <c r="OSD12" s="20"/>
      <c r="OSE12" s="20"/>
      <c r="OSF12" s="20"/>
      <c r="OSG12" s="20"/>
      <c r="OSH12" s="20"/>
      <c r="OSI12" s="20"/>
      <c r="OSJ12" s="20"/>
      <c r="OSK12" s="20"/>
      <c r="OSL12" s="20"/>
      <c r="OSM12" s="20"/>
      <c r="OSN12" s="20"/>
      <c r="OSO12" s="20"/>
      <c r="OSP12" s="20"/>
      <c r="OSQ12" s="20"/>
      <c r="OSR12" s="20"/>
      <c r="OSS12" s="20"/>
      <c r="OST12" s="20"/>
      <c r="OSU12" s="20"/>
      <c r="OSV12" s="20"/>
      <c r="OSW12" s="20"/>
      <c r="OSX12" s="20"/>
      <c r="OSY12" s="20"/>
      <c r="OSZ12" s="20"/>
      <c r="OTA12" s="20"/>
      <c r="OTB12" s="20"/>
      <c r="OTC12" s="20"/>
      <c r="OTD12" s="20"/>
      <c r="OTE12" s="20"/>
      <c r="OTF12" s="20"/>
      <c r="OTG12" s="20"/>
      <c r="OTH12" s="20"/>
      <c r="OTI12" s="20"/>
      <c r="OTJ12" s="20"/>
      <c r="OTK12" s="20"/>
      <c r="OTL12" s="20"/>
      <c r="OTM12" s="20"/>
      <c r="OTN12" s="20"/>
      <c r="OTO12" s="20"/>
      <c r="OTP12" s="20"/>
      <c r="OTQ12" s="20"/>
      <c r="OTR12" s="20"/>
      <c r="OTS12" s="20"/>
      <c r="OTT12" s="20"/>
      <c r="OTU12" s="20"/>
      <c r="OTV12" s="20"/>
      <c r="OTW12" s="20"/>
      <c r="OTX12" s="20"/>
      <c r="OTY12" s="20"/>
      <c r="OTZ12" s="20"/>
      <c r="OUA12" s="20"/>
      <c r="OUB12" s="20"/>
      <c r="OUC12" s="20"/>
      <c r="OUD12" s="20"/>
      <c r="OUE12" s="20"/>
      <c r="OUF12" s="20"/>
      <c r="OUG12" s="20"/>
      <c r="OUH12" s="20"/>
      <c r="OUI12" s="20"/>
      <c r="OUJ12" s="20"/>
      <c r="OUK12" s="20"/>
      <c r="OUL12" s="20"/>
      <c r="OUM12" s="20"/>
      <c r="OUN12" s="20"/>
      <c r="OUO12" s="20"/>
      <c r="OUP12" s="20"/>
      <c r="OUQ12" s="20"/>
      <c r="OUR12" s="20"/>
      <c r="OUS12" s="20"/>
      <c r="OUT12" s="20"/>
      <c r="OUU12" s="20"/>
      <c r="OUV12" s="20"/>
      <c r="OUW12" s="20"/>
      <c r="OUX12" s="20"/>
      <c r="OUY12" s="20"/>
      <c r="OUZ12" s="20"/>
      <c r="OVA12" s="20"/>
      <c r="OVB12" s="20"/>
      <c r="OVC12" s="20"/>
      <c r="OVD12" s="20"/>
      <c r="OVE12" s="20"/>
      <c r="OVF12" s="20"/>
      <c r="OVG12" s="20"/>
      <c r="OVH12" s="20"/>
      <c r="OVI12" s="20"/>
      <c r="OVJ12" s="20"/>
      <c r="OVK12" s="20"/>
      <c r="OVL12" s="20"/>
      <c r="OVM12" s="20"/>
      <c r="OVN12" s="20"/>
      <c r="OVO12" s="20"/>
      <c r="OVP12" s="20"/>
      <c r="OVQ12" s="20"/>
      <c r="OVR12" s="20"/>
      <c r="OVS12" s="20"/>
      <c r="OVT12" s="20"/>
      <c r="OVU12" s="20"/>
      <c r="OVV12" s="20"/>
      <c r="OVW12" s="20"/>
      <c r="OVX12" s="20"/>
      <c r="OVY12" s="20"/>
      <c r="OVZ12" s="20"/>
      <c r="OWA12" s="20"/>
      <c r="OWB12" s="20"/>
      <c r="OWC12" s="20"/>
      <c r="OWD12" s="20"/>
      <c r="OWE12" s="20"/>
      <c r="OWF12" s="20"/>
      <c r="OWG12" s="20"/>
      <c r="OWH12" s="20"/>
      <c r="OWI12" s="20"/>
      <c r="OWJ12" s="20"/>
      <c r="OWK12" s="20"/>
      <c r="OWL12" s="20"/>
      <c r="OWM12" s="20"/>
      <c r="OWN12" s="20"/>
      <c r="OWO12" s="20"/>
      <c r="OWP12" s="20"/>
      <c r="OWQ12" s="20"/>
      <c r="OWR12" s="20"/>
      <c r="OWS12" s="20"/>
      <c r="OWT12" s="20"/>
      <c r="OWU12" s="20"/>
      <c r="OWV12" s="20"/>
      <c r="OWW12" s="20"/>
      <c r="OWX12" s="20"/>
      <c r="OWY12" s="20"/>
      <c r="OWZ12" s="20"/>
      <c r="OXA12" s="20"/>
      <c r="OXB12" s="20"/>
      <c r="OXC12" s="20"/>
      <c r="OXD12" s="20"/>
      <c r="OXE12" s="20"/>
      <c r="OXF12" s="20"/>
      <c r="OXG12" s="20"/>
      <c r="OXH12" s="20"/>
      <c r="OXI12" s="20"/>
      <c r="OXJ12" s="20"/>
      <c r="OXK12" s="20"/>
      <c r="OXL12" s="20"/>
      <c r="OXM12" s="20"/>
      <c r="OXN12" s="20"/>
      <c r="OXO12" s="20"/>
      <c r="OXP12" s="20"/>
      <c r="OXQ12" s="20"/>
      <c r="OXR12" s="20"/>
      <c r="OXS12" s="20"/>
      <c r="OXT12" s="20"/>
      <c r="OXU12" s="20"/>
      <c r="OXV12" s="20"/>
      <c r="OXW12" s="20"/>
      <c r="OXX12" s="20"/>
      <c r="OXY12" s="20"/>
      <c r="OXZ12" s="20"/>
      <c r="OYA12" s="20"/>
      <c r="OYB12" s="20"/>
      <c r="OYC12" s="20"/>
      <c r="OYD12" s="20"/>
      <c r="OYE12" s="20"/>
      <c r="OYF12" s="20"/>
      <c r="OYG12" s="20"/>
      <c r="OYH12" s="20"/>
      <c r="OYI12" s="20"/>
      <c r="OYJ12" s="20"/>
      <c r="OYK12" s="20"/>
      <c r="OYL12" s="20"/>
      <c r="OYM12" s="20"/>
      <c r="OYN12" s="20"/>
      <c r="OYO12" s="20"/>
      <c r="OYP12" s="20"/>
      <c r="OYQ12" s="20"/>
      <c r="OYR12" s="20"/>
      <c r="OYS12" s="20"/>
      <c r="OYT12" s="20"/>
      <c r="OYU12" s="20"/>
      <c r="OYV12" s="20"/>
      <c r="OYW12" s="20"/>
      <c r="OYX12" s="20"/>
      <c r="OYY12" s="20"/>
      <c r="OYZ12" s="20"/>
      <c r="OZA12" s="20"/>
      <c r="OZB12" s="20"/>
      <c r="OZC12" s="20"/>
      <c r="OZD12" s="20"/>
      <c r="OZE12" s="20"/>
      <c r="OZF12" s="20"/>
      <c r="OZG12" s="20"/>
      <c r="OZH12" s="20"/>
      <c r="OZI12" s="20"/>
      <c r="OZJ12" s="20"/>
      <c r="OZK12" s="20"/>
      <c r="OZL12" s="20"/>
      <c r="OZM12" s="20"/>
      <c r="OZN12" s="20"/>
      <c r="OZO12" s="20"/>
      <c r="OZP12" s="20"/>
      <c r="OZQ12" s="20"/>
      <c r="OZR12" s="20"/>
      <c r="OZS12" s="20"/>
      <c r="OZT12" s="20"/>
      <c r="OZU12" s="20"/>
      <c r="OZV12" s="20"/>
      <c r="OZW12" s="20"/>
      <c r="OZX12" s="20"/>
      <c r="OZY12" s="20"/>
      <c r="OZZ12" s="20"/>
      <c r="PAA12" s="20"/>
      <c r="PAB12" s="20"/>
      <c r="PAC12" s="20"/>
      <c r="PAD12" s="20"/>
      <c r="PAE12" s="20"/>
      <c r="PAF12" s="20"/>
      <c r="PAG12" s="20"/>
      <c r="PAH12" s="20"/>
      <c r="PAI12" s="20"/>
      <c r="PAJ12" s="20"/>
      <c r="PAK12" s="20"/>
      <c r="PAL12" s="20"/>
      <c r="PAM12" s="20"/>
      <c r="PAN12" s="20"/>
      <c r="PAO12" s="20"/>
      <c r="PAP12" s="20"/>
      <c r="PAQ12" s="20"/>
      <c r="PAR12" s="20"/>
      <c r="PAS12" s="20"/>
      <c r="PAT12" s="20"/>
      <c r="PAU12" s="20"/>
      <c r="PAV12" s="20"/>
      <c r="PAW12" s="20"/>
      <c r="PAX12" s="20"/>
      <c r="PAY12" s="20"/>
      <c r="PAZ12" s="20"/>
      <c r="PBA12" s="20"/>
      <c r="PBB12" s="20"/>
      <c r="PBC12" s="20"/>
      <c r="PBD12" s="20"/>
      <c r="PBE12" s="20"/>
      <c r="PBF12" s="20"/>
      <c r="PBG12" s="20"/>
      <c r="PBH12" s="20"/>
      <c r="PBI12" s="20"/>
      <c r="PBJ12" s="20"/>
      <c r="PBK12" s="20"/>
      <c r="PBL12" s="20"/>
      <c r="PBM12" s="20"/>
      <c r="PBN12" s="20"/>
      <c r="PBO12" s="20"/>
      <c r="PBP12" s="20"/>
      <c r="PBQ12" s="20"/>
      <c r="PBR12" s="20"/>
      <c r="PBS12" s="20"/>
      <c r="PBT12" s="20"/>
      <c r="PBU12" s="20"/>
      <c r="PBV12" s="20"/>
      <c r="PBW12" s="20"/>
      <c r="PBX12" s="20"/>
      <c r="PBY12" s="20"/>
      <c r="PBZ12" s="20"/>
      <c r="PCA12" s="20"/>
      <c r="PCB12" s="20"/>
      <c r="PCC12" s="20"/>
      <c r="PCD12" s="20"/>
      <c r="PCE12" s="20"/>
      <c r="PCF12" s="20"/>
      <c r="PCG12" s="20"/>
      <c r="PCH12" s="20"/>
      <c r="PCI12" s="20"/>
      <c r="PCJ12" s="20"/>
      <c r="PCK12" s="20"/>
      <c r="PCL12" s="20"/>
      <c r="PCM12" s="20"/>
      <c r="PCN12" s="20"/>
      <c r="PCO12" s="20"/>
      <c r="PCP12" s="20"/>
      <c r="PCQ12" s="20"/>
      <c r="PCR12" s="20"/>
      <c r="PCS12" s="20"/>
      <c r="PCT12" s="20"/>
      <c r="PCU12" s="20"/>
      <c r="PCV12" s="20"/>
      <c r="PCW12" s="20"/>
      <c r="PCX12" s="20"/>
      <c r="PCY12" s="20"/>
      <c r="PCZ12" s="20"/>
      <c r="PDA12" s="20"/>
      <c r="PDB12" s="20"/>
      <c r="PDC12" s="20"/>
      <c r="PDD12" s="20"/>
      <c r="PDE12" s="20"/>
      <c r="PDF12" s="20"/>
      <c r="PDG12" s="20"/>
      <c r="PDH12" s="20"/>
      <c r="PDI12" s="20"/>
      <c r="PDJ12" s="20"/>
      <c r="PDK12" s="20"/>
      <c r="PDL12" s="20"/>
      <c r="PDM12" s="20"/>
      <c r="PDN12" s="20"/>
      <c r="PDO12" s="20"/>
      <c r="PDP12" s="20"/>
      <c r="PDQ12" s="20"/>
      <c r="PDR12" s="20"/>
      <c r="PDS12" s="20"/>
      <c r="PDT12" s="20"/>
      <c r="PDU12" s="20"/>
      <c r="PDV12" s="20"/>
      <c r="PDW12" s="20"/>
      <c r="PDX12" s="20"/>
      <c r="PDY12" s="20"/>
      <c r="PDZ12" s="20"/>
      <c r="PEA12" s="20"/>
      <c r="PEB12" s="20"/>
      <c r="PEC12" s="20"/>
      <c r="PED12" s="20"/>
      <c r="PEE12" s="20"/>
      <c r="PEF12" s="20"/>
      <c r="PEG12" s="20"/>
      <c r="PEH12" s="20"/>
      <c r="PEI12" s="20"/>
      <c r="PEJ12" s="20"/>
      <c r="PEK12" s="20"/>
      <c r="PEL12" s="20"/>
      <c r="PEM12" s="20"/>
      <c r="PEN12" s="20"/>
      <c r="PEO12" s="20"/>
      <c r="PEP12" s="20"/>
      <c r="PEQ12" s="20"/>
      <c r="PER12" s="20"/>
      <c r="PES12" s="20"/>
      <c r="PET12" s="20"/>
      <c r="PEU12" s="20"/>
      <c r="PEV12" s="20"/>
      <c r="PEW12" s="20"/>
      <c r="PEX12" s="20"/>
      <c r="PEY12" s="20"/>
      <c r="PEZ12" s="20"/>
      <c r="PFA12" s="20"/>
      <c r="PFB12" s="20"/>
      <c r="PFC12" s="20"/>
      <c r="PFD12" s="20"/>
      <c r="PFE12" s="20"/>
      <c r="PFF12" s="20"/>
      <c r="PFG12" s="20"/>
      <c r="PFH12" s="20"/>
      <c r="PFI12" s="20"/>
      <c r="PFJ12" s="20"/>
      <c r="PFK12" s="20"/>
      <c r="PFL12" s="20"/>
      <c r="PFM12" s="20"/>
      <c r="PFN12" s="20"/>
      <c r="PFO12" s="20"/>
      <c r="PFP12" s="20"/>
      <c r="PFQ12" s="20"/>
      <c r="PFR12" s="20"/>
      <c r="PFS12" s="20"/>
      <c r="PFT12" s="20"/>
      <c r="PFU12" s="20"/>
      <c r="PFV12" s="20"/>
      <c r="PFW12" s="20"/>
      <c r="PFX12" s="20"/>
      <c r="PFY12" s="20"/>
      <c r="PFZ12" s="20"/>
      <c r="PGA12" s="20"/>
      <c r="PGB12" s="20"/>
      <c r="PGC12" s="20"/>
      <c r="PGD12" s="20"/>
      <c r="PGE12" s="20"/>
      <c r="PGF12" s="20"/>
      <c r="PGG12" s="20"/>
      <c r="PGH12" s="20"/>
      <c r="PGI12" s="20"/>
      <c r="PGJ12" s="20"/>
      <c r="PGK12" s="20"/>
      <c r="PGL12" s="20"/>
      <c r="PGM12" s="20"/>
      <c r="PGN12" s="20"/>
      <c r="PGO12" s="20"/>
      <c r="PGP12" s="20"/>
      <c r="PGQ12" s="20"/>
      <c r="PGR12" s="20"/>
      <c r="PGS12" s="20"/>
      <c r="PGT12" s="20"/>
      <c r="PGU12" s="20"/>
      <c r="PGV12" s="20"/>
      <c r="PGW12" s="20"/>
      <c r="PGX12" s="20"/>
      <c r="PGY12" s="20"/>
      <c r="PGZ12" s="20"/>
      <c r="PHA12" s="20"/>
      <c r="PHB12" s="20"/>
      <c r="PHC12" s="20"/>
      <c r="PHD12" s="20"/>
      <c r="PHE12" s="20"/>
      <c r="PHF12" s="20"/>
      <c r="PHG12" s="20"/>
      <c r="PHH12" s="20"/>
      <c r="PHI12" s="20"/>
      <c r="PHJ12" s="20"/>
      <c r="PHK12" s="20"/>
      <c r="PHL12" s="20"/>
      <c r="PHM12" s="20"/>
      <c r="PHN12" s="20"/>
      <c r="PHO12" s="20"/>
      <c r="PHP12" s="20"/>
      <c r="PHQ12" s="20"/>
      <c r="PHR12" s="20"/>
      <c r="PHS12" s="20"/>
      <c r="PHT12" s="20"/>
      <c r="PHU12" s="20"/>
      <c r="PHV12" s="20"/>
      <c r="PHW12" s="20"/>
      <c r="PHX12" s="20"/>
      <c r="PHY12" s="20"/>
      <c r="PHZ12" s="20"/>
      <c r="PIA12" s="20"/>
      <c r="PIB12" s="20"/>
      <c r="PIC12" s="20"/>
      <c r="PID12" s="20"/>
      <c r="PIE12" s="20"/>
      <c r="PIF12" s="20"/>
      <c r="PIG12" s="20"/>
      <c r="PIH12" s="20"/>
      <c r="PII12" s="20"/>
      <c r="PIJ12" s="20"/>
      <c r="PIK12" s="20"/>
      <c r="PIL12" s="20"/>
      <c r="PIM12" s="20"/>
      <c r="PIN12" s="20"/>
      <c r="PIO12" s="20"/>
      <c r="PIP12" s="20"/>
      <c r="PIQ12" s="20"/>
      <c r="PIR12" s="20"/>
      <c r="PIS12" s="20"/>
      <c r="PIT12" s="20"/>
      <c r="PIU12" s="20"/>
      <c r="PIV12" s="20"/>
      <c r="PIW12" s="20"/>
      <c r="PIX12" s="20"/>
      <c r="PIY12" s="20"/>
      <c r="PIZ12" s="20"/>
      <c r="PJA12" s="20"/>
      <c r="PJB12" s="20"/>
      <c r="PJC12" s="20"/>
      <c r="PJD12" s="20"/>
      <c r="PJE12" s="20"/>
      <c r="PJF12" s="20"/>
      <c r="PJG12" s="20"/>
      <c r="PJH12" s="20"/>
      <c r="PJI12" s="20"/>
      <c r="PJJ12" s="20"/>
      <c r="PJK12" s="20"/>
      <c r="PJL12" s="20"/>
      <c r="PJM12" s="20"/>
      <c r="PJN12" s="20"/>
      <c r="PJO12" s="20"/>
      <c r="PJP12" s="20"/>
      <c r="PJQ12" s="20"/>
      <c r="PJR12" s="20"/>
      <c r="PJS12" s="20"/>
      <c r="PJT12" s="20"/>
      <c r="PJU12" s="20"/>
      <c r="PJV12" s="20"/>
      <c r="PJW12" s="20"/>
      <c r="PJX12" s="20"/>
      <c r="PJY12" s="20"/>
      <c r="PJZ12" s="20"/>
      <c r="PKA12" s="20"/>
      <c r="PKB12" s="20"/>
      <c r="PKC12" s="20"/>
      <c r="PKD12" s="20"/>
      <c r="PKE12" s="20"/>
      <c r="PKF12" s="20"/>
      <c r="PKG12" s="20"/>
      <c r="PKH12" s="20"/>
      <c r="PKI12" s="20"/>
      <c r="PKJ12" s="20"/>
      <c r="PKK12" s="20"/>
      <c r="PKL12" s="20"/>
      <c r="PKM12" s="20"/>
      <c r="PKN12" s="20"/>
      <c r="PKO12" s="20"/>
      <c r="PKP12" s="20"/>
      <c r="PKQ12" s="20"/>
      <c r="PKR12" s="20"/>
      <c r="PKS12" s="20"/>
      <c r="PKT12" s="20"/>
      <c r="PKU12" s="20"/>
      <c r="PKV12" s="20"/>
      <c r="PKW12" s="20"/>
      <c r="PKX12" s="20"/>
      <c r="PKY12" s="20"/>
      <c r="PKZ12" s="20"/>
      <c r="PLA12" s="20"/>
      <c r="PLB12" s="20"/>
      <c r="PLC12" s="20"/>
      <c r="PLD12" s="20"/>
      <c r="PLE12" s="20"/>
      <c r="PLF12" s="20"/>
      <c r="PLG12" s="20"/>
      <c r="PLH12" s="20"/>
      <c r="PLI12" s="20"/>
      <c r="PLJ12" s="20"/>
      <c r="PLK12" s="20"/>
      <c r="PLL12" s="20"/>
      <c r="PLM12" s="20"/>
      <c r="PLN12" s="20"/>
      <c r="PLO12" s="20"/>
      <c r="PLP12" s="20"/>
      <c r="PLQ12" s="20"/>
      <c r="PLR12" s="20"/>
      <c r="PLS12" s="20"/>
      <c r="PLT12" s="20"/>
      <c r="PLU12" s="20"/>
      <c r="PLV12" s="20"/>
      <c r="PLW12" s="20"/>
      <c r="PLX12" s="20"/>
      <c r="PLY12" s="20"/>
      <c r="PLZ12" s="20"/>
      <c r="PMA12" s="20"/>
      <c r="PMB12" s="20"/>
      <c r="PMC12" s="20"/>
      <c r="PMD12" s="20"/>
      <c r="PME12" s="20"/>
      <c r="PMF12" s="20"/>
      <c r="PMG12" s="20"/>
      <c r="PMH12" s="20"/>
      <c r="PMI12" s="20"/>
      <c r="PMJ12" s="20"/>
      <c r="PMK12" s="20"/>
      <c r="PML12" s="20"/>
      <c r="PMM12" s="20"/>
      <c r="PMN12" s="20"/>
      <c r="PMO12" s="20"/>
      <c r="PMP12" s="20"/>
      <c r="PMQ12" s="20"/>
      <c r="PMR12" s="20"/>
      <c r="PMS12" s="20"/>
      <c r="PMT12" s="20"/>
      <c r="PMU12" s="20"/>
      <c r="PMV12" s="20"/>
      <c r="PMW12" s="20"/>
      <c r="PMX12" s="20"/>
      <c r="PMY12" s="20"/>
      <c r="PMZ12" s="20"/>
      <c r="PNA12" s="20"/>
      <c r="PNB12" s="20"/>
      <c r="PNC12" s="20"/>
      <c r="PND12" s="20"/>
      <c r="PNE12" s="20"/>
      <c r="PNF12" s="20"/>
      <c r="PNG12" s="20"/>
      <c r="PNH12" s="20"/>
      <c r="PNI12" s="20"/>
      <c r="PNJ12" s="20"/>
      <c r="PNK12" s="20"/>
      <c r="PNL12" s="20"/>
      <c r="PNM12" s="20"/>
      <c r="PNN12" s="20"/>
      <c r="PNO12" s="20"/>
      <c r="PNP12" s="20"/>
      <c r="PNQ12" s="20"/>
      <c r="PNR12" s="20"/>
      <c r="PNS12" s="20"/>
      <c r="PNT12" s="20"/>
      <c r="PNU12" s="20"/>
      <c r="PNV12" s="20"/>
      <c r="PNW12" s="20"/>
      <c r="PNX12" s="20"/>
      <c r="PNY12" s="20"/>
      <c r="PNZ12" s="20"/>
      <c r="POA12" s="20"/>
      <c r="POB12" s="20"/>
      <c r="POC12" s="20"/>
      <c r="POD12" s="20"/>
      <c r="POE12" s="20"/>
      <c r="POF12" s="20"/>
      <c r="POG12" s="20"/>
      <c r="POH12" s="20"/>
      <c r="POI12" s="20"/>
      <c r="POJ12" s="20"/>
      <c r="POK12" s="20"/>
      <c r="POL12" s="20"/>
      <c r="POM12" s="20"/>
      <c r="PON12" s="20"/>
      <c r="POO12" s="20"/>
      <c r="POP12" s="20"/>
      <c r="POQ12" s="20"/>
      <c r="POR12" s="20"/>
      <c r="POS12" s="20"/>
      <c r="POT12" s="20"/>
      <c r="POU12" s="20"/>
      <c r="POV12" s="20"/>
      <c r="POW12" s="20"/>
      <c r="POX12" s="20"/>
      <c r="POY12" s="20"/>
      <c r="POZ12" s="20"/>
      <c r="PPA12" s="20"/>
      <c r="PPB12" s="20"/>
      <c r="PPC12" s="20"/>
      <c r="PPD12" s="20"/>
      <c r="PPE12" s="20"/>
      <c r="PPF12" s="20"/>
      <c r="PPG12" s="20"/>
      <c r="PPH12" s="20"/>
      <c r="PPI12" s="20"/>
      <c r="PPJ12" s="20"/>
      <c r="PPK12" s="20"/>
      <c r="PPL12" s="20"/>
      <c r="PPM12" s="20"/>
      <c r="PPN12" s="20"/>
      <c r="PPO12" s="20"/>
      <c r="PPP12" s="20"/>
      <c r="PPQ12" s="20"/>
      <c r="PPR12" s="20"/>
      <c r="PPS12" s="20"/>
      <c r="PPT12" s="20"/>
      <c r="PPU12" s="20"/>
      <c r="PPV12" s="20"/>
      <c r="PPW12" s="20"/>
      <c r="PPX12" s="20"/>
      <c r="PPY12" s="20"/>
      <c r="PPZ12" s="20"/>
      <c r="PQA12" s="20"/>
      <c r="PQB12" s="20"/>
      <c r="PQC12" s="20"/>
      <c r="PQD12" s="20"/>
      <c r="PQE12" s="20"/>
      <c r="PQF12" s="20"/>
      <c r="PQG12" s="20"/>
      <c r="PQH12" s="20"/>
      <c r="PQI12" s="20"/>
      <c r="PQJ12" s="20"/>
      <c r="PQK12" s="20"/>
      <c r="PQL12" s="20"/>
      <c r="PQM12" s="20"/>
      <c r="PQN12" s="20"/>
      <c r="PQO12" s="20"/>
      <c r="PQP12" s="20"/>
      <c r="PQQ12" s="20"/>
      <c r="PQR12" s="20"/>
      <c r="PQS12" s="20"/>
      <c r="PQT12" s="20"/>
      <c r="PQU12" s="20"/>
      <c r="PQV12" s="20"/>
      <c r="PQW12" s="20"/>
      <c r="PQX12" s="20"/>
      <c r="PQY12" s="20"/>
      <c r="PQZ12" s="20"/>
      <c r="PRA12" s="20"/>
      <c r="PRB12" s="20"/>
      <c r="PRC12" s="20"/>
      <c r="PRD12" s="20"/>
      <c r="PRE12" s="20"/>
      <c r="PRF12" s="20"/>
      <c r="PRG12" s="20"/>
      <c r="PRH12" s="20"/>
      <c r="PRI12" s="20"/>
      <c r="PRJ12" s="20"/>
      <c r="PRK12" s="20"/>
      <c r="PRL12" s="20"/>
      <c r="PRM12" s="20"/>
      <c r="PRN12" s="20"/>
      <c r="PRO12" s="20"/>
      <c r="PRP12" s="20"/>
      <c r="PRQ12" s="20"/>
      <c r="PRR12" s="20"/>
      <c r="PRS12" s="20"/>
      <c r="PRT12" s="20"/>
      <c r="PRU12" s="20"/>
      <c r="PRV12" s="20"/>
      <c r="PRW12" s="20"/>
      <c r="PRX12" s="20"/>
      <c r="PRY12" s="20"/>
      <c r="PRZ12" s="20"/>
      <c r="PSA12" s="20"/>
      <c r="PSB12" s="20"/>
      <c r="PSC12" s="20"/>
      <c r="PSD12" s="20"/>
      <c r="PSE12" s="20"/>
      <c r="PSF12" s="20"/>
      <c r="PSG12" s="20"/>
      <c r="PSH12" s="20"/>
      <c r="PSI12" s="20"/>
      <c r="PSJ12" s="20"/>
      <c r="PSK12" s="20"/>
      <c r="PSL12" s="20"/>
      <c r="PSM12" s="20"/>
      <c r="PSN12" s="20"/>
      <c r="PSO12" s="20"/>
      <c r="PSP12" s="20"/>
      <c r="PSQ12" s="20"/>
      <c r="PSR12" s="20"/>
      <c r="PSS12" s="20"/>
      <c r="PST12" s="20"/>
      <c r="PSU12" s="20"/>
      <c r="PSV12" s="20"/>
      <c r="PSW12" s="20"/>
      <c r="PSX12" s="20"/>
      <c r="PSY12" s="20"/>
      <c r="PSZ12" s="20"/>
      <c r="PTA12" s="20"/>
      <c r="PTB12" s="20"/>
      <c r="PTC12" s="20"/>
      <c r="PTD12" s="20"/>
      <c r="PTE12" s="20"/>
      <c r="PTF12" s="20"/>
      <c r="PTG12" s="20"/>
      <c r="PTH12" s="20"/>
      <c r="PTI12" s="20"/>
      <c r="PTJ12" s="20"/>
      <c r="PTK12" s="20"/>
      <c r="PTL12" s="20"/>
      <c r="PTM12" s="20"/>
      <c r="PTN12" s="20"/>
      <c r="PTO12" s="20"/>
      <c r="PTP12" s="20"/>
      <c r="PTQ12" s="20"/>
      <c r="PTR12" s="20"/>
      <c r="PTS12" s="20"/>
      <c r="PTT12" s="20"/>
      <c r="PTU12" s="20"/>
      <c r="PTV12" s="20"/>
      <c r="PTW12" s="20"/>
      <c r="PTX12" s="20"/>
      <c r="PTY12" s="20"/>
      <c r="PTZ12" s="20"/>
      <c r="PUA12" s="20"/>
      <c r="PUB12" s="20"/>
      <c r="PUC12" s="20"/>
      <c r="PUD12" s="20"/>
      <c r="PUE12" s="20"/>
      <c r="PUF12" s="20"/>
      <c r="PUG12" s="20"/>
      <c r="PUH12" s="20"/>
      <c r="PUI12" s="20"/>
      <c r="PUJ12" s="20"/>
      <c r="PUK12" s="20"/>
      <c r="PUL12" s="20"/>
      <c r="PUM12" s="20"/>
      <c r="PUN12" s="20"/>
      <c r="PUO12" s="20"/>
      <c r="PUP12" s="20"/>
      <c r="PUQ12" s="20"/>
      <c r="PUR12" s="20"/>
      <c r="PUS12" s="20"/>
      <c r="PUT12" s="20"/>
      <c r="PUU12" s="20"/>
      <c r="PUV12" s="20"/>
      <c r="PUW12" s="20"/>
      <c r="PUX12" s="20"/>
      <c r="PUY12" s="20"/>
      <c r="PUZ12" s="20"/>
      <c r="PVA12" s="20"/>
      <c r="PVB12" s="20"/>
      <c r="PVC12" s="20"/>
      <c r="PVD12" s="20"/>
      <c r="PVE12" s="20"/>
      <c r="PVF12" s="20"/>
      <c r="PVG12" s="20"/>
      <c r="PVH12" s="20"/>
      <c r="PVI12" s="20"/>
      <c r="PVJ12" s="20"/>
      <c r="PVK12" s="20"/>
      <c r="PVL12" s="20"/>
      <c r="PVM12" s="20"/>
      <c r="PVN12" s="20"/>
      <c r="PVO12" s="20"/>
      <c r="PVP12" s="20"/>
      <c r="PVQ12" s="20"/>
      <c r="PVR12" s="20"/>
      <c r="PVS12" s="20"/>
      <c r="PVT12" s="20"/>
      <c r="PVU12" s="20"/>
      <c r="PVV12" s="20"/>
      <c r="PVW12" s="20"/>
      <c r="PVX12" s="20"/>
      <c r="PVY12" s="20"/>
      <c r="PVZ12" s="20"/>
      <c r="PWA12" s="20"/>
      <c r="PWB12" s="20"/>
      <c r="PWC12" s="20"/>
      <c r="PWD12" s="20"/>
      <c r="PWE12" s="20"/>
      <c r="PWF12" s="20"/>
      <c r="PWG12" s="20"/>
      <c r="PWH12" s="20"/>
      <c r="PWI12" s="20"/>
      <c r="PWJ12" s="20"/>
      <c r="PWK12" s="20"/>
      <c r="PWL12" s="20"/>
      <c r="PWM12" s="20"/>
      <c r="PWN12" s="20"/>
      <c r="PWO12" s="20"/>
      <c r="PWP12" s="20"/>
      <c r="PWQ12" s="20"/>
      <c r="PWR12" s="20"/>
      <c r="PWS12" s="20"/>
      <c r="PWT12" s="20"/>
      <c r="PWU12" s="20"/>
      <c r="PWV12" s="20"/>
      <c r="PWW12" s="20"/>
      <c r="PWX12" s="20"/>
      <c r="PWY12" s="20"/>
      <c r="PWZ12" s="20"/>
      <c r="PXA12" s="20"/>
      <c r="PXB12" s="20"/>
      <c r="PXC12" s="20"/>
      <c r="PXD12" s="20"/>
      <c r="PXE12" s="20"/>
      <c r="PXF12" s="20"/>
      <c r="PXG12" s="20"/>
      <c r="PXH12" s="20"/>
      <c r="PXI12" s="20"/>
      <c r="PXJ12" s="20"/>
      <c r="PXK12" s="20"/>
      <c r="PXL12" s="20"/>
      <c r="PXM12" s="20"/>
      <c r="PXN12" s="20"/>
      <c r="PXO12" s="20"/>
      <c r="PXP12" s="20"/>
      <c r="PXQ12" s="20"/>
      <c r="PXR12" s="20"/>
      <c r="PXS12" s="20"/>
      <c r="PXT12" s="20"/>
      <c r="PXU12" s="20"/>
      <c r="PXV12" s="20"/>
      <c r="PXW12" s="20"/>
      <c r="PXX12" s="20"/>
      <c r="PXY12" s="20"/>
      <c r="PXZ12" s="20"/>
      <c r="PYA12" s="20"/>
      <c r="PYB12" s="20"/>
      <c r="PYC12" s="20"/>
      <c r="PYD12" s="20"/>
      <c r="PYE12" s="20"/>
      <c r="PYF12" s="20"/>
      <c r="PYG12" s="20"/>
      <c r="PYH12" s="20"/>
      <c r="PYI12" s="20"/>
      <c r="PYJ12" s="20"/>
      <c r="PYK12" s="20"/>
      <c r="PYL12" s="20"/>
      <c r="PYM12" s="20"/>
      <c r="PYN12" s="20"/>
      <c r="PYO12" s="20"/>
      <c r="PYP12" s="20"/>
      <c r="PYQ12" s="20"/>
      <c r="PYR12" s="20"/>
      <c r="PYS12" s="20"/>
      <c r="PYT12" s="20"/>
      <c r="PYU12" s="20"/>
      <c r="PYV12" s="20"/>
      <c r="PYW12" s="20"/>
      <c r="PYX12" s="20"/>
      <c r="PYY12" s="20"/>
      <c r="PYZ12" s="20"/>
      <c r="PZA12" s="20"/>
      <c r="PZB12" s="20"/>
      <c r="PZC12" s="20"/>
      <c r="PZD12" s="20"/>
      <c r="PZE12" s="20"/>
      <c r="PZF12" s="20"/>
      <c r="PZG12" s="20"/>
      <c r="PZH12" s="20"/>
      <c r="PZI12" s="20"/>
      <c r="PZJ12" s="20"/>
      <c r="PZK12" s="20"/>
      <c r="PZL12" s="20"/>
      <c r="PZM12" s="20"/>
      <c r="PZN12" s="20"/>
      <c r="PZO12" s="20"/>
      <c r="PZP12" s="20"/>
      <c r="PZQ12" s="20"/>
      <c r="PZR12" s="20"/>
      <c r="PZS12" s="20"/>
      <c r="PZT12" s="20"/>
      <c r="PZU12" s="20"/>
      <c r="PZV12" s="20"/>
      <c r="PZW12" s="20"/>
      <c r="PZX12" s="20"/>
      <c r="PZY12" s="20"/>
      <c r="PZZ12" s="20"/>
      <c r="QAA12" s="20"/>
      <c r="QAB12" s="20"/>
      <c r="QAC12" s="20"/>
      <c r="QAD12" s="20"/>
      <c r="QAE12" s="20"/>
      <c r="QAF12" s="20"/>
      <c r="QAG12" s="20"/>
      <c r="QAH12" s="20"/>
      <c r="QAI12" s="20"/>
      <c r="QAJ12" s="20"/>
      <c r="QAK12" s="20"/>
      <c r="QAL12" s="20"/>
      <c r="QAM12" s="20"/>
      <c r="QAN12" s="20"/>
      <c r="QAO12" s="20"/>
      <c r="QAP12" s="20"/>
      <c r="QAQ12" s="20"/>
      <c r="QAR12" s="20"/>
      <c r="QAS12" s="20"/>
      <c r="QAT12" s="20"/>
      <c r="QAU12" s="20"/>
      <c r="QAV12" s="20"/>
      <c r="QAW12" s="20"/>
      <c r="QAX12" s="20"/>
      <c r="QAY12" s="20"/>
      <c r="QAZ12" s="20"/>
      <c r="QBA12" s="20"/>
      <c r="QBB12" s="20"/>
      <c r="QBC12" s="20"/>
      <c r="QBD12" s="20"/>
      <c r="QBE12" s="20"/>
      <c r="QBF12" s="20"/>
      <c r="QBG12" s="20"/>
      <c r="QBH12" s="20"/>
      <c r="QBI12" s="20"/>
      <c r="QBJ12" s="20"/>
      <c r="QBK12" s="20"/>
      <c r="QBL12" s="20"/>
      <c r="QBM12" s="20"/>
      <c r="QBN12" s="20"/>
      <c r="QBO12" s="20"/>
      <c r="QBP12" s="20"/>
      <c r="QBQ12" s="20"/>
      <c r="QBR12" s="20"/>
      <c r="QBS12" s="20"/>
      <c r="QBT12" s="20"/>
      <c r="QBU12" s="20"/>
      <c r="QBV12" s="20"/>
      <c r="QBW12" s="20"/>
      <c r="QBX12" s="20"/>
      <c r="QBY12" s="20"/>
      <c r="QBZ12" s="20"/>
      <c r="QCA12" s="20"/>
      <c r="QCB12" s="20"/>
      <c r="QCC12" s="20"/>
      <c r="QCD12" s="20"/>
      <c r="QCE12" s="20"/>
      <c r="QCF12" s="20"/>
      <c r="QCG12" s="20"/>
      <c r="QCH12" s="20"/>
      <c r="QCI12" s="20"/>
      <c r="QCJ12" s="20"/>
      <c r="QCK12" s="20"/>
      <c r="QCL12" s="20"/>
      <c r="QCM12" s="20"/>
      <c r="QCN12" s="20"/>
      <c r="QCO12" s="20"/>
      <c r="QCP12" s="20"/>
      <c r="QCQ12" s="20"/>
      <c r="QCR12" s="20"/>
      <c r="QCS12" s="20"/>
      <c r="QCT12" s="20"/>
      <c r="QCU12" s="20"/>
      <c r="QCV12" s="20"/>
      <c r="QCW12" s="20"/>
      <c r="QCX12" s="20"/>
      <c r="QCY12" s="20"/>
      <c r="QCZ12" s="20"/>
      <c r="QDA12" s="20"/>
      <c r="QDB12" s="20"/>
      <c r="QDC12" s="20"/>
      <c r="QDD12" s="20"/>
      <c r="QDE12" s="20"/>
      <c r="QDF12" s="20"/>
      <c r="QDG12" s="20"/>
      <c r="QDH12" s="20"/>
      <c r="QDI12" s="20"/>
      <c r="QDJ12" s="20"/>
      <c r="QDK12" s="20"/>
      <c r="QDL12" s="20"/>
      <c r="QDM12" s="20"/>
      <c r="QDN12" s="20"/>
      <c r="QDO12" s="20"/>
      <c r="QDP12" s="20"/>
      <c r="QDQ12" s="20"/>
      <c r="QDR12" s="20"/>
      <c r="QDS12" s="20"/>
      <c r="QDT12" s="20"/>
      <c r="QDU12" s="20"/>
      <c r="QDV12" s="20"/>
      <c r="QDW12" s="20"/>
      <c r="QDX12" s="20"/>
      <c r="QDY12" s="20"/>
      <c r="QDZ12" s="20"/>
      <c r="QEA12" s="20"/>
      <c r="QEB12" s="20"/>
      <c r="QEC12" s="20"/>
      <c r="QED12" s="20"/>
      <c r="QEE12" s="20"/>
      <c r="QEF12" s="20"/>
      <c r="QEG12" s="20"/>
      <c r="QEH12" s="20"/>
      <c r="QEI12" s="20"/>
      <c r="QEJ12" s="20"/>
      <c r="QEK12" s="20"/>
      <c r="QEL12" s="20"/>
      <c r="QEM12" s="20"/>
      <c r="QEN12" s="20"/>
      <c r="QEO12" s="20"/>
      <c r="QEP12" s="20"/>
      <c r="QEQ12" s="20"/>
      <c r="QER12" s="20"/>
      <c r="QES12" s="20"/>
      <c r="QET12" s="20"/>
      <c r="QEU12" s="20"/>
      <c r="QEV12" s="20"/>
      <c r="QEW12" s="20"/>
      <c r="QEX12" s="20"/>
      <c r="QEY12" s="20"/>
      <c r="QEZ12" s="20"/>
      <c r="QFA12" s="20"/>
      <c r="QFB12" s="20"/>
      <c r="QFC12" s="20"/>
      <c r="QFD12" s="20"/>
      <c r="QFE12" s="20"/>
      <c r="QFF12" s="20"/>
      <c r="QFG12" s="20"/>
      <c r="QFH12" s="20"/>
      <c r="QFI12" s="20"/>
      <c r="QFJ12" s="20"/>
      <c r="QFK12" s="20"/>
      <c r="QFL12" s="20"/>
      <c r="QFM12" s="20"/>
      <c r="QFN12" s="20"/>
      <c r="QFO12" s="20"/>
      <c r="QFP12" s="20"/>
      <c r="QFQ12" s="20"/>
      <c r="QFR12" s="20"/>
      <c r="QFS12" s="20"/>
      <c r="QFT12" s="20"/>
      <c r="QFU12" s="20"/>
      <c r="QFV12" s="20"/>
      <c r="QFW12" s="20"/>
      <c r="QFX12" s="20"/>
      <c r="QFY12" s="20"/>
      <c r="QFZ12" s="20"/>
      <c r="QGA12" s="20"/>
      <c r="QGB12" s="20"/>
      <c r="QGC12" s="20"/>
      <c r="QGD12" s="20"/>
      <c r="QGE12" s="20"/>
      <c r="QGF12" s="20"/>
      <c r="QGG12" s="20"/>
      <c r="QGH12" s="20"/>
      <c r="QGI12" s="20"/>
      <c r="QGJ12" s="20"/>
      <c r="QGK12" s="20"/>
      <c r="QGL12" s="20"/>
      <c r="QGM12" s="20"/>
      <c r="QGN12" s="20"/>
      <c r="QGO12" s="20"/>
      <c r="QGP12" s="20"/>
      <c r="QGQ12" s="20"/>
      <c r="QGR12" s="20"/>
      <c r="QGS12" s="20"/>
      <c r="QGT12" s="20"/>
      <c r="QGU12" s="20"/>
      <c r="QGV12" s="20"/>
      <c r="QGW12" s="20"/>
      <c r="QGX12" s="20"/>
      <c r="QGY12" s="20"/>
      <c r="QGZ12" s="20"/>
      <c r="QHA12" s="20"/>
      <c r="QHB12" s="20"/>
      <c r="QHC12" s="20"/>
      <c r="QHD12" s="20"/>
      <c r="QHE12" s="20"/>
      <c r="QHF12" s="20"/>
      <c r="QHG12" s="20"/>
      <c r="QHH12" s="20"/>
      <c r="QHI12" s="20"/>
      <c r="QHJ12" s="20"/>
      <c r="QHK12" s="20"/>
      <c r="QHL12" s="20"/>
      <c r="QHM12" s="20"/>
      <c r="QHN12" s="20"/>
      <c r="QHO12" s="20"/>
      <c r="QHP12" s="20"/>
      <c r="QHQ12" s="20"/>
      <c r="QHR12" s="20"/>
      <c r="QHS12" s="20"/>
      <c r="QHT12" s="20"/>
      <c r="QHU12" s="20"/>
      <c r="QHV12" s="20"/>
      <c r="QHW12" s="20"/>
      <c r="QHX12" s="20"/>
      <c r="QHY12" s="20"/>
      <c r="QHZ12" s="20"/>
      <c r="QIA12" s="20"/>
      <c r="QIB12" s="20"/>
      <c r="QIC12" s="20"/>
      <c r="QID12" s="20"/>
      <c r="QIE12" s="20"/>
      <c r="QIF12" s="20"/>
      <c r="QIG12" s="20"/>
      <c r="QIH12" s="20"/>
      <c r="QII12" s="20"/>
      <c r="QIJ12" s="20"/>
      <c r="QIK12" s="20"/>
      <c r="QIL12" s="20"/>
      <c r="QIM12" s="20"/>
      <c r="QIN12" s="20"/>
      <c r="QIO12" s="20"/>
      <c r="QIP12" s="20"/>
      <c r="QIQ12" s="20"/>
      <c r="QIR12" s="20"/>
      <c r="QIS12" s="20"/>
      <c r="QIT12" s="20"/>
      <c r="QIU12" s="20"/>
      <c r="QIV12" s="20"/>
      <c r="QIW12" s="20"/>
      <c r="QIX12" s="20"/>
      <c r="QIY12" s="20"/>
      <c r="QIZ12" s="20"/>
      <c r="QJA12" s="20"/>
      <c r="QJB12" s="20"/>
      <c r="QJC12" s="20"/>
      <c r="QJD12" s="20"/>
      <c r="QJE12" s="20"/>
      <c r="QJF12" s="20"/>
      <c r="QJG12" s="20"/>
      <c r="QJH12" s="20"/>
      <c r="QJI12" s="20"/>
      <c r="QJJ12" s="20"/>
      <c r="QJK12" s="20"/>
      <c r="QJL12" s="20"/>
      <c r="QJM12" s="20"/>
      <c r="QJN12" s="20"/>
      <c r="QJO12" s="20"/>
      <c r="QJP12" s="20"/>
      <c r="QJQ12" s="20"/>
      <c r="QJR12" s="20"/>
      <c r="QJS12" s="20"/>
      <c r="QJT12" s="20"/>
      <c r="QJU12" s="20"/>
      <c r="QJV12" s="20"/>
      <c r="QJW12" s="20"/>
      <c r="QJX12" s="20"/>
      <c r="QJY12" s="20"/>
      <c r="QJZ12" s="20"/>
      <c r="QKA12" s="20"/>
      <c r="QKB12" s="20"/>
      <c r="QKC12" s="20"/>
      <c r="QKD12" s="20"/>
      <c r="QKE12" s="20"/>
      <c r="QKF12" s="20"/>
      <c r="QKG12" s="20"/>
      <c r="QKH12" s="20"/>
      <c r="QKI12" s="20"/>
      <c r="QKJ12" s="20"/>
      <c r="QKK12" s="20"/>
      <c r="QKL12" s="20"/>
      <c r="QKM12" s="20"/>
      <c r="QKN12" s="20"/>
      <c r="QKO12" s="20"/>
      <c r="QKP12" s="20"/>
      <c r="QKQ12" s="20"/>
      <c r="QKR12" s="20"/>
      <c r="QKS12" s="20"/>
      <c r="QKT12" s="20"/>
      <c r="QKU12" s="20"/>
      <c r="QKV12" s="20"/>
      <c r="QKW12" s="20"/>
      <c r="QKX12" s="20"/>
      <c r="QKY12" s="20"/>
      <c r="QKZ12" s="20"/>
      <c r="QLA12" s="20"/>
      <c r="QLB12" s="20"/>
      <c r="QLC12" s="20"/>
      <c r="QLD12" s="20"/>
      <c r="QLE12" s="20"/>
      <c r="QLF12" s="20"/>
      <c r="QLG12" s="20"/>
      <c r="QLH12" s="20"/>
      <c r="QLI12" s="20"/>
      <c r="QLJ12" s="20"/>
      <c r="QLK12" s="20"/>
      <c r="QLL12" s="20"/>
      <c r="QLM12" s="20"/>
      <c r="QLN12" s="20"/>
      <c r="QLO12" s="20"/>
      <c r="QLP12" s="20"/>
      <c r="QLQ12" s="20"/>
      <c r="QLR12" s="20"/>
      <c r="QLS12" s="20"/>
      <c r="QLT12" s="20"/>
      <c r="QLU12" s="20"/>
      <c r="QLV12" s="20"/>
      <c r="QLW12" s="20"/>
      <c r="QLX12" s="20"/>
      <c r="QLY12" s="20"/>
      <c r="QLZ12" s="20"/>
      <c r="QMA12" s="20"/>
      <c r="QMB12" s="20"/>
      <c r="QMC12" s="20"/>
      <c r="QMD12" s="20"/>
      <c r="QME12" s="20"/>
      <c r="QMF12" s="20"/>
      <c r="QMG12" s="20"/>
      <c r="QMH12" s="20"/>
      <c r="QMI12" s="20"/>
      <c r="QMJ12" s="20"/>
      <c r="QMK12" s="20"/>
      <c r="QML12" s="20"/>
      <c r="QMM12" s="20"/>
      <c r="QMN12" s="20"/>
      <c r="QMO12" s="20"/>
      <c r="QMP12" s="20"/>
      <c r="QMQ12" s="20"/>
      <c r="QMR12" s="20"/>
      <c r="QMS12" s="20"/>
      <c r="QMT12" s="20"/>
      <c r="QMU12" s="20"/>
      <c r="QMV12" s="20"/>
      <c r="QMW12" s="20"/>
      <c r="QMX12" s="20"/>
      <c r="QMY12" s="20"/>
      <c r="QMZ12" s="20"/>
      <c r="QNA12" s="20"/>
      <c r="QNB12" s="20"/>
      <c r="QNC12" s="20"/>
      <c r="QND12" s="20"/>
      <c r="QNE12" s="20"/>
      <c r="QNF12" s="20"/>
      <c r="QNG12" s="20"/>
      <c r="QNH12" s="20"/>
      <c r="QNI12" s="20"/>
      <c r="QNJ12" s="20"/>
      <c r="QNK12" s="20"/>
      <c r="QNL12" s="20"/>
      <c r="QNM12" s="20"/>
      <c r="QNN12" s="20"/>
      <c r="QNO12" s="20"/>
      <c r="QNP12" s="20"/>
      <c r="QNQ12" s="20"/>
      <c r="QNR12" s="20"/>
      <c r="QNS12" s="20"/>
      <c r="QNT12" s="20"/>
      <c r="QNU12" s="20"/>
      <c r="QNV12" s="20"/>
      <c r="QNW12" s="20"/>
      <c r="QNX12" s="20"/>
      <c r="QNY12" s="20"/>
      <c r="QNZ12" s="20"/>
      <c r="QOA12" s="20"/>
      <c r="QOB12" s="20"/>
      <c r="QOC12" s="20"/>
      <c r="QOD12" s="20"/>
      <c r="QOE12" s="20"/>
      <c r="QOF12" s="20"/>
      <c r="QOG12" s="20"/>
      <c r="QOH12" s="20"/>
      <c r="QOI12" s="20"/>
      <c r="QOJ12" s="20"/>
      <c r="QOK12" s="20"/>
      <c r="QOL12" s="20"/>
      <c r="QOM12" s="20"/>
      <c r="QON12" s="20"/>
      <c r="QOO12" s="20"/>
      <c r="QOP12" s="20"/>
      <c r="QOQ12" s="20"/>
      <c r="QOR12" s="20"/>
      <c r="QOS12" s="20"/>
      <c r="QOT12" s="20"/>
      <c r="QOU12" s="20"/>
      <c r="QOV12" s="20"/>
      <c r="QOW12" s="20"/>
      <c r="QOX12" s="20"/>
      <c r="QOY12" s="20"/>
      <c r="QOZ12" s="20"/>
      <c r="QPA12" s="20"/>
      <c r="QPB12" s="20"/>
      <c r="QPC12" s="20"/>
      <c r="QPD12" s="20"/>
      <c r="QPE12" s="20"/>
      <c r="QPF12" s="20"/>
      <c r="QPG12" s="20"/>
      <c r="QPH12" s="20"/>
      <c r="QPI12" s="20"/>
      <c r="QPJ12" s="20"/>
      <c r="QPK12" s="20"/>
      <c r="QPL12" s="20"/>
      <c r="QPM12" s="20"/>
      <c r="QPN12" s="20"/>
      <c r="QPO12" s="20"/>
      <c r="QPP12" s="20"/>
      <c r="QPQ12" s="20"/>
      <c r="QPR12" s="20"/>
      <c r="QPS12" s="20"/>
      <c r="QPT12" s="20"/>
      <c r="QPU12" s="20"/>
      <c r="QPV12" s="20"/>
      <c r="QPW12" s="20"/>
      <c r="QPX12" s="20"/>
      <c r="QPY12" s="20"/>
      <c r="QPZ12" s="20"/>
      <c r="QQA12" s="20"/>
      <c r="QQB12" s="20"/>
      <c r="QQC12" s="20"/>
      <c r="QQD12" s="20"/>
      <c r="QQE12" s="20"/>
      <c r="QQF12" s="20"/>
      <c r="QQG12" s="20"/>
      <c r="QQH12" s="20"/>
      <c r="QQI12" s="20"/>
      <c r="QQJ12" s="20"/>
      <c r="QQK12" s="20"/>
      <c r="QQL12" s="20"/>
      <c r="QQM12" s="20"/>
      <c r="QQN12" s="20"/>
      <c r="QQO12" s="20"/>
      <c r="QQP12" s="20"/>
      <c r="QQQ12" s="20"/>
      <c r="QQR12" s="20"/>
      <c r="QQS12" s="20"/>
      <c r="QQT12" s="20"/>
      <c r="QQU12" s="20"/>
      <c r="QQV12" s="20"/>
      <c r="QQW12" s="20"/>
      <c r="QQX12" s="20"/>
      <c r="QQY12" s="20"/>
      <c r="QQZ12" s="20"/>
      <c r="QRA12" s="20"/>
      <c r="QRB12" s="20"/>
      <c r="QRC12" s="20"/>
      <c r="QRD12" s="20"/>
      <c r="QRE12" s="20"/>
      <c r="QRF12" s="20"/>
      <c r="QRG12" s="20"/>
      <c r="QRH12" s="20"/>
      <c r="QRI12" s="20"/>
      <c r="QRJ12" s="20"/>
      <c r="QRK12" s="20"/>
      <c r="QRL12" s="20"/>
      <c r="QRM12" s="20"/>
      <c r="QRN12" s="20"/>
      <c r="QRO12" s="20"/>
      <c r="QRP12" s="20"/>
      <c r="QRQ12" s="20"/>
      <c r="QRR12" s="20"/>
      <c r="QRS12" s="20"/>
      <c r="QRT12" s="20"/>
      <c r="QRU12" s="20"/>
      <c r="QRV12" s="20"/>
      <c r="QRW12" s="20"/>
      <c r="QRX12" s="20"/>
      <c r="QRY12" s="20"/>
      <c r="QRZ12" s="20"/>
      <c r="QSA12" s="20"/>
      <c r="QSB12" s="20"/>
      <c r="QSC12" s="20"/>
      <c r="QSD12" s="20"/>
      <c r="QSE12" s="20"/>
      <c r="QSF12" s="20"/>
      <c r="QSG12" s="20"/>
      <c r="QSH12" s="20"/>
      <c r="QSI12" s="20"/>
      <c r="QSJ12" s="20"/>
      <c r="QSK12" s="20"/>
      <c r="QSL12" s="20"/>
      <c r="QSM12" s="20"/>
      <c r="QSN12" s="20"/>
      <c r="QSO12" s="20"/>
      <c r="QSP12" s="20"/>
      <c r="QSQ12" s="20"/>
      <c r="QSR12" s="20"/>
      <c r="QSS12" s="20"/>
      <c r="QST12" s="20"/>
      <c r="QSU12" s="20"/>
      <c r="QSV12" s="20"/>
      <c r="QSW12" s="20"/>
      <c r="QSX12" s="20"/>
      <c r="QSY12" s="20"/>
      <c r="QSZ12" s="20"/>
      <c r="QTA12" s="20"/>
      <c r="QTB12" s="20"/>
      <c r="QTC12" s="20"/>
      <c r="QTD12" s="20"/>
      <c r="QTE12" s="20"/>
      <c r="QTF12" s="20"/>
      <c r="QTG12" s="20"/>
      <c r="QTH12" s="20"/>
      <c r="QTI12" s="20"/>
      <c r="QTJ12" s="20"/>
      <c r="QTK12" s="20"/>
      <c r="QTL12" s="20"/>
      <c r="QTM12" s="20"/>
      <c r="QTN12" s="20"/>
      <c r="QTO12" s="20"/>
      <c r="QTP12" s="20"/>
      <c r="QTQ12" s="20"/>
      <c r="QTR12" s="20"/>
      <c r="QTS12" s="20"/>
      <c r="QTT12" s="20"/>
      <c r="QTU12" s="20"/>
      <c r="QTV12" s="20"/>
      <c r="QTW12" s="20"/>
      <c r="QTX12" s="20"/>
      <c r="QTY12" s="20"/>
      <c r="QTZ12" s="20"/>
      <c r="QUA12" s="20"/>
      <c r="QUB12" s="20"/>
      <c r="QUC12" s="20"/>
      <c r="QUD12" s="20"/>
      <c r="QUE12" s="20"/>
      <c r="QUF12" s="20"/>
      <c r="QUG12" s="20"/>
      <c r="QUH12" s="20"/>
      <c r="QUI12" s="20"/>
      <c r="QUJ12" s="20"/>
      <c r="QUK12" s="20"/>
      <c r="QUL12" s="20"/>
      <c r="QUM12" s="20"/>
      <c r="QUN12" s="20"/>
      <c r="QUO12" s="20"/>
      <c r="QUP12" s="20"/>
      <c r="QUQ12" s="20"/>
      <c r="QUR12" s="20"/>
      <c r="QUS12" s="20"/>
      <c r="QUT12" s="20"/>
      <c r="QUU12" s="20"/>
      <c r="QUV12" s="20"/>
      <c r="QUW12" s="20"/>
      <c r="QUX12" s="20"/>
      <c r="QUY12" s="20"/>
      <c r="QUZ12" s="20"/>
      <c r="QVA12" s="20"/>
      <c r="QVB12" s="20"/>
      <c r="QVC12" s="20"/>
      <c r="QVD12" s="20"/>
      <c r="QVE12" s="20"/>
      <c r="QVF12" s="20"/>
      <c r="QVG12" s="20"/>
      <c r="QVH12" s="20"/>
      <c r="QVI12" s="20"/>
      <c r="QVJ12" s="20"/>
      <c r="QVK12" s="20"/>
      <c r="QVL12" s="20"/>
      <c r="QVM12" s="20"/>
      <c r="QVN12" s="20"/>
      <c r="QVO12" s="20"/>
      <c r="QVP12" s="20"/>
      <c r="QVQ12" s="20"/>
      <c r="QVR12" s="20"/>
      <c r="QVS12" s="20"/>
      <c r="QVT12" s="20"/>
      <c r="QVU12" s="20"/>
      <c r="QVV12" s="20"/>
      <c r="QVW12" s="20"/>
      <c r="QVX12" s="20"/>
      <c r="QVY12" s="20"/>
      <c r="QVZ12" s="20"/>
      <c r="QWA12" s="20"/>
      <c r="QWB12" s="20"/>
      <c r="QWC12" s="20"/>
      <c r="QWD12" s="20"/>
      <c r="QWE12" s="20"/>
      <c r="QWF12" s="20"/>
      <c r="QWG12" s="20"/>
      <c r="QWH12" s="20"/>
      <c r="QWI12" s="20"/>
      <c r="QWJ12" s="20"/>
      <c r="QWK12" s="20"/>
      <c r="QWL12" s="20"/>
      <c r="QWM12" s="20"/>
      <c r="QWN12" s="20"/>
      <c r="QWO12" s="20"/>
      <c r="QWP12" s="20"/>
      <c r="QWQ12" s="20"/>
      <c r="QWR12" s="20"/>
      <c r="QWS12" s="20"/>
      <c r="QWT12" s="20"/>
      <c r="QWU12" s="20"/>
      <c r="QWV12" s="20"/>
      <c r="QWW12" s="20"/>
      <c r="QWX12" s="20"/>
      <c r="QWY12" s="20"/>
      <c r="QWZ12" s="20"/>
      <c r="QXA12" s="20"/>
      <c r="QXB12" s="20"/>
      <c r="QXC12" s="20"/>
      <c r="QXD12" s="20"/>
      <c r="QXE12" s="20"/>
      <c r="QXF12" s="20"/>
      <c r="QXG12" s="20"/>
      <c r="QXH12" s="20"/>
      <c r="QXI12" s="20"/>
      <c r="QXJ12" s="20"/>
      <c r="QXK12" s="20"/>
      <c r="QXL12" s="20"/>
      <c r="QXM12" s="20"/>
      <c r="QXN12" s="20"/>
      <c r="QXO12" s="20"/>
      <c r="QXP12" s="20"/>
      <c r="QXQ12" s="20"/>
      <c r="QXR12" s="20"/>
      <c r="QXS12" s="20"/>
      <c r="QXT12" s="20"/>
      <c r="QXU12" s="20"/>
      <c r="QXV12" s="20"/>
      <c r="QXW12" s="20"/>
      <c r="QXX12" s="20"/>
      <c r="QXY12" s="20"/>
      <c r="QXZ12" s="20"/>
      <c r="QYA12" s="20"/>
      <c r="QYB12" s="20"/>
      <c r="QYC12" s="20"/>
      <c r="QYD12" s="20"/>
      <c r="QYE12" s="20"/>
      <c r="QYF12" s="20"/>
      <c r="QYG12" s="20"/>
      <c r="QYH12" s="20"/>
      <c r="QYI12" s="20"/>
      <c r="QYJ12" s="20"/>
      <c r="QYK12" s="20"/>
      <c r="QYL12" s="20"/>
      <c r="QYM12" s="20"/>
      <c r="QYN12" s="20"/>
      <c r="QYO12" s="20"/>
      <c r="QYP12" s="20"/>
      <c r="QYQ12" s="20"/>
      <c r="QYR12" s="20"/>
      <c r="QYS12" s="20"/>
      <c r="QYT12" s="20"/>
      <c r="QYU12" s="20"/>
      <c r="QYV12" s="20"/>
      <c r="QYW12" s="20"/>
      <c r="QYX12" s="20"/>
      <c r="QYY12" s="20"/>
      <c r="QYZ12" s="20"/>
      <c r="QZA12" s="20"/>
      <c r="QZB12" s="20"/>
      <c r="QZC12" s="20"/>
      <c r="QZD12" s="20"/>
      <c r="QZE12" s="20"/>
      <c r="QZF12" s="20"/>
      <c r="QZG12" s="20"/>
      <c r="QZH12" s="20"/>
      <c r="QZI12" s="20"/>
      <c r="QZJ12" s="20"/>
      <c r="QZK12" s="20"/>
      <c r="QZL12" s="20"/>
      <c r="QZM12" s="20"/>
      <c r="QZN12" s="20"/>
      <c r="QZO12" s="20"/>
      <c r="QZP12" s="20"/>
      <c r="QZQ12" s="20"/>
      <c r="QZR12" s="20"/>
      <c r="QZS12" s="20"/>
      <c r="QZT12" s="20"/>
      <c r="QZU12" s="20"/>
      <c r="QZV12" s="20"/>
      <c r="QZW12" s="20"/>
      <c r="QZX12" s="20"/>
      <c r="QZY12" s="20"/>
      <c r="QZZ12" s="20"/>
      <c r="RAA12" s="20"/>
      <c r="RAB12" s="20"/>
      <c r="RAC12" s="20"/>
      <c r="RAD12" s="20"/>
      <c r="RAE12" s="20"/>
      <c r="RAF12" s="20"/>
      <c r="RAG12" s="20"/>
      <c r="RAH12" s="20"/>
      <c r="RAI12" s="20"/>
      <c r="RAJ12" s="20"/>
      <c r="RAK12" s="20"/>
      <c r="RAL12" s="20"/>
      <c r="RAM12" s="20"/>
      <c r="RAN12" s="20"/>
      <c r="RAO12" s="20"/>
      <c r="RAP12" s="20"/>
      <c r="RAQ12" s="20"/>
      <c r="RAR12" s="20"/>
      <c r="RAS12" s="20"/>
      <c r="RAT12" s="20"/>
      <c r="RAU12" s="20"/>
      <c r="RAV12" s="20"/>
      <c r="RAW12" s="20"/>
      <c r="RAX12" s="20"/>
      <c r="RAY12" s="20"/>
      <c r="RAZ12" s="20"/>
      <c r="RBA12" s="20"/>
      <c r="RBB12" s="20"/>
      <c r="RBC12" s="20"/>
      <c r="RBD12" s="20"/>
      <c r="RBE12" s="20"/>
      <c r="RBF12" s="20"/>
      <c r="RBG12" s="20"/>
      <c r="RBH12" s="20"/>
      <c r="RBI12" s="20"/>
      <c r="RBJ12" s="20"/>
      <c r="RBK12" s="20"/>
      <c r="RBL12" s="20"/>
      <c r="RBM12" s="20"/>
      <c r="RBN12" s="20"/>
      <c r="RBO12" s="20"/>
      <c r="RBP12" s="20"/>
      <c r="RBQ12" s="20"/>
      <c r="RBR12" s="20"/>
      <c r="RBS12" s="20"/>
      <c r="RBT12" s="20"/>
      <c r="RBU12" s="20"/>
      <c r="RBV12" s="20"/>
      <c r="RBW12" s="20"/>
      <c r="RBX12" s="20"/>
      <c r="RBY12" s="20"/>
      <c r="RBZ12" s="20"/>
      <c r="RCA12" s="20"/>
      <c r="RCB12" s="20"/>
      <c r="RCC12" s="20"/>
      <c r="RCD12" s="20"/>
      <c r="RCE12" s="20"/>
      <c r="RCF12" s="20"/>
      <c r="RCG12" s="20"/>
      <c r="RCH12" s="20"/>
      <c r="RCI12" s="20"/>
      <c r="RCJ12" s="20"/>
      <c r="RCK12" s="20"/>
      <c r="RCL12" s="20"/>
      <c r="RCM12" s="20"/>
      <c r="RCN12" s="20"/>
      <c r="RCO12" s="20"/>
      <c r="RCP12" s="20"/>
      <c r="RCQ12" s="20"/>
      <c r="RCR12" s="20"/>
      <c r="RCS12" s="20"/>
      <c r="RCT12" s="20"/>
      <c r="RCU12" s="20"/>
      <c r="RCV12" s="20"/>
      <c r="RCW12" s="20"/>
      <c r="RCX12" s="20"/>
      <c r="RCY12" s="20"/>
      <c r="RCZ12" s="20"/>
      <c r="RDA12" s="20"/>
      <c r="RDB12" s="20"/>
      <c r="RDC12" s="20"/>
      <c r="RDD12" s="20"/>
      <c r="RDE12" s="20"/>
      <c r="RDF12" s="20"/>
      <c r="RDG12" s="20"/>
      <c r="RDH12" s="20"/>
      <c r="RDI12" s="20"/>
      <c r="RDJ12" s="20"/>
      <c r="RDK12" s="20"/>
      <c r="RDL12" s="20"/>
      <c r="RDM12" s="20"/>
      <c r="RDN12" s="20"/>
      <c r="RDO12" s="20"/>
      <c r="RDP12" s="20"/>
      <c r="RDQ12" s="20"/>
      <c r="RDR12" s="20"/>
      <c r="RDS12" s="20"/>
      <c r="RDT12" s="20"/>
      <c r="RDU12" s="20"/>
      <c r="RDV12" s="20"/>
      <c r="RDW12" s="20"/>
      <c r="RDX12" s="20"/>
      <c r="RDY12" s="20"/>
      <c r="RDZ12" s="20"/>
      <c r="REA12" s="20"/>
      <c r="REB12" s="20"/>
      <c r="REC12" s="20"/>
      <c r="RED12" s="20"/>
      <c r="REE12" s="20"/>
      <c r="REF12" s="20"/>
      <c r="REG12" s="20"/>
      <c r="REH12" s="20"/>
      <c r="REI12" s="20"/>
      <c r="REJ12" s="20"/>
      <c r="REK12" s="20"/>
      <c r="REL12" s="20"/>
      <c r="REM12" s="20"/>
      <c r="REN12" s="20"/>
      <c r="REO12" s="20"/>
      <c r="REP12" s="20"/>
      <c r="REQ12" s="20"/>
      <c r="RER12" s="20"/>
      <c r="RES12" s="20"/>
      <c r="RET12" s="20"/>
      <c r="REU12" s="20"/>
      <c r="REV12" s="20"/>
      <c r="REW12" s="20"/>
      <c r="REX12" s="20"/>
      <c r="REY12" s="20"/>
      <c r="REZ12" s="20"/>
      <c r="RFA12" s="20"/>
      <c r="RFB12" s="20"/>
      <c r="RFC12" s="20"/>
      <c r="RFD12" s="20"/>
      <c r="RFE12" s="20"/>
      <c r="RFF12" s="20"/>
      <c r="RFG12" s="20"/>
      <c r="RFH12" s="20"/>
      <c r="RFI12" s="20"/>
      <c r="RFJ12" s="20"/>
      <c r="RFK12" s="20"/>
      <c r="RFL12" s="20"/>
      <c r="RFM12" s="20"/>
      <c r="RFN12" s="20"/>
      <c r="RFO12" s="20"/>
      <c r="RFP12" s="20"/>
      <c r="RFQ12" s="20"/>
      <c r="RFR12" s="20"/>
      <c r="RFS12" s="20"/>
      <c r="RFT12" s="20"/>
      <c r="RFU12" s="20"/>
      <c r="RFV12" s="20"/>
      <c r="RFW12" s="20"/>
      <c r="RFX12" s="20"/>
      <c r="RFY12" s="20"/>
      <c r="RFZ12" s="20"/>
      <c r="RGA12" s="20"/>
      <c r="RGB12" s="20"/>
      <c r="RGC12" s="20"/>
      <c r="RGD12" s="20"/>
      <c r="RGE12" s="20"/>
      <c r="RGF12" s="20"/>
      <c r="RGG12" s="20"/>
      <c r="RGH12" s="20"/>
      <c r="RGI12" s="20"/>
      <c r="RGJ12" s="20"/>
      <c r="RGK12" s="20"/>
      <c r="RGL12" s="20"/>
      <c r="RGM12" s="20"/>
      <c r="RGN12" s="20"/>
      <c r="RGO12" s="20"/>
      <c r="RGP12" s="20"/>
      <c r="RGQ12" s="20"/>
      <c r="RGR12" s="20"/>
      <c r="RGS12" s="20"/>
      <c r="RGT12" s="20"/>
      <c r="RGU12" s="20"/>
      <c r="RGV12" s="20"/>
      <c r="RGW12" s="20"/>
      <c r="RGX12" s="20"/>
      <c r="RGY12" s="20"/>
      <c r="RGZ12" s="20"/>
      <c r="RHA12" s="20"/>
      <c r="RHB12" s="20"/>
      <c r="RHC12" s="20"/>
      <c r="RHD12" s="20"/>
      <c r="RHE12" s="20"/>
      <c r="RHF12" s="20"/>
      <c r="RHG12" s="20"/>
      <c r="RHH12" s="20"/>
      <c r="RHI12" s="20"/>
      <c r="RHJ12" s="20"/>
      <c r="RHK12" s="20"/>
      <c r="RHL12" s="20"/>
      <c r="RHM12" s="20"/>
      <c r="RHN12" s="20"/>
      <c r="RHO12" s="20"/>
      <c r="RHP12" s="20"/>
      <c r="RHQ12" s="20"/>
      <c r="RHR12" s="20"/>
      <c r="RHS12" s="20"/>
      <c r="RHT12" s="20"/>
      <c r="RHU12" s="20"/>
      <c r="RHV12" s="20"/>
      <c r="RHW12" s="20"/>
      <c r="RHX12" s="20"/>
      <c r="RHY12" s="20"/>
      <c r="RHZ12" s="20"/>
      <c r="RIA12" s="20"/>
      <c r="RIB12" s="20"/>
      <c r="RIC12" s="20"/>
      <c r="RID12" s="20"/>
      <c r="RIE12" s="20"/>
      <c r="RIF12" s="20"/>
      <c r="RIG12" s="20"/>
      <c r="RIH12" s="20"/>
      <c r="RII12" s="20"/>
      <c r="RIJ12" s="20"/>
      <c r="RIK12" s="20"/>
      <c r="RIL12" s="20"/>
      <c r="RIM12" s="20"/>
      <c r="RIN12" s="20"/>
      <c r="RIO12" s="20"/>
      <c r="RIP12" s="20"/>
      <c r="RIQ12" s="20"/>
      <c r="RIR12" s="20"/>
      <c r="RIS12" s="20"/>
      <c r="RIT12" s="20"/>
      <c r="RIU12" s="20"/>
      <c r="RIV12" s="20"/>
      <c r="RIW12" s="20"/>
      <c r="RIX12" s="20"/>
      <c r="RIY12" s="20"/>
      <c r="RIZ12" s="20"/>
      <c r="RJA12" s="20"/>
      <c r="RJB12" s="20"/>
      <c r="RJC12" s="20"/>
      <c r="RJD12" s="20"/>
      <c r="RJE12" s="20"/>
      <c r="RJF12" s="20"/>
      <c r="RJG12" s="20"/>
      <c r="RJH12" s="20"/>
      <c r="RJI12" s="20"/>
      <c r="RJJ12" s="20"/>
      <c r="RJK12" s="20"/>
      <c r="RJL12" s="20"/>
      <c r="RJM12" s="20"/>
      <c r="RJN12" s="20"/>
      <c r="RJO12" s="20"/>
      <c r="RJP12" s="20"/>
      <c r="RJQ12" s="20"/>
      <c r="RJR12" s="20"/>
      <c r="RJS12" s="20"/>
      <c r="RJT12" s="20"/>
      <c r="RJU12" s="20"/>
      <c r="RJV12" s="20"/>
      <c r="RJW12" s="20"/>
      <c r="RJX12" s="20"/>
      <c r="RJY12" s="20"/>
      <c r="RJZ12" s="20"/>
      <c r="RKA12" s="20"/>
      <c r="RKB12" s="20"/>
      <c r="RKC12" s="20"/>
      <c r="RKD12" s="20"/>
      <c r="RKE12" s="20"/>
      <c r="RKF12" s="20"/>
      <c r="RKG12" s="20"/>
      <c r="RKH12" s="20"/>
      <c r="RKI12" s="20"/>
      <c r="RKJ12" s="20"/>
      <c r="RKK12" s="20"/>
      <c r="RKL12" s="20"/>
      <c r="RKM12" s="20"/>
      <c r="RKN12" s="20"/>
      <c r="RKO12" s="20"/>
      <c r="RKP12" s="20"/>
      <c r="RKQ12" s="20"/>
      <c r="RKR12" s="20"/>
      <c r="RKS12" s="20"/>
      <c r="RKT12" s="20"/>
      <c r="RKU12" s="20"/>
      <c r="RKV12" s="20"/>
      <c r="RKW12" s="20"/>
      <c r="RKX12" s="20"/>
      <c r="RKY12" s="20"/>
      <c r="RKZ12" s="20"/>
      <c r="RLA12" s="20"/>
      <c r="RLB12" s="20"/>
      <c r="RLC12" s="20"/>
      <c r="RLD12" s="20"/>
      <c r="RLE12" s="20"/>
      <c r="RLF12" s="20"/>
      <c r="RLG12" s="20"/>
      <c r="RLH12" s="20"/>
      <c r="RLI12" s="20"/>
      <c r="RLJ12" s="20"/>
      <c r="RLK12" s="20"/>
      <c r="RLL12" s="20"/>
      <c r="RLM12" s="20"/>
      <c r="RLN12" s="20"/>
      <c r="RLO12" s="20"/>
      <c r="RLP12" s="20"/>
      <c r="RLQ12" s="20"/>
      <c r="RLR12" s="20"/>
      <c r="RLS12" s="20"/>
      <c r="RLT12" s="20"/>
      <c r="RLU12" s="20"/>
      <c r="RLV12" s="20"/>
      <c r="RLW12" s="20"/>
      <c r="RLX12" s="20"/>
      <c r="RLY12" s="20"/>
      <c r="RLZ12" s="20"/>
      <c r="RMA12" s="20"/>
      <c r="RMB12" s="20"/>
      <c r="RMC12" s="20"/>
      <c r="RMD12" s="20"/>
      <c r="RME12" s="20"/>
      <c r="RMF12" s="20"/>
      <c r="RMG12" s="20"/>
      <c r="RMH12" s="20"/>
      <c r="RMI12" s="20"/>
      <c r="RMJ12" s="20"/>
      <c r="RMK12" s="20"/>
      <c r="RML12" s="20"/>
      <c r="RMM12" s="20"/>
      <c r="RMN12" s="20"/>
      <c r="RMO12" s="20"/>
      <c r="RMP12" s="20"/>
      <c r="RMQ12" s="20"/>
      <c r="RMR12" s="20"/>
      <c r="RMS12" s="20"/>
      <c r="RMT12" s="20"/>
      <c r="RMU12" s="20"/>
      <c r="RMV12" s="20"/>
      <c r="RMW12" s="20"/>
      <c r="RMX12" s="20"/>
      <c r="RMY12" s="20"/>
      <c r="RMZ12" s="20"/>
      <c r="RNA12" s="20"/>
      <c r="RNB12" s="20"/>
      <c r="RNC12" s="20"/>
      <c r="RND12" s="20"/>
      <c r="RNE12" s="20"/>
      <c r="RNF12" s="20"/>
      <c r="RNG12" s="20"/>
      <c r="RNH12" s="20"/>
      <c r="RNI12" s="20"/>
      <c r="RNJ12" s="20"/>
      <c r="RNK12" s="20"/>
      <c r="RNL12" s="20"/>
      <c r="RNM12" s="20"/>
      <c r="RNN12" s="20"/>
      <c r="RNO12" s="20"/>
      <c r="RNP12" s="20"/>
      <c r="RNQ12" s="20"/>
      <c r="RNR12" s="20"/>
      <c r="RNS12" s="20"/>
      <c r="RNT12" s="20"/>
      <c r="RNU12" s="20"/>
      <c r="RNV12" s="20"/>
      <c r="RNW12" s="20"/>
      <c r="RNX12" s="20"/>
      <c r="RNY12" s="20"/>
      <c r="RNZ12" s="20"/>
      <c r="ROA12" s="20"/>
      <c r="ROB12" s="20"/>
      <c r="ROC12" s="20"/>
      <c r="ROD12" s="20"/>
      <c r="ROE12" s="20"/>
      <c r="ROF12" s="20"/>
      <c r="ROG12" s="20"/>
      <c r="ROH12" s="20"/>
      <c r="ROI12" s="20"/>
      <c r="ROJ12" s="20"/>
      <c r="ROK12" s="20"/>
      <c r="ROL12" s="20"/>
      <c r="ROM12" s="20"/>
      <c r="RON12" s="20"/>
      <c r="ROO12" s="20"/>
      <c r="ROP12" s="20"/>
      <c r="ROQ12" s="20"/>
      <c r="ROR12" s="20"/>
      <c r="ROS12" s="20"/>
      <c r="ROT12" s="20"/>
      <c r="ROU12" s="20"/>
      <c r="ROV12" s="20"/>
      <c r="ROW12" s="20"/>
      <c r="ROX12" s="20"/>
      <c r="ROY12" s="20"/>
      <c r="ROZ12" s="20"/>
      <c r="RPA12" s="20"/>
      <c r="RPB12" s="20"/>
      <c r="RPC12" s="20"/>
      <c r="RPD12" s="20"/>
      <c r="RPE12" s="20"/>
      <c r="RPF12" s="20"/>
      <c r="RPG12" s="20"/>
      <c r="RPH12" s="20"/>
      <c r="RPI12" s="20"/>
      <c r="RPJ12" s="20"/>
      <c r="RPK12" s="20"/>
      <c r="RPL12" s="20"/>
      <c r="RPM12" s="20"/>
      <c r="RPN12" s="20"/>
      <c r="RPO12" s="20"/>
      <c r="RPP12" s="20"/>
      <c r="RPQ12" s="20"/>
      <c r="RPR12" s="20"/>
      <c r="RPS12" s="20"/>
      <c r="RPT12" s="20"/>
      <c r="RPU12" s="20"/>
      <c r="RPV12" s="20"/>
      <c r="RPW12" s="20"/>
      <c r="RPX12" s="20"/>
      <c r="RPY12" s="20"/>
      <c r="RPZ12" s="20"/>
      <c r="RQA12" s="20"/>
      <c r="RQB12" s="20"/>
      <c r="RQC12" s="20"/>
      <c r="RQD12" s="20"/>
      <c r="RQE12" s="20"/>
      <c r="RQF12" s="20"/>
      <c r="RQG12" s="20"/>
      <c r="RQH12" s="20"/>
      <c r="RQI12" s="20"/>
      <c r="RQJ12" s="20"/>
      <c r="RQK12" s="20"/>
      <c r="RQL12" s="20"/>
      <c r="RQM12" s="20"/>
      <c r="RQN12" s="20"/>
      <c r="RQO12" s="20"/>
      <c r="RQP12" s="20"/>
      <c r="RQQ12" s="20"/>
      <c r="RQR12" s="20"/>
      <c r="RQS12" s="20"/>
      <c r="RQT12" s="20"/>
      <c r="RQU12" s="20"/>
      <c r="RQV12" s="20"/>
      <c r="RQW12" s="20"/>
      <c r="RQX12" s="20"/>
      <c r="RQY12" s="20"/>
      <c r="RQZ12" s="20"/>
      <c r="RRA12" s="20"/>
      <c r="RRB12" s="20"/>
      <c r="RRC12" s="20"/>
      <c r="RRD12" s="20"/>
      <c r="RRE12" s="20"/>
      <c r="RRF12" s="20"/>
      <c r="RRG12" s="20"/>
      <c r="RRH12" s="20"/>
      <c r="RRI12" s="20"/>
      <c r="RRJ12" s="20"/>
      <c r="RRK12" s="20"/>
      <c r="RRL12" s="20"/>
      <c r="RRM12" s="20"/>
      <c r="RRN12" s="20"/>
      <c r="RRO12" s="20"/>
      <c r="RRP12" s="20"/>
      <c r="RRQ12" s="20"/>
      <c r="RRR12" s="20"/>
      <c r="RRS12" s="20"/>
      <c r="RRT12" s="20"/>
      <c r="RRU12" s="20"/>
      <c r="RRV12" s="20"/>
      <c r="RRW12" s="20"/>
      <c r="RRX12" s="20"/>
      <c r="RRY12" s="20"/>
      <c r="RRZ12" s="20"/>
      <c r="RSA12" s="20"/>
      <c r="RSB12" s="20"/>
      <c r="RSC12" s="20"/>
      <c r="RSD12" s="20"/>
      <c r="RSE12" s="20"/>
      <c r="RSF12" s="20"/>
      <c r="RSG12" s="20"/>
      <c r="RSH12" s="20"/>
      <c r="RSI12" s="20"/>
      <c r="RSJ12" s="20"/>
      <c r="RSK12" s="20"/>
      <c r="RSL12" s="20"/>
      <c r="RSM12" s="20"/>
      <c r="RSN12" s="20"/>
      <c r="RSO12" s="20"/>
      <c r="RSP12" s="20"/>
      <c r="RSQ12" s="20"/>
      <c r="RSR12" s="20"/>
      <c r="RSS12" s="20"/>
      <c r="RST12" s="20"/>
      <c r="RSU12" s="20"/>
      <c r="RSV12" s="20"/>
      <c r="RSW12" s="20"/>
      <c r="RSX12" s="20"/>
      <c r="RSY12" s="20"/>
      <c r="RSZ12" s="20"/>
      <c r="RTA12" s="20"/>
      <c r="RTB12" s="20"/>
      <c r="RTC12" s="20"/>
      <c r="RTD12" s="20"/>
      <c r="RTE12" s="20"/>
      <c r="RTF12" s="20"/>
      <c r="RTG12" s="20"/>
      <c r="RTH12" s="20"/>
      <c r="RTI12" s="20"/>
      <c r="RTJ12" s="20"/>
      <c r="RTK12" s="20"/>
      <c r="RTL12" s="20"/>
      <c r="RTM12" s="20"/>
      <c r="RTN12" s="20"/>
      <c r="RTO12" s="20"/>
      <c r="RTP12" s="20"/>
      <c r="RTQ12" s="20"/>
      <c r="RTR12" s="20"/>
      <c r="RTS12" s="20"/>
      <c r="RTT12" s="20"/>
      <c r="RTU12" s="20"/>
      <c r="RTV12" s="20"/>
      <c r="RTW12" s="20"/>
      <c r="RTX12" s="20"/>
      <c r="RTY12" s="20"/>
      <c r="RTZ12" s="20"/>
      <c r="RUA12" s="20"/>
      <c r="RUB12" s="20"/>
      <c r="RUC12" s="20"/>
      <c r="RUD12" s="20"/>
      <c r="RUE12" s="20"/>
      <c r="RUF12" s="20"/>
      <c r="RUG12" s="20"/>
      <c r="RUH12" s="20"/>
      <c r="RUI12" s="20"/>
      <c r="RUJ12" s="20"/>
      <c r="RUK12" s="20"/>
      <c r="RUL12" s="20"/>
      <c r="RUM12" s="20"/>
      <c r="RUN12" s="20"/>
      <c r="RUO12" s="20"/>
      <c r="RUP12" s="20"/>
      <c r="RUQ12" s="20"/>
      <c r="RUR12" s="20"/>
      <c r="RUS12" s="20"/>
      <c r="RUT12" s="20"/>
      <c r="RUU12" s="20"/>
      <c r="RUV12" s="20"/>
      <c r="RUW12" s="20"/>
      <c r="RUX12" s="20"/>
      <c r="RUY12" s="20"/>
      <c r="RUZ12" s="20"/>
      <c r="RVA12" s="20"/>
      <c r="RVB12" s="20"/>
      <c r="RVC12" s="20"/>
      <c r="RVD12" s="20"/>
      <c r="RVE12" s="20"/>
      <c r="RVF12" s="20"/>
      <c r="RVG12" s="20"/>
      <c r="RVH12" s="20"/>
      <c r="RVI12" s="20"/>
      <c r="RVJ12" s="20"/>
      <c r="RVK12" s="20"/>
      <c r="RVL12" s="20"/>
      <c r="RVM12" s="20"/>
      <c r="RVN12" s="20"/>
      <c r="RVO12" s="20"/>
      <c r="RVP12" s="20"/>
      <c r="RVQ12" s="20"/>
      <c r="RVR12" s="20"/>
      <c r="RVS12" s="20"/>
      <c r="RVT12" s="20"/>
      <c r="RVU12" s="20"/>
      <c r="RVV12" s="20"/>
      <c r="RVW12" s="20"/>
      <c r="RVX12" s="20"/>
      <c r="RVY12" s="20"/>
      <c r="RVZ12" s="20"/>
      <c r="RWA12" s="20"/>
      <c r="RWB12" s="20"/>
      <c r="RWC12" s="20"/>
      <c r="RWD12" s="20"/>
      <c r="RWE12" s="20"/>
      <c r="RWF12" s="20"/>
      <c r="RWG12" s="20"/>
      <c r="RWH12" s="20"/>
      <c r="RWI12" s="20"/>
      <c r="RWJ12" s="20"/>
      <c r="RWK12" s="20"/>
      <c r="RWL12" s="20"/>
      <c r="RWM12" s="20"/>
      <c r="RWN12" s="20"/>
      <c r="RWO12" s="20"/>
      <c r="RWP12" s="20"/>
      <c r="RWQ12" s="20"/>
      <c r="RWR12" s="20"/>
      <c r="RWS12" s="20"/>
      <c r="RWT12" s="20"/>
      <c r="RWU12" s="20"/>
      <c r="RWV12" s="20"/>
      <c r="RWW12" s="20"/>
      <c r="RWX12" s="20"/>
      <c r="RWY12" s="20"/>
      <c r="RWZ12" s="20"/>
      <c r="RXA12" s="20"/>
      <c r="RXB12" s="20"/>
      <c r="RXC12" s="20"/>
      <c r="RXD12" s="20"/>
      <c r="RXE12" s="20"/>
      <c r="RXF12" s="20"/>
      <c r="RXG12" s="20"/>
      <c r="RXH12" s="20"/>
      <c r="RXI12" s="20"/>
      <c r="RXJ12" s="20"/>
      <c r="RXK12" s="20"/>
      <c r="RXL12" s="20"/>
      <c r="RXM12" s="20"/>
      <c r="RXN12" s="20"/>
      <c r="RXO12" s="20"/>
      <c r="RXP12" s="20"/>
      <c r="RXQ12" s="20"/>
      <c r="RXR12" s="20"/>
      <c r="RXS12" s="20"/>
      <c r="RXT12" s="20"/>
      <c r="RXU12" s="20"/>
      <c r="RXV12" s="20"/>
      <c r="RXW12" s="20"/>
      <c r="RXX12" s="20"/>
      <c r="RXY12" s="20"/>
      <c r="RXZ12" s="20"/>
      <c r="RYA12" s="20"/>
      <c r="RYB12" s="20"/>
      <c r="RYC12" s="20"/>
      <c r="RYD12" s="20"/>
      <c r="RYE12" s="20"/>
      <c r="RYF12" s="20"/>
      <c r="RYG12" s="20"/>
      <c r="RYH12" s="20"/>
      <c r="RYI12" s="20"/>
      <c r="RYJ12" s="20"/>
      <c r="RYK12" s="20"/>
      <c r="RYL12" s="20"/>
      <c r="RYM12" s="20"/>
      <c r="RYN12" s="20"/>
      <c r="RYO12" s="20"/>
      <c r="RYP12" s="20"/>
      <c r="RYQ12" s="20"/>
      <c r="RYR12" s="20"/>
      <c r="RYS12" s="20"/>
      <c r="RYT12" s="20"/>
      <c r="RYU12" s="20"/>
      <c r="RYV12" s="20"/>
      <c r="RYW12" s="20"/>
      <c r="RYX12" s="20"/>
      <c r="RYY12" s="20"/>
      <c r="RYZ12" s="20"/>
      <c r="RZA12" s="20"/>
      <c r="RZB12" s="20"/>
      <c r="RZC12" s="20"/>
      <c r="RZD12" s="20"/>
      <c r="RZE12" s="20"/>
      <c r="RZF12" s="20"/>
      <c r="RZG12" s="20"/>
      <c r="RZH12" s="20"/>
      <c r="RZI12" s="20"/>
      <c r="RZJ12" s="20"/>
      <c r="RZK12" s="20"/>
      <c r="RZL12" s="20"/>
      <c r="RZM12" s="20"/>
      <c r="RZN12" s="20"/>
      <c r="RZO12" s="20"/>
      <c r="RZP12" s="20"/>
      <c r="RZQ12" s="20"/>
      <c r="RZR12" s="20"/>
      <c r="RZS12" s="20"/>
      <c r="RZT12" s="20"/>
      <c r="RZU12" s="20"/>
      <c r="RZV12" s="20"/>
      <c r="RZW12" s="20"/>
      <c r="RZX12" s="20"/>
      <c r="RZY12" s="20"/>
      <c r="RZZ12" s="20"/>
      <c r="SAA12" s="20"/>
      <c r="SAB12" s="20"/>
      <c r="SAC12" s="20"/>
      <c r="SAD12" s="20"/>
      <c r="SAE12" s="20"/>
      <c r="SAF12" s="20"/>
      <c r="SAG12" s="20"/>
      <c r="SAH12" s="20"/>
      <c r="SAI12" s="20"/>
      <c r="SAJ12" s="20"/>
      <c r="SAK12" s="20"/>
      <c r="SAL12" s="20"/>
      <c r="SAM12" s="20"/>
      <c r="SAN12" s="20"/>
      <c r="SAO12" s="20"/>
      <c r="SAP12" s="20"/>
      <c r="SAQ12" s="20"/>
      <c r="SAR12" s="20"/>
      <c r="SAS12" s="20"/>
      <c r="SAT12" s="20"/>
      <c r="SAU12" s="20"/>
      <c r="SAV12" s="20"/>
      <c r="SAW12" s="20"/>
      <c r="SAX12" s="20"/>
      <c r="SAY12" s="20"/>
      <c r="SAZ12" s="20"/>
      <c r="SBA12" s="20"/>
      <c r="SBB12" s="20"/>
      <c r="SBC12" s="20"/>
      <c r="SBD12" s="20"/>
      <c r="SBE12" s="20"/>
      <c r="SBF12" s="20"/>
      <c r="SBG12" s="20"/>
      <c r="SBH12" s="20"/>
      <c r="SBI12" s="20"/>
      <c r="SBJ12" s="20"/>
      <c r="SBK12" s="20"/>
      <c r="SBL12" s="20"/>
      <c r="SBM12" s="20"/>
      <c r="SBN12" s="20"/>
      <c r="SBO12" s="20"/>
      <c r="SBP12" s="20"/>
      <c r="SBQ12" s="20"/>
      <c r="SBR12" s="20"/>
      <c r="SBS12" s="20"/>
      <c r="SBT12" s="20"/>
      <c r="SBU12" s="20"/>
      <c r="SBV12" s="20"/>
      <c r="SBW12" s="20"/>
      <c r="SBX12" s="20"/>
      <c r="SBY12" s="20"/>
      <c r="SBZ12" s="20"/>
      <c r="SCA12" s="20"/>
      <c r="SCB12" s="20"/>
      <c r="SCC12" s="20"/>
      <c r="SCD12" s="20"/>
      <c r="SCE12" s="20"/>
      <c r="SCF12" s="20"/>
      <c r="SCG12" s="20"/>
      <c r="SCH12" s="20"/>
      <c r="SCI12" s="20"/>
      <c r="SCJ12" s="20"/>
      <c r="SCK12" s="20"/>
      <c r="SCL12" s="20"/>
      <c r="SCM12" s="20"/>
      <c r="SCN12" s="20"/>
      <c r="SCO12" s="20"/>
      <c r="SCP12" s="20"/>
      <c r="SCQ12" s="20"/>
      <c r="SCR12" s="20"/>
      <c r="SCS12" s="20"/>
      <c r="SCT12" s="20"/>
      <c r="SCU12" s="20"/>
      <c r="SCV12" s="20"/>
      <c r="SCW12" s="20"/>
      <c r="SCX12" s="20"/>
      <c r="SCY12" s="20"/>
      <c r="SCZ12" s="20"/>
      <c r="SDA12" s="20"/>
      <c r="SDB12" s="20"/>
      <c r="SDC12" s="20"/>
      <c r="SDD12" s="20"/>
      <c r="SDE12" s="20"/>
      <c r="SDF12" s="20"/>
      <c r="SDG12" s="20"/>
      <c r="SDH12" s="20"/>
      <c r="SDI12" s="20"/>
      <c r="SDJ12" s="20"/>
      <c r="SDK12" s="20"/>
      <c r="SDL12" s="20"/>
      <c r="SDM12" s="20"/>
      <c r="SDN12" s="20"/>
      <c r="SDO12" s="20"/>
      <c r="SDP12" s="20"/>
      <c r="SDQ12" s="20"/>
      <c r="SDR12" s="20"/>
      <c r="SDS12" s="20"/>
      <c r="SDT12" s="20"/>
      <c r="SDU12" s="20"/>
      <c r="SDV12" s="20"/>
      <c r="SDW12" s="20"/>
      <c r="SDX12" s="20"/>
      <c r="SDY12" s="20"/>
      <c r="SDZ12" s="20"/>
      <c r="SEA12" s="20"/>
      <c r="SEB12" s="20"/>
      <c r="SEC12" s="20"/>
      <c r="SED12" s="20"/>
      <c r="SEE12" s="20"/>
      <c r="SEF12" s="20"/>
      <c r="SEG12" s="20"/>
      <c r="SEH12" s="20"/>
      <c r="SEI12" s="20"/>
      <c r="SEJ12" s="20"/>
      <c r="SEK12" s="20"/>
      <c r="SEL12" s="20"/>
      <c r="SEM12" s="20"/>
      <c r="SEN12" s="20"/>
      <c r="SEO12" s="20"/>
      <c r="SEP12" s="20"/>
      <c r="SEQ12" s="20"/>
      <c r="SER12" s="20"/>
      <c r="SES12" s="20"/>
      <c r="SET12" s="20"/>
      <c r="SEU12" s="20"/>
      <c r="SEV12" s="20"/>
      <c r="SEW12" s="20"/>
      <c r="SEX12" s="20"/>
      <c r="SEY12" s="20"/>
      <c r="SEZ12" s="20"/>
      <c r="SFA12" s="20"/>
      <c r="SFB12" s="20"/>
      <c r="SFC12" s="20"/>
      <c r="SFD12" s="20"/>
      <c r="SFE12" s="20"/>
      <c r="SFF12" s="20"/>
      <c r="SFG12" s="20"/>
      <c r="SFH12" s="20"/>
      <c r="SFI12" s="20"/>
      <c r="SFJ12" s="20"/>
      <c r="SFK12" s="20"/>
      <c r="SFL12" s="20"/>
      <c r="SFM12" s="20"/>
      <c r="SFN12" s="20"/>
      <c r="SFO12" s="20"/>
      <c r="SFP12" s="20"/>
      <c r="SFQ12" s="20"/>
      <c r="SFR12" s="20"/>
      <c r="SFS12" s="20"/>
      <c r="SFT12" s="20"/>
      <c r="SFU12" s="20"/>
      <c r="SFV12" s="20"/>
      <c r="SFW12" s="20"/>
      <c r="SFX12" s="20"/>
      <c r="SFY12" s="20"/>
      <c r="SFZ12" s="20"/>
      <c r="SGA12" s="20"/>
      <c r="SGB12" s="20"/>
      <c r="SGC12" s="20"/>
      <c r="SGD12" s="20"/>
      <c r="SGE12" s="20"/>
      <c r="SGF12" s="20"/>
      <c r="SGG12" s="20"/>
      <c r="SGH12" s="20"/>
      <c r="SGI12" s="20"/>
      <c r="SGJ12" s="20"/>
      <c r="SGK12" s="20"/>
      <c r="SGL12" s="20"/>
      <c r="SGM12" s="20"/>
      <c r="SGN12" s="20"/>
      <c r="SGO12" s="20"/>
      <c r="SGP12" s="20"/>
      <c r="SGQ12" s="20"/>
      <c r="SGR12" s="20"/>
      <c r="SGS12" s="20"/>
      <c r="SGT12" s="20"/>
      <c r="SGU12" s="20"/>
      <c r="SGV12" s="20"/>
      <c r="SGW12" s="20"/>
      <c r="SGX12" s="20"/>
      <c r="SGY12" s="20"/>
      <c r="SGZ12" s="20"/>
      <c r="SHA12" s="20"/>
      <c r="SHB12" s="20"/>
      <c r="SHC12" s="20"/>
      <c r="SHD12" s="20"/>
      <c r="SHE12" s="20"/>
      <c r="SHF12" s="20"/>
      <c r="SHG12" s="20"/>
      <c r="SHH12" s="20"/>
      <c r="SHI12" s="20"/>
      <c r="SHJ12" s="20"/>
      <c r="SHK12" s="20"/>
      <c r="SHL12" s="20"/>
      <c r="SHM12" s="20"/>
      <c r="SHN12" s="20"/>
      <c r="SHO12" s="20"/>
      <c r="SHP12" s="20"/>
      <c r="SHQ12" s="20"/>
      <c r="SHR12" s="20"/>
      <c r="SHS12" s="20"/>
      <c r="SHT12" s="20"/>
      <c r="SHU12" s="20"/>
      <c r="SHV12" s="20"/>
      <c r="SHW12" s="20"/>
      <c r="SHX12" s="20"/>
      <c r="SHY12" s="20"/>
      <c r="SHZ12" s="20"/>
      <c r="SIA12" s="20"/>
      <c r="SIB12" s="20"/>
      <c r="SIC12" s="20"/>
      <c r="SID12" s="20"/>
      <c r="SIE12" s="20"/>
      <c r="SIF12" s="20"/>
      <c r="SIG12" s="20"/>
      <c r="SIH12" s="20"/>
      <c r="SII12" s="20"/>
      <c r="SIJ12" s="20"/>
      <c r="SIK12" s="20"/>
      <c r="SIL12" s="20"/>
      <c r="SIM12" s="20"/>
      <c r="SIN12" s="20"/>
      <c r="SIO12" s="20"/>
      <c r="SIP12" s="20"/>
      <c r="SIQ12" s="20"/>
      <c r="SIR12" s="20"/>
      <c r="SIS12" s="20"/>
      <c r="SIT12" s="20"/>
      <c r="SIU12" s="20"/>
      <c r="SIV12" s="20"/>
      <c r="SIW12" s="20"/>
      <c r="SIX12" s="20"/>
      <c r="SIY12" s="20"/>
      <c r="SIZ12" s="20"/>
      <c r="SJA12" s="20"/>
      <c r="SJB12" s="20"/>
      <c r="SJC12" s="20"/>
      <c r="SJD12" s="20"/>
      <c r="SJE12" s="20"/>
      <c r="SJF12" s="20"/>
      <c r="SJG12" s="20"/>
      <c r="SJH12" s="20"/>
      <c r="SJI12" s="20"/>
      <c r="SJJ12" s="20"/>
      <c r="SJK12" s="20"/>
      <c r="SJL12" s="20"/>
      <c r="SJM12" s="20"/>
      <c r="SJN12" s="20"/>
      <c r="SJO12" s="20"/>
      <c r="SJP12" s="20"/>
      <c r="SJQ12" s="20"/>
      <c r="SJR12" s="20"/>
      <c r="SJS12" s="20"/>
      <c r="SJT12" s="20"/>
      <c r="SJU12" s="20"/>
      <c r="SJV12" s="20"/>
      <c r="SJW12" s="20"/>
      <c r="SJX12" s="20"/>
      <c r="SJY12" s="20"/>
      <c r="SJZ12" s="20"/>
      <c r="SKA12" s="20"/>
      <c r="SKB12" s="20"/>
      <c r="SKC12" s="20"/>
      <c r="SKD12" s="20"/>
      <c r="SKE12" s="20"/>
      <c r="SKF12" s="20"/>
      <c r="SKG12" s="20"/>
      <c r="SKH12" s="20"/>
      <c r="SKI12" s="20"/>
      <c r="SKJ12" s="20"/>
      <c r="SKK12" s="20"/>
      <c r="SKL12" s="20"/>
      <c r="SKM12" s="20"/>
      <c r="SKN12" s="20"/>
      <c r="SKO12" s="20"/>
      <c r="SKP12" s="20"/>
      <c r="SKQ12" s="20"/>
      <c r="SKR12" s="20"/>
      <c r="SKS12" s="20"/>
      <c r="SKT12" s="20"/>
      <c r="SKU12" s="20"/>
      <c r="SKV12" s="20"/>
      <c r="SKW12" s="20"/>
      <c r="SKX12" s="20"/>
      <c r="SKY12" s="20"/>
      <c r="SKZ12" s="20"/>
      <c r="SLA12" s="20"/>
      <c r="SLB12" s="20"/>
      <c r="SLC12" s="20"/>
      <c r="SLD12" s="20"/>
      <c r="SLE12" s="20"/>
      <c r="SLF12" s="20"/>
      <c r="SLG12" s="20"/>
      <c r="SLH12" s="20"/>
      <c r="SLI12" s="20"/>
      <c r="SLJ12" s="20"/>
      <c r="SLK12" s="20"/>
      <c r="SLL12" s="20"/>
      <c r="SLM12" s="20"/>
      <c r="SLN12" s="20"/>
      <c r="SLO12" s="20"/>
      <c r="SLP12" s="20"/>
      <c r="SLQ12" s="20"/>
      <c r="SLR12" s="20"/>
      <c r="SLS12" s="20"/>
      <c r="SLT12" s="20"/>
      <c r="SLU12" s="20"/>
      <c r="SLV12" s="20"/>
      <c r="SLW12" s="20"/>
      <c r="SLX12" s="20"/>
      <c r="SLY12" s="20"/>
      <c r="SLZ12" s="20"/>
      <c r="SMA12" s="20"/>
      <c r="SMB12" s="20"/>
      <c r="SMC12" s="20"/>
      <c r="SMD12" s="20"/>
      <c r="SME12" s="20"/>
      <c r="SMF12" s="20"/>
      <c r="SMG12" s="20"/>
      <c r="SMH12" s="20"/>
      <c r="SMI12" s="20"/>
      <c r="SMJ12" s="20"/>
      <c r="SMK12" s="20"/>
      <c r="SML12" s="20"/>
      <c r="SMM12" s="20"/>
      <c r="SMN12" s="20"/>
      <c r="SMO12" s="20"/>
      <c r="SMP12" s="20"/>
      <c r="SMQ12" s="20"/>
      <c r="SMR12" s="20"/>
      <c r="SMS12" s="20"/>
      <c r="SMT12" s="20"/>
      <c r="SMU12" s="20"/>
      <c r="SMV12" s="20"/>
      <c r="SMW12" s="20"/>
      <c r="SMX12" s="20"/>
      <c r="SMY12" s="20"/>
      <c r="SMZ12" s="20"/>
      <c r="SNA12" s="20"/>
      <c r="SNB12" s="20"/>
      <c r="SNC12" s="20"/>
      <c r="SND12" s="20"/>
      <c r="SNE12" s="20"/>
      <c r="SNF12" s="20"/>
      <c r="SNG12" s="20"/>
      <c r="SNH12" s="20"/>
      <c r="SNI12" s="20"/>
      <c r="SNJ12" s="20"/>
      <c r="SNK12" s="20"/>
      <c r="SNL12" s="20"/>
      <c r="SNM12" s="20"/>
      <c r="SNN12" s="20"/>
      <c r="SNO12" s="20"/>
      <c r="SNP12" s="20"/>
      <c r="SNQ12" s="20"/>
      <c r="SNR12" s="20"/>
      <c r="SNS12" s="20"/>
      <c r="SNT12" s="20"/>
      <c r="SNU12" s="20"/>
      <c r="SNV12" s="20"/>
      <c r="SNW12" s="20"/>
      <c r="SNX12" s="20"/>
      <c r="SNY12" s="20"/>
      <c r="SNZ12" s="20"/>
      <c r="SOA12" s="20"/>
      <c r="SOB12" s="20"/>
      <c r="SOC12" s="20"/>
      <c r="SOD12" s="20"/>
      <c r="SOE12" s="20"/>
      <c r="SOF12" s="20"/>
      <c r="SOG12" s="20"/>
      <c r="SOH12" s="20"/>
      <c r="SOI12" s="20"/>
      <c r="SOJ12" s="20"/>
      <c r="SOK12" s="20"/>
      <c r="SOL12" s="20"/>
      <c r="SOM12" s="20"/>
      <c r="SON12" s="20"/>
      <c r="SOO12" s="20"/>
      <c r="SOP12" s="20"/>
      <c r="SOQ12" s="20"/>
      <c r="SOR12" s="20"/>
      <c r="SOS12" s="20"/>
      <c r="SOT12" s="20"/>
      <c r="SOU12" s="20"/>
      <c r="SOV12" s="20"/>
      <c r="SOW12" s="20"/>
      <c r="SOX12" s="20"/>
      <c r="SOY12" s="20"/>
      <c r="SOZ12" s="20"/>
      <c r="SPA12" s="20"/>
      <c r="SPB12" s="20"/>
      <c r="SPC12" s="20"/>
      <c r="SPD12" s="20"/>
      <c r="SPE12" s="20"/>
      <c r="SPF12" s="20"/>
      <c r="SPG12" s="20"/>
      <c r="SPH12" s="20"/>
      <c r="SPI12" s="20"/>
      <c r="SPJ12" s="20"/>
      <c r="SPK12" s="20"/>
      <c r="SPL12" s="20"/>
      <c r="SPM12" s="20"/>
      <c r="SPN12" s="20"/>
      <c r="SPO12" s="20"/>
      <c r="SPP12" s="20"/>
      <c r="SPQ12" s="20"/>
      <c r="SPR12" s="20"/>
      <c r="SPS12" s="20"/>
      <c r="SPT12" s="20"/>
      <c r="SPU12" s="20"/>
      <c r="SPV12" s="20"/>
      <c r="SPW12" s="20"/>
      <c r="SPX12" s="20"/>
      <c r="SPY12" s="20"/>
      <c r="SPZ12" s="20"/>
      <c r="SQA12" s="20"/>
      <c r="SQB12" s="20"/>
      <c r="SQC12" s="20"/>
      <c r="SQD12" s="20"/>
      <c r="SQE12" s="20"/>
      <c r="SQF12" s="20"/>
      <c r="SQG12" s="20"/>
      <c r="SQH12" s="20"/>
      <c r="SQI12" s="20"/>
      <c r="SQJ12" s="20"/>
      <c r="SQK12" s="20"/>
      <c r="SQL12" s="20"/>
      <c r="SQM12" s="20"/>
      <c r="SQN12" s="20"/>
      <c r="SQO12" s="20"/>
      <c r="SQP12" s="20"/>
      <c r="SQQ12" s="20"/>
      <c r="SQR12" s="20"/>
      <c r="SQS12" s="20"/>
      <c r="SQT12" s="20"/>
      <c r="SQU12" s="20"/>
      <c r="SQV12" s="20"/>
      <c r="SQW12" s="20"/>
      <c r="SQX12" s="20"/>
      <c r="SQY12" s="20"/>
      <c r="SQZ12" s="20"/>
      <c r="SRA12" s="20"/>
      <c r="SRB12" s="20"/>
      <c r="SRC12" s="20"/>
      <c r="SRD12" s="20"/>
      <c r="SRE12" s="20"/>
      <c r="SRF12" s="20"/>
      <c r="SRG12" s="20"/>
      <c r="SRH12" s="20"/>
      <c r="SRI12" s="20"/>
      <c r="SRJ12" s="20"/>
      <c r="SRK12" s="20"/>
      <c r="SRL12" s="20"/>
      <c r="SRM12" s="20"/>
      <c r="SRN12" s="20"/>
      <c r="SRO12" s="20"/>
      <c r="SRP12" s="20"/>
      <c r="SRQ12" s="20"/>
      <c r="SRR12" s="20"/>
      <c r="SRS12" s="20"/>
      <c r="SRT12" s="20"/>
      <c r="SRU12" s="20"/>
      <c r="SRV12" s="20"/>
      <c r="SRW12" s="20"/>
      <c r="SRX12" s="20"/>
      <c r="SRY12" s="20"/>
      <c r="SRZ12" s="20"/>
      <c r="SSA12" s="20"/>
      <c r="SSB12" s="20"/>
      <c r="SSC12" s="20"/>
      <c r="SSD12" s="20"/>
      <c r="SSE12" s="20"/>
      <c r="SSF12" s="20"/>
      <c r="SSG12" s="20"/>
      <c r="SSH12" s="20"/>
      <c r="SSI12" s="20"/>
      <c r="SSJ12" s="20"/>
      <c r="SSK12" s="20"/>
      <c r="SSL12" s="20"/>
      <c r="SSM12" s="20"/>
      <c r="SSN12" s="20"/>
      <c r="SSO12" s="20"/>
      <c r="SSP12" s="20"/>
      <c r="SSQ12" s="20"/>
      <c r="SSR12" s="20"/>
      <c r="SSS12" s="20"/>
      <c r="SST12" s="20"/>
      <c r="SSU12" s="20"/>
      <c r="SSV12" s="20"/>
      <c r="SSW12" s="20"/>
      <c r="SSX12" s="20"/>
      <c r="SSY12" s="20"/>
      <c r="SSZ12" s="20"/>
      <c r="STA12" s="20"/>
      <c r="STB12" s="20"/>
      <c r="STC12" s="20"/>
      <c r="STD12" s="20"/>
      <c r="STE12" s="20"/>
      <c r="STF12" s="20"/>
      <c r="STG12" s="20"/>
      <c r="STH12" s="20"/>
      <c r="STI12" s="20"/>
      <c r="STJ12" s="20"/>
      <c r="STK12" s="20"/>
      <c r="STL12" s="20"/>
      <c r="STM12" s="20"/>
      <c r="STN12" s="20"/>
      <c r="STO12" s="20"/>
      <c r="STP12" s="20"/>
      <c r="STQ12" s="20"/>
      <c r="STR12" s="20"/>
      <c r="STS12" s="20"/>
      <c r="STT12" s="20"/>
      <c r="STU12" s="20"/>
      <c r="STV12" s="20"/>
      <c r="STW12" s="20"/>
      <c r="STX12" s="20"/>
      <c r="STY12" s="20"/>
      <c r="STZ12" s="20"/>
      <c r="SUA12" s="20"/>
      <c r="SUB12" s="20"/>
      <c r="SUC12" s="20"/>
      <c r="SUD12" s="20"/>
      <c r="SUE12" s="20"/>
      <c r="SUF12" s="20"/>
      <c r="SUG12" s="20"/>
      <c r="SUH12" s="20"/>
      <c r="SUI12" s="20"/>
      <c r="SUJ12" s="20"/>
      <c r="SUK12" s="20"/>
      <c r="SUL12" s="20"/>
      <c r="SUM12" s="20"/>
      <c r="SUN12" s="20"/>
      <c r="SUO12" s="20"/>
      <c r="SUP12" s="20"/>
      <c r="SUQ12" s="20"/>
      <c r="SUR12" s="20"/>
      <c r="SUS12" s="20"/>
      <c r="SUT12" s="20"/>
      <c r="SUU12" s="20"/>
      <c r="SUV12" s="20"/>
      <c r="SUW12" s="20"/>
      <c r="SUX12" s="20"/>
      <c r="SUY12" s="20"/>
      <c r="SUZ12" s="20"/>
      <c r="SVA12" s="20"/>
      <c r="SVB12" s="20"/>
      <c r="SVC12" s="20"/>
      <c r="SVD12" s="20"/>
      <c r="SVE12" s="20"/>
      <c r="SVF12" s="20"/>
      <c r="SVG12" s="20"/>
      <c r="SVH12" s="20"/>
      <c r="SVI12" s="20"/>
      <c r="SVJ12" s="20"/>
      <c r="SVK12" s="20"/>
      <c r="SVL12" s="20"/>
      <c r="SVM12" s="20"/>
      <c r="SVN12" s="20"/>
      <c r="SVO12" s="20"/>
      <c r="SVP12" s="20"/>
      <c r="SVQ12" s="20"/>
      <c r="SVR12" s="20"/>
      <c r="SVS12" s="20"/>
      <c r="SVT12" s="20"/>
      <c r="SVU12" s="20"/>
      <c r="SVV12" s="20"/>
      <c r="SVW12" s="20"/>
      <c r="SVX12" s="20"/>
      <c r="SVY12" s="20"/>
      <c r="SVZ12" s="20"/>
      <c r="SWA12" s="20"/>
      <c r="SWB12" s="20"/>
      <c r="SWC12" s="20"/>
      <c r="SWD12" s="20"/>
      <c r="SWE12" s="20"/>
      <c r="SWF12" s="20"/>
      <c r="SWG12" s="20"/>
      <c r="SWH12" s="20"/>
      <c r="SWI12" s="20"/>
      <c r="SWJ12" s="20"/>
      <c r="SWK12" s="20"/>
      <c r="SWL12" s="20"/>
      <c r="SWM12" s="20"/>
      <c r="SWN12" s="20"/>
      <c r="SWO12" s="20"/>
      <c r="SWP12" s="20"/>
      <c r="SWQ12" s="20"/>
      <c r="SWR12" s="20"/>
      <c r="SWS12" s="20"/>
      <c r="SWT12" s="20"/>
      <c r="SWU12" s="20"/>
      <c r="SWV12" s="20"/>
      <c r="SWW12" s="20"/>
      <c r="SWX12" s="20"/>
      <c r="SWY12" s="20"/>
      <c r="SWZ12" s="20"/>
      <c r="SXA12" s="20"/>
      <c r="SXB12" s="20"/>
      <c r="SXC12" s="20"/>
      <c r="SXD12" s="20"/>
      <c r="SXE12" s="20"/>
      <c r="SXF12" s="20"/>
      <c r="SXG12" s="20"/>
      <c r="SXH12" s="20"/>
      <c r="SXI12" s="20"/>
      <c r="SXJ12" s="20"/>
      <c r="SXK12" s="20"/>
      <c r="SXL12" s="20"/>
      <c r="SXM12" s="20"/>
      <c r="SXN12" s="20"/>
      <c r="SXO12" s="20"/>
      <c r="SXP12" s="20"/>
      <c r="SXQ12" s="20"/>
      <c r="SXR12" s="20"/>
      <c r="SXS12" s="20"/>
      <c r="SXT12" s="20"/>
      <c r="SXU12" s="20"/>
      <c r="SXV12" s="20"/>
      <c r="SXW12" s="20"/>
      <c r="SXX12" s="20"/>
      <c r="SXY12" s="20"/>
      <c r="SXZ12" s="20"/>
      <c r="SYA12" s="20"/>
      <c r="SYB12" s="20"/>
      <c r="SYC12" s="20"/>
      <c r="SYD12" s="20"/>
      <c r="SYE12" s="20"/>
      <c r="SYF12" s="20"/>
      <c r="SYG12" s="20"/>
      <c r="SYH12" s="20"/>
      <c r="SYI12" s="20"/>
      <c r="SYJ12" s="20"/>
      <c r="SYK12" s="20"/>
      <c r="SYL12" s="20"/>
      <c r="SYM12" s="20"/>
      <c r="SYN12" s="20"/>
      <c r="SYO12" s="20"/>
      <c r="SYP12" s="20"/>
      <c r="SYQ12" s="20"/>
      <c r="SYR12" s="20"/>
      <c r="SYS12" s="20"/>
      <c r="SYT12" s="20"/>
      <c r="SYU12" s="20"/>
      <c r="SYV12" s="20"/>
      <c r="SYW12" s="20"/>
      <c r="SYX12" s="20"/>
      <c r="SYY12" s="20"/>
      <c r="SYZ12" s="20"/>
      <c r="SZA12" s="20"/>
      <c r="SZB12" s="20"/>
      <c r="SZC12" s="20"/>
      <c r="SZD12" s="20"/>
      <c r="SZE12" s="20"/>
      <c r="SZF12" s="20"/>
      <c r="SZG12" s="20"/>
      <c r="SZH12" s="20"/>
      <c r="SZI12" s="20"/>
      <c r="SZJ12" s="20"/>
      <c r="SZK12" s="20"/>
      <c r="SZL12" s="20"/>
      <c r="SZM12" s="20"/>
      <c r="SZN12" s="20"/>
      <c r="SZO12" s="20"/>
      <c r="SZP12" s="20"/>
      <c r="SZQ12" s="20"/>
      <c r="SZR12" s="20"/>
      <c r="SZS12" s="20"/>
      <c r="SZT12" s="20"/>
      <c r="SZU12" s="20"/>
      <c r="SZV12" s="20"/>
      <c r="SZW12" s="20"/>
      <c r="SZX12" s="20"/>
      <c r="SZY12" s="20"/>
      <c r="SZZ12" s="20"/>
      <c r="TAA12" s="20"/>
      <c r="TAB12" s="20"/>
      <c r="TAC12" s="20"/>
      <c r="TAD12" s="20"/>
      <c r="TAE12" s="20"/>
      <c r="TAF12" s="20"/>
      <c r="TAG12" s="20"/>
      <c r="TAH12" s="20"/>
      <c r="TAI12" s="20"/>
      <c r="TAJ12" s="20"/>
      <c r="TAK12" s="20"/>
      <c r="TAL12" s="20"/>
      <c r="TAM12" s="20"/>
      <c r="TAN12" s="20"/>
      <c r="TAO12" s="20"/>
      <c r="TAP12" s="20"/>
      <c r="TAQ12" s="20"/>
      <c r="TAR12" s="20"/>
      <c r="TAS12" s="20"/>
      <c r="TAT12" s="20"/>
      <c r="TAU12" s="20"/>
      <c r="TAV12" s="20"/>
      <c r="TAW12" s="20"/>
      <c r="TAX12" s="20"/>
      <c r="TAY12" s="20"/>
      <c r="TAZ12" s="20"/>
      <c r="TBA12" s="20"/>
      <c r="TBB12" s="20"/>
      <c r="TBC12" s="20"/>
      <c r="TBD12" s="20"/>
      <c r="TBE12" s="20"/>
      <c r="TBF12" s="20"/>
      <c r="TBG12" s="20"/>
      <c r="TBH12" s="20"/>
      <c r="TBI12" s="20"/>
      <c r="TBJ12" s="20"/>
      <c r="TBK12" s="20"/>
      <c r="TBL12" s="20"/>
      <c r="TBM12" s="20"/>
      <c r="TBN12" s="20"/>
      <c r="TBO12" s="20"/>
      <c r="TBP12" s="20"/>
      <c r="TBQ12" s="20"/>
      <c r="TBR12" s="20"/>
      <c r="TBS12" s="20"/>
      <c r="TBT12" s="20"/>
      <c r="TBU12" s="20"/>
      <c r="TBV12" s="20"/>
      <c r="TBW12" s="20"/>
      <c r="TBX12" s="20"/>
      <c r="TBY12" s="20"/>
      <c r="TBZ12" s="20"/>
      <c r="TCA12" s="20"/>
      <c r="TCB12" s="20"/>
      <c r="TCC12" s="20"/>
      <c r="TCD12" s="20"/>
      <c r="TCE12" s="20"/>
      <c r="TCF12" s="20"/>
      <c r="TCG12" s="20"/>
      <c r="TCH12" s="20"/>
      <c r="TCI12" s="20"/>
      <c r="TCJ12" s="20"/>
      <c r="TCK12" s="20"/>
      <c r="TCL12" s="20"/>
      <c r="TCM12" s="20"/>
      <c r="TCN12" s="20"/>
      <c r="TCO12" s="20"/>
      <c r="TCP12" s="20"/>
      <c r="TCQ12" s="20"/>
      <c r="TCR12" s="20"/>
      <c r="TCS12" s="20"/>
      <c r="TCT12" s="20"/>
      <c r="TCU12" s="20"/>
      <c r="TCV12" s="20"/>
      <c r="TCW12" s="20"/>
      <c r="TCX12" s="20"/>
      <c r="TCY12" s="20"/>
      <c r="TCZ12" s="20"/>
      <c r="TDA12" s="20"/>
      <c r="TDB12" s="20"/>
      <c r="TDC12" s="20"/>
      <c r="TDD12" s="20"/>
      <c r="TDE12" s="20"/>
      <c r="TDF12" s="20"/>
      <c r="TDG12" s="20"/>
      <c r="TDH12" s="20"/>
      <c r="TDI12" s="20"/>
      <c r="TDJ12" s="20"/>
      <c r="TDK12" s="20"/>
      <c r="TDL12" s="20"/>
      <c r="TDM12" s="20"/>
      <c r="TDN12" s="20"/>
      <c r="TDO12" s="20"/>
      <c r="TDP12" s="20"/>
      <c r="TDQ12" s="20"/>
      <c r="TDR12" s="20"/>
      <c r="TDS12" s="20"/>
      <c r="TDT12" s="20"/>
      <c r="TDU12" s="20"/>
      <c r="TDV12" s="20"/>
      <c r="TDW12" s="20"/>
      <c r="TDX12" s="20"/>
      <c r="TDY12" s="20"/>
      <c r="TDZ12" s="20"/>
      <c r="TEA12" s="20"/>
      <c r="TEB12" s="20"/>
      <c r="TEC12" s="20"/>
      <c r="TED12" s="20"/>
      <c r="TEE12" s="20"/>
      <c r="TEF12" s="20"/>
      <c r="TEG12" s="20"/>
      <c r="TEH12" s="20"/>
      <c r="TEI12" s="20"/>
      <c r="TEJ12" s="20"/>
      <c r="TEK12" s="20"/>
      <c r="TEL12" s="20"/>
      <c r="TEM12" s="20"/>
      <c r="TEN12" s="20"/>
      <c r="TEO12" s="20"/>
      <c r="TEP12" s="20"/>
      <c r="TEQ12" s="20"/>
      <c r="TER12" s="20"/>
      <c r="TES12" s="20"/>
      <c r="TET12" s="20"/>
      <c r="TEU12" s="20"/>
      <c r="TEV12" s="20"/>
      <c r="TEW12" s="20"/>
      <c r="TEX12" s="20"/>
      <c r="TEY12" s="20"/>
      <c r="TEZ12" s="20"/>
      <c r="TFA12" s="20"/>
      <c r="TFB12" s="20"/>
      <c r="TFC12" s="20"/>
      <c r="TFD12" s="20"/>
      <c r="TFE12" s="20"/>
      <c r="TFF12" s="20"/>
      <c r="TFG12" s="20"/>
      <c r="TFH12" s="20"/>
      <c r="TFI12" s="20"/>
      <c r="TFJ12" s="20"/>
      <c r="TFK12" s="20"/>
      <c r="TFL12" s="20"/>
      <c r="TFM12" s="20"/>
      <c r="TFN12" s="20"/>
      <c r="TFO12" s="20"/>
      <c r="TFP12" s="20"/>
      <c r="TFQ12" s="20"/>
      <c r="TFR12" s="20"/>
      <c r="TFS12" s="20"/>
      <c r="TFT12" s="20"/>
      <c r="TFU12" s="20"/>
      <c r="TFV12" s="20"/>
      <c r="TFW12" s="20"/>
      <c r="TFX12" s="20"/>
      <c r="TFY12" s="20"/>
      <c r="TFZ12" s="20"/>
      <c r="TGA12" s="20"/>
      <c r="TGB12" s="20"/>
      <c r="TGC12" s="20"/>
      <c r="TGD12" s="20"/>
      <c r="TGE12" s="20"/>
      <c r="TGF12" s="20"/>
      <c r="TGG12" s="20"/>
      <c r="TGH12" s="20"/>
      <c r="TGI12" s="20"/>
      <c r="TGJ12" s="20"/>
      <c r="TGK12" s="20"/>
      <c r="TGL12" s="20"/>
      <c r="TGM12" s="20"/>
      <c r="TGN12" s="20"/>
      <c r="TGO12" s="20"/>
      <c r="TGP12" s="20"/>
      <c r="TGQ12" s="20"/>
      <c r="TGR12" s="20"/>
      <c r="TGS12" s="20"/>
      <c r="TGT12" s="20"/>
      <c r="TGU12" s="20"/>
      <c r="TGV12" s="20"/>
      <c r="TGW12" s="20"/>
      <c r="TGX12" s="20"/>
      <c r="TGY12" s="20"/>
      <c r="TGZ12" s="20"/>
      <c r="THA12" s="20"/>
      <c r="THB12" s="20"/>
      <c r="THC12" s="20"/>
      <c r="THD12" s="20"/>
      <c r="THE12" s="20"/>
      <c r="THF12" s="20"/>
      <c r="THG12" s="20"/>
      <c r="THH12" s="20"/>
      <c r="THI12" s="20"/>
      <c r="THJ12" s="20"/>
      <c r="THK12" s="20"/>
      <c r="THL12" s="20"/>
      <c r="THM12" s="20"/>
      <c r="THN12" s="20"/>
      <c r="THO12" s="20"/>
      <c r="THP12" s="20"/>
      <c r="THQ12" s="20"/>
      <c r="THR12" s="20"/>
      <c r="THS12" s="20"/>
      <c r="THT12" s="20"/>
      <c r="THU12" s="20"/>
      <c r="THV12" s="20"/>
      <c r="THW12" s="20"/>
      <c r="THX12" s="20"/>
      <c r="THY12" s="20"/>
      <c r="THZ12" s="20"/>
      <c r="TIA12" s="20"/>
      <c r="TIB12" s="20"/>
      <c r="TIC12" s="20"/>
      <c r="TID12" s="20"/>
      <c r="TIE12" s="20"/>
      <c r="TIF12" s="20"/>
      <c r="TIG12" s="20"/>
      <c r="TIH12" s="20"/>
      <c r="TII12" s="20"/>
      <c r="TIJ12" s="20"/>
      <c r="TIK12" s="20"/>
      <c r="TIL12" s="20"/>
      <c r="TIM12" s="20"/>
      <c r="TIN12" s="20"/>
      <c r="TIO12" s="20"/>
      <c r="TIP12" s="20"/>
      <c r="TIQ12" s="20"/>
      <c r="TIR12" s="20"/>
      <c r="TIS12" s="20"/>
      <c r="TIT12" s="20"/>
      <c r="TIU12" s="20"/>
      <c r="TIV12" s="20"/>
      <c r="TIW12" s="20"/>
      <c r="TIX12" s="20"/>
      <c r="TIY12" s="20"/>
      <c r="TIZ12" s="20"/>
      <c r="TJA12" s="20"/>
      <c r="TJB12" s="20"/>
      <c r="TJC12" s="20"/>
      <c r="TJD12" s="20"/>
      <c r="TJE12" s="20"/>
      <c r="TJF12" s="20"/>
      <c r="TJG12" s="20"/>
      <c r="TJH12" s="20"/>
      <c r="TJI12" s="20"/>
      <c r="TJJ12" s="20"/>
      <c r="TJK12" s="20"/>
      <c r="TJL12" s="20"/>
      <c r="TJM12" s="20"/>
      <c r="TJN12" s="20"/>
      <c r="TJO12" s="20"/>
      <c r="TJP12" s="20"/>
      <c r="TJQ12" s="20"/>
      <c r="TJR12" s="20"/>
      <c r="TJS12" s="20"/>
      <c r="TJT12" s="20"/>
      <c r="TJU12" s="20"/>
      <c r="TJV12" s="20"/>
      <c r="TJW12" s="20"/>
      <c r="TJX12" s="20"/>
      <c r="TJY12" s="20"/>
      <c r="TJZ12" s="20"/>
      <c r="TKA12" s="20"/>
      <c r="TKB12" s="20"/>
      <c r="TKC12" s="20"/>
      <c r="TKD12" s="20"/>
      <c r="TKE12" s="20"/>
      <c r="TKF12" s="20"/>
      <c r="TKG12" s="20"/>
      <c r="TKH12" s="20"/>
      <c r="TKI12" s="20"/>
      <c r="TKJ12" s="20"/>
      <c r="TKK12" s="20"/>
      <c r="TKL12" s="20"/>
      <c r="TKM12" s="20"/>
      <c r="TKN12" s="20"/>
      <c r="TKO12" s="20"/>
      <c r="TKP12" s="20"/>
      <c r="TKQ12" s="20"/>
      <c r="TKR12" s="20"/>
      <c r="TKS12" s="20"/>
      <c r="TKT12" s="20"/>
      <c r="TKU12" s="20"/>
      <c r="TKV12" s="20"/>
      <c r="TKW12" s="20"/>
      <c r="TKX12" s="20"/>
      <c r="TKY12" s="20"/>
      <c r="TKZ12" s="20"/>
      <c r="TLA12" s="20"/>
      <c r="TLB12" s="20"/>
      <c r="TLC12" s="20"/>
      <c r="TLD12" s="20"/>
      <c r="TLE12" s="20"/>
      <c r="TLF12" s="20"/>
      <c r="TLG12" s="20"/>
      <c r="TLH12" s="20"/>
      <c r="TLI12" s="20"/>
      <c r="TLJ12" s="20"/>
      <c r="TLK12" s="20"/>
      <c r="TLL12" s="20"/>
      <c r="TLM12" s="20"/>
      <c r="TLN12" s="20"/>
      <c r="TLO12" s="20"/>
      <c r="TLP12" s="20"/>
      <c r="TLQ12" s="20"/>
      <c r="TLR12" s="20"/>
      <c r="TLS12" s="20"/>
      <c r="TLT12" s="20"/>
      <c r="TLU12" s="20"/>
      <c r="TLV12" s="20"/>
      <c r="TLW12" s="20"/>
      <c r="TLX12" s="20"/>
      <c r="TLY12" s="20"/>
      <c r="TLZ12" s="20"/>
      <c r="TMA12" s="20"/>
      <c r="TMB12" s="20"/>
      <c r="TMC12" s="20"/>
      <c r="TMD12" s="20"/>
      <c r="TME12" s="20"/>
      <c r="TMF12" s="20"/>
      <c r="TMG12" s="20"/>
      <c r="TMH12" s="20"/>
      <c r="TMI12" s="20"/>
      <c r="TMJ12" s="20"/>
      <c r="TMK12" s="20"/>
      <c r="TML12" s="20"/>
      <c r="TMM12" s="20"/>
      <c r="TMN12" s="20"/>
      <c r="TMO12" s="20"/>
      <c r="TMP12" s="20"/>
      <c r="TMQ12" s="20"/>
      <c r="TMR12" s="20"/>
      <c r="TMS12" s="20"/>
      <c r="TMT12" s="20"/>
      <c r="TMU12" s="20"/>
      <c r="TMV12" s="20"/>
      <c r="TMW12" s="20"/>
      <c r="TMX12" s="20"/>
      <c r="TMY12" s="20"/>
      <c r="TMZ12" s="20"/>
      <c r="TNA12" s="20"/>
      <c r="TNB12" s="20"/>
      <c r="TNC12" s="20"/>
      <c r="TND12" s="20"/>
      <c r="TNE12" s="20"/>
      <c r="TNF12" s="20"/>
      <c r="TNG12" s="20"/>
      <c r="TNH12" s="20"/>
      <c r="TNI12" s="20"/>
      <c r="TNJ12" s="20"/>
      <c r="TNK12" s="20"/>
      <c r="TNL12" s="20"/>
      <c r="TNM12" s="20"/>
      <c r="TNN12" s="20"/>
      <c r="TNO12" s="20"/>
      <c r="TNP12" s="20"/>
      <c r="TNQ12" s="20"/>
      <c r="TNR12" s="20"/>
      <c r="TNS12" s="20"/>
      <c r="TNT12" s="20"/>
      <c r="TNU12" s="20"/>
      <c r="TNV12" s="20"/>
      <c r="TNW12" s="20"/>
      <c r="TNX12" s="20"/>
      <c r="TNY12" s="20"/>
      <c r="TNZ12" s="20"/>
      <c r="TOA12" s="20"/>
      <c r="TOB12" s="20"/>
      <c r="TOC12" s="20"/>
      <c r="TOD12" s="20"/>
      <c r="TOE12" s="20"/>
      <c r="TOF12" s="20"/>
      <c r="TOG12" s="20"/>
      <c r="TOH12" s="20"/>
      <c r="TOI12" s="20"/>
      <c r="TOJ12" s="20"/>
      <c r="TOK12" s="20"/>
      <c r="TOL12" s="20"/>
      <c r="TOM12" s="20"/>
      <c r="TON12" s="20"/>
      <c r="TOO12" s="20"/>
      <c r="TOP12" s="20"/>
      <c r="TOQ12" s="20"/>
      <c r="TOR12" s="20"/>
      <c r="TOS12" s="20"/>
      <c r="TOT12" s="20"/>
      <c r="TOU12" s="20"/>
      <c r="TOV12" s="20"/>
      <c r="TOW12" s="20"/>
      <c r="TOX12" s="20"/>
      <c r="TOY12" s="20"/>
      <c r="TOZ12" s="20"/>
      <c r="TPA12" s="20"/>
      <c r="TPB12" s="20"/>
      <c r="TPC12" s="20"/>
      <c r="TPD12" s="20"/>
      <c r="TPE12" s="20"/>
      <c r="TPF12" s="20"/>
      <c r="TPG12" s="20"/>
      <c r="TPH12" s="20"/>
      <c r="TPI12" s="20"/>
      <c r="TPJ12" s="20"/>
      <c r="TPK12" s="20"/>
      <c r="TPL12" s="20"/>
      <c r="TPM12" s="20"/>
      <c r="TPN12" s="20"/>
      <c r="TPO12" s="20"/>
      <c r="TPP12" s="20"/>
      <c r="TPQ12" s="20"/>
      <c r="TPR12" s="20"/>
      <c r="TPS12" s="20"/>
      <c r="TPT12" s="20"/>
      <c r="TPU12" s="20"/>
      <c r="TPV12" s="20"/>
      <c r="TPW12" s="20"/>
      <c r="TPX12" s="20"/>
      <c r="TPY12" s="20"/>
      <c r="TPZ12" s="20"/>
      <c r="TQA12" s="20"/>
      <c r="TQB12" s="20"/>
      <c r="TQC12" s="20"/>
      <c r="TQD12" s="20"/>
      <c r="TQE12" s="20"/>
      <c r="TQF12" s="20"/>
      <c r="TQG12" s="20"/>
      <c r="TQH12" s="20"/>
      <c r="TQI12" s="20"/>
      <c r="TQJ12" s="20"/>
      <c r="TQK12" s="20"/>
      <c r="TQL12" s="20"/>
      <c r="TQM12" s="20"/>
      <c r="TQN12" s="20"/>
      <c r="TQO12" s="20"/>
      <c r="TQP12" s="20"/>
      <c r="TQQ12" s="20"/>
      <c r="TQR12" s="20"/>
      <c r="TQS12" s="20"/>
      <c r="TQT12" s="20"/>
      <c r="TQU12" s="20"/>
      <c r="TQV12" s="20"/>
      <c r="TQW12" s="20"/>
      <c r="TQX12" s="20"/>
      <c r="TQY12" s="20"/>
      <c r="TQZ12" s="20"/>
      <c r="TRA12" s="20"/>
      <c r="TRB12" s="20"/>
      <c r="TRC12" s="20"/>
      <c r="TRD12" s="20"/>
      <c r="TRE12" s="20"/>
      <c r="TRF12" s="20"/>
      <c r="TRG12" s="20"/>
      <c r="TRH12" s="20"/>
      <c r="TRI12" s="20"/>
      <c r="TRJ12" s="20"/>
      <c r="TRK12" s="20"/>
      <c r="TRL12" s="20"/>
      <c r="TRM12" s="20"/>
      <c r="TRN12" s="20"/>
      <c r="TRO12" s="20"/>
      <c r="TRP12" s="20"/>
      <c r="TRQ12" s="20"/>
      <c r="TRR12" s="20"/>
      <c r="TRS12" s="20"/>
      <c r="TRT12" s="20"/>
      <c r="TRU12" s="20"/>
      <c r="TRV12" s="20"/>
      <c r="TRW12" s="20"/>
      <c r="TRX12" s="20"/>
      <c r="TRY12" s="20"/>
      <c r="TRZ12" s="20"/>
      <c r="TSA12" s="20"/>
      <c r="TSB12" s="20"/>
      <c r="TSC12" s="20"/>
      <c r="TSD12" s="20"/>
      <c r="TSE12" s="20"/>
      <c r="TSF12" s="20"/>
      <c r="TSG12" s="20"/>
      <c r="TSH12" s="20"/>
      <c r="TSI12" s="20"/>
      <c r="TSJ12" s="20"/>
      <c r="TSK12" s="20"/>
      <c r="TSL12" s="20"/>
      <c r="TSM12" s="20"/>
      <c r="TSN12" s="20"/>
      <c r="TSO12" s="20"/>
      <c r="TSP12" s="20"/>
      <c r="TSQ12" s="20"/>
      <c r="TSR12" s="20"/>
      <c r="TSS12" s="20"/>
      <c r="TST12" s="20"/>
      <c r="TSU12" s="20"/>
      <c r="TSV12" s="20"/>
      <c r="TSW12" s="20"/>
      <c r="TSX12" s="20"/>
      <c r="TSY12" s="20"/>
      <c r="TSZ12" s="20"/>
      <c r="TTA12" s="20"/>
      <c r="TTB12" s="20"/>
      <c r="TTC12" s="20"/>
      <c r="TTD12" s="20"/>
      <c r="TTE12" s="20"/>
      <c r="TTF12" s="20"/>
      <c r="TTG12" s="20"/>
      <c r="TTH12" s="20"/>
      <c r="TTI12" s="20"/>
      <c r="TTJ12" s="20"/>
      <c r="TTK12" s="20"/>
      <c r="TTL12" s="20"/>
      <c r="TTM12" s="20"/>
      <c r="TTN12" s="20"/>
      <c r="TTO12" s="20"/>
      <c r="TTP12" s="20"/>
      <c r="TTQ12" s="20"/>
      <c r="TTR12" s="20"/>
      <c r="TTS12" s="20"/>
      <c r="TTT12" s="20"/>
      <c r="TTU12" s="20"/>
      <c r="TTV12" s="20"/>
      <c r="TTW12" s="20"/>
      <c r="TTX12" s="20"/>
      <c r="TTY12" s="20"/>
      <c r="TTZ12" s="20"/>
      <c r="TUA12" s="20"/>
      <c r="TUB12" s="20"/>
      <c r="TUC12" s="20"/>
      <c r="TUD12" s="20"/>
      <c r="TUE12" s="20"/>
      <c r="TUF12" s="20"/>
      <c r="TUG12" s="20"/>
      <c r="TUH12" s="20"/>
      <c r="TUI12" s="20"/>
      <c r="TUJ12" s="20"/>
      <c r="TUK12" s="20"/>
      <c r="TUL12" s="20"/>
      <c r="TUM12" s="20"/>
      <c r="TUN12" s="20"/>
      <c r="TUO12" s="20"/>
      <c r="TUP12" s="20"/>
      <c r="TUQ12" s="20"/>
      <c r="TUR12" s="20"/>
      <c r="TUS12" s="20"/>
      <c r="TUT12" s="20"/>
      <c r="TUU12" s="20"/>
      <c r="TUV12" s="20"/>
      <c r="TUW12" s="20"/>
      <c r="TUX12" s="20"/>
      <c r="TUY12" s="20"/>
      <c r="TUZ12" s="20"/>
      <c r="TVA12" s="20"/>
      <c r="TVB12" s="20"/>
      <c r="TVC12" s="20"/>
      <c r="TVD12" s="20"/>
      <c r="TVE12" s="20"/>
      <c r="TVF12" s="20"/>
      <c r="TVG12" s="20"/>
      <c r="TVH12" s="20"/>
      <c r="TVI12" s="20"/>
      <c r="TVJ12" s="20"/>
      <c r="TVK12" s="20"/>
      <c r="TVL12" s="20"/>
      <c r="TVM12" s="20"/>
      <c r="TVN12" s="20"/>
      <c r="TVO12" s="20"/>
      <c r="TVP12" s="20"/>
      <c r="TVQ12" s="20"/>
      <c r="TVR12" s="20"/>
      <c r="TVS12" s="20"/>
      <c r="TVT12" s="20"/>
      <c r="TVU12" s="20"/>
      <c r="TVV12" s="20"/>
      <c r="TVW12" s="20"/>
      <c r="TVX12" s="20"/>
      <c r="TVY12" s="20"/>
      <c r="TVZ12" s="20"/>
      <c r="TWA12" s="20"/>
      <c r="TWB12" s="20"/>
      <c r="TWC12" s="20"/>
      <c r="TWD12" s="20"/>
      <c r="TWE12" s="20"/>
      <c r="TWF12" s="20"/>
      <c r="TWG12" s="20"/>
      <c r="TWH12" s="20"/>
      <c r="TWI12" s="20"/>
      <c r="TWJ12" s="20"/>
      <c r="TWK12" s="20"/>
      <c r="TWL12" s="20"/>
      <c r="TWM12" s="20"/>
      <c r="TWN12" s="20"/>
      <c r="TWO12" s="20"/>
      <c r="TWP12" s="20"/>
      <c r="TWQ12" s="20"/>
      <c r="TWR12" s="20"/>
      <c r="TWS12" s="20"/>
      <c r="TWT12" s="20"/>
      <c r="TWU12" s="20"/>
      <c r="TWV12" s="20"/>
      <c r="TWW12" s="20"/>
      <c r="TWX12" s="20"/>
      <c r="TWY12" s="20"/>
      <c r="TWZ12" s="20"/>
      <c r="TXA12" s="20"/>
      <c r="TXB12" s="20"/>
      <c r="TXC12" s="20"/>
      <c r="TXD12" s="20"/>
      <c r="TXE12" s="20"/>
      <c r="TXF12" s="20"/>
      <c r="TXG12" s="20"/>
      <c r="TXH12" s="20"/>
      <c r="TXI12" s="20"/>
      <c r="TXJ12" s="20"/>
      <c r="TXK12" s="20"/>
      <c r="TXL12" s="20"/>
      <c r="TXM12" s="20"/>
      <c r="TXN12" s="20"/>
      <c r="TXO12" s="20"/>
      <c r="TXP12" s="20"/>
      <c r="TXQ12" s="20"/>
      <c r="TXR12" s="20"/>
      <c r="TXS12" s="20"/>
      <c r="TXT12" s="20"/>
      <c r="TXU12" s="20"/>
      <c r="TXV12" s="20"/>
      <c r="TXW12" s="20"/>
      <c r="TXX12" s="20"/>
      <c r="TXY12" s="20"/>
      <c r="TXZ12" s="20"/>
      <c r="TYA12" s="20"/>
      <c r="TYB12" s="20"/>
      <c r="TYC12" s="20"/>
      <c r="TYD12" s="20"/>
      <c r="TYE12" s="20"/>
      <c r="TYF12" s="20"/>
      <c r="TYG12" s="20"/>
      <c r="TYH12" s="20"/>
      <c r="TYI12" s="20"/>
      <c r="TYJ12" s="20"/>
      <c r="TYK12" s="20"/>
      <c r="TYL12" s="20"/>
      <c r="TYM12" s="20"/>
      <c r="TYN12" s="20"/>
      <c r="TYO12" s="20"/>
      <c r="TYP12" s="20"/>
      <c r="TYQ12" s="20"/>
      <c r="TYR12" s="20"/>
      <c r="TYS12" s="20"/>
      <c r="TYT12" s="20"/>
      <c r="TYU12" s="20"/>
      <c r="TYV12" s="20"/>
      <c r="TYW12" s="20"/>
      <c r="TYX12" s="20"/>
      <c r="TYY12" s="20"/>
      <c r="TYZ12" s="20"/>
      <c r="TZA12" s="20"/>
      <c r="TZB12" s="20"/>
      <c r="TZC12" s="20"/>
      <c r="TZD12" s="20"/>
      <c r="TZE12" s="20"/>
      <c r="TZF12" s="20"/>
      <c r="TZG12" s="20"/>
      <c r="TZH12" s="20"/>
      <c r="TZI12" s="20"/>
      <c r="TZJ12" s="20"/>
      <c r="TZK12" s="20"/>
      <c r="TZL12" s="20"/>
      <c r="TZM12" s="20"/>
      <c r="TZN12" s="20"/>
      <c r="TZO12" s="20"/>
      <c r="TZP12" s="20"/>
      <c r="TZQ12" s="20"/>
      <c r="TZR12" s="20"/>
      <c r="TZS12" s="20"/>
      <c r="TZT12" s="20"/>
      <c r="TZU12" s="20"/>
      <c r="TZV12" s="20"/>
      <c r="TZW12" s="20"/>
      <c r="TZX12" s="20"/>
      <c r="TZY12" s="20"/>
      <c r="TZZ12" s="20"/>
      <c r="UAA12" s="20"/>
      <c r="UAB12" s="20"/>
      <c r="UAC12" s="20"/>
      <c r="UAD12" s="20"/>
      <c r="UAE12" s="20"/>
      <c r="UAF12" s="20"/>
      <c r="UAG12" s="20"/>
      <c r="UAH12" s="20"/>
      <c r="UAI12" s="20"/>
      <c r="UAJ12" s="20"/>
      <c r="UAK12" s="20"/>
      <c r="UAL12" s="20"/>
      <c r="UAM12" s="20"/>
      <c r="UAN12" s="20"/>
      <c r="UAO12" s="20"/>
      <c r="UAP12" s="20"/>
      <c r="UAQ12" s="20"/>
      <c r="UAR12" s="20"/>
      <c r="UAS12" s="20"/>
      <c r="UAT12" s="20"/>
      <c r="UAU12" s="20"/>
      <c r="UAV12" s="20"/>
      <c r="UAW12" s="20"/>
      <c r="UAX12" s="20"/>
      <c r="UAY12" s="20"/>
      <c r="UAZ12" s="20"/>
      <c r="UBA12" s="20"/>
      <c r="UBB12" s="20"/>
      <c r="UBC12" s="20"/>
      <c r="UBD12" s="20"/>
      <c r="UBE12" s="20"/>
      <c r="UBF12" s="20"/>
      <c r="UBG12" s="20"/>
      <c r="UBH12" s="20"/>
      <c r="UBI12" s="20"/>
      <c r="UBJ12" s="20"/>
      <c r="UBK12" s="20"/>
      <c r="UBL12" s="20"/>
      <c r="UBM12" s="20"/>
      <c r="UBN12" s="20"/>
      <c r="UBO12" s="20"/>
      <c r="UBP12" s="20"/>
      <c r="UBQ12" s="20"/>
      <c r="UBR12" s="20"/>
      <c r="UBS12" s="20"/>
      <c r="UBT12" s="20"/>
      <c r="UBU12" s="20"/>
      <c r="UBV12" s="20"/>
      <c r="UBW12" s="20"/>
      <c r="UBX12" s="20"/>
      <c r="UBY12" s="20"/>
      <c r="UBZ12" s="20"/>
      <c r="UCA12" s="20"/>
      <c r="UCB12" s="20"/>
      <c r="UCC12" s="20"/>
      <c r="UCD12" s="20"/>
      <c r="UCE12" s="20"/>
      <c r="UCF12" s="20"/>
      <c r="UCG12" s="20"/>
      <c r="UCH12" s="20"/>
      <c r="UCI12" s="20"/>
      <c r="UCJ12" s="20"/>
      <c r="UCK12" s="20"/>
      <c r="UCL12" s="20"/>
      <c r="UCM12" s="20"/>
      <c r="UCN12" s="20"/>
      <c r="UCO12" s="20"/>
      <c r="UCP12" s="20"/>
      <c r="UCQ12" s="20"/>
      <c r="UCR12" s="20"/>
      <c r="UCS12" s="20"/>
      <c r="UCT12" s="20"/>
      <c r="UCU12" s="20"/>
      <c r="UCV12" s="20"/>
      <c r="UCW12" s="20"/>
      <c r="UCX12" s="20"/>
      <c r="UCY12" s="20"/>
      <c r="UCZ12" s="20"/>
      <c r="UDA12" s="20"/>
      <c r="UDB12" s="20"/>
      <c r="UDC12" s="20"/>
      <c r="UDD12" s="20"/>
      <c r="UDE12" s="20"/>
      <c r="UDF12" s="20"/>
      <c r="UDG12" s="20"/>
      <c r="UDH12" s="20"/>
      <c r="UDI12" s="20"/>
      <c r="UDJ12" s="20"/>
      <c r="UDK12" s="20"/>
      <c r="UDL12" s="20"/>
      <c r="UDM12" s="20"/>
      <c r="UDN12" s="20"/>
      <c r="UDO12" s="20"/>
      <c r="UDP12" s="20"/>
      <c r="UDQ12" s="20"/>
      <c r="UDR12" s="20"/>
      <c r="UDS12" s="20"/>
      <c r="UDT12" s="20"/>
      <c r="UDU12" s="20"/>
      <c r="UDV12" s="20"/>
      <c r="UDW12" s="20"/>
      <c r="UDX12" s="20"/>
      <c r="UDY12" s="20"/>
      <c r="UDZ12" s="20"/>
      <c r="UEA12" s="20"/>
      <c r="UEB12" s="20"/>
      <c r="UEC12" s="20"/>
      <c r="UED12" s="20"/>
      <c r="UEE12" s="20"/>
      <c r="UEF12" s="20"/>
      <c r="UEG12" s="20"/>
      <c r="UEH12" s="20"/>
      <c r="UEI12" s="20"/>
      <c r="UEJ12" s="20"/>
      <c r="UEK12" s="20"/>
      <c r="UEL12" s="20"/>
      <c r="UEM12" s="20"/>
      <c r="UEN12" s="20"/>
      <c r="UEO12" s="20"/>
      <c r="UEP12" s="20"/>
      <c r="UEQ12" s="20"/>
      <c r="UER12" s="20"/>
      <c r="UES12" s="20"/>
      <c r="UET12" s="20"/>
      <c r="UEU12" s="20"/>
      <c r="UEV12" s="20"/>
      <c r="UEW12" s="20"/>
      <c r="UEX12" s="20"/>
      <c r="UEY12" s="20"/>
      <c r="UEZ12" s="20"/>
      <c r="UFA12" s="20"/>
      <c r="UFB12" s="20"/>
      <c r="UFC12" s="20"/>
      <c r="UFD12" s="20"/>
      <c r="UFE12" s="20"/>
      <c r="UFF12" s="20"/>
      <c r="UFG12" s="20"/>
      <c r="UFH12" s="20"/>
      <c r="UFI12" s="20"/>
      <c r="UFJ12" s="20"/>
      <c r="UFK12" s="20"/>
      <c r="UFL12" s="20"/>
      <c r="UFM12" s="20"/>
      <c r="UFN12" s="20"/>
      <c r="UFO12" s="20"/>
      <c r="UFP12" s="20"/>
      <c r="UFQ12" s="20"/>
      <c r="UFR12" s="20"/>
      <c r="UFS12" s="20"/>
      <c r="UFT12" s="20"/>
      <c r="UFU12" s="20"/>
      <c r="UFV12" s="20"/>
      <c r="UFW12" s="20"/>
      <c r="UFX12" s="20"/>
      <c r="UFY12" s="20"/>
      <c r="UFZ12" s="20"/>
      <c r="UGA12" s="20"/>
      <c r="UGB12" s="20"/>
      <c r="UGC12" s="20"/>
      <c r="UGD12" s="20"/>
      <c r="UGE12" s="20"/>
      <c r="UGF12" s="20"/>
      <c r="UGG12" s="20"/>
      <c r="UGH12" s="20"/>
      <c r="UGI12" s="20"/>
      <c r="UGJ12" s="20"/>
      <c r="UGK12" s="20"/>
      <c r="UGL12" s="20"/>
      <c r="UGM12" s="20"/>
      <c r="UGN12" s="20"/>
      <c r="UGO12" s="20"/>
      <c r="UGP12" s="20"/>
      <c r="UGQ12" s="20"/>
      <c r="UGR12" s="20"/>
      <c r="UGS12" s="20"/>
      <c r="UGT12" s="20"/>
      <c r="UGU12" s="20"/>
      <c r="UGV12" s="20"/>
      <c r="UGW12" s="20"/>
      <c r="UGX12" s="20"/>
      <c r="UGY12" s="20"/>
      <c r="UGZ12" s="20"/>
      <c r="UHA12" s="20"/>
      <c r="UHB12" s="20"/>
      <c r="UHC12" s="20"/>
      <c r="UHD12" s="20"/>
      <c r="UHE12" s="20"/>
      <c r="UHF12" s="20"/>
      <c r="UHG12" s="20"/>
      <c r="UHH12" s="20"/>
      <c r="UHI12" s="20"/>
      <c r="UHJ12" s="20"/>
      <c r="UHK12" s="20"/>
      <c r="UHL12" s="20"/>
      <c r="UHM12" s="20"/>
      <c r="UHN12" s="20"/>
      <c r="UHO12" s="20"/>
      <c r="UHP12" s="20"/>
      <c r="UHQ12" s="20"/>
      <c r="UHR12" s="20"/>
      <c r="UHS12" s="20"/>
      <c r="UHT12" s="20"/>
      <c r="UHU12" s="20"/>
      <c r="UHV12" s="20"/>
      <c r="UHW12" s="20"/>
      <c r="UHX12" s="20"/>
      <c r="UHY12" s="20"/>
      <c r="UHZ12" s="20"/>
      <c r="UIA12" s="20"/>
      <c r="UIB12" s="20"/>
      <c r="UIC12" s="20"/>
      <c r="UID12" s="20"/>
      <c r="UIE12" s="20"/>
      <c r="UIF12" s="20"/>
      <c r="UIG12" s="20"/>
      <c r="UIH12" s="20"/>
      <c r="UII12" s="20"/>
      <c r="UIJ12" s="20"/>
      <c r="UIK12" s="20"/>
      <c r="UIL12" s="20"/>
      <c r="UIM12" s="20"/>
      <c r="UIN12" s="20"/>
      <c r="UIO12" s="20"/>
      <c r="UIP12" s="20"/>
      <c r="UIQ12" s="20"/>
      <c r="UIR12" s="20"/>
      <c r="UIS12" s="20"/>
      <c r="UIT12" s="20"/>
      <c r="UIU12" s="20"/>
      <c r="UIV12" s="20"/>
      <c r="UIW12" s="20"/>
      <c r="UIX12" s="20"/>
      <c r="UIY12" s="20"/>
      <c r="UIZ12" s="20"/>
      <c r="UJA12" s="20"/>
      <c r="UJB12" s="20"/>
      <c r="UJC12" s="20"/>
      <c r="UJD12" s="20"/>
      <c r="UJE12" s="20"/>
      <c r="UJF12" s="20"/>
      <c r="UJG12" s="20"/>
      <c r="UJH12" s="20"/>
      <c r="UJI12" s="20"/>
      <c r="UJJ12" s="20"/>
      <c r="UJK12" s="20"/>
      <c r="UJL12" s="20"/>
      <c r="UJM12" s="20"/>
      <c r="UJN12" s="20"/>
      <c r="UJO12" s="20"/>
      <c r="UJP12" s="20"/>
      <c r="UJQ12" s="20"/>
      <c r="UJR12" s="20"/>
      <c r="UJS12" s="20"/>
      <c r="UJT12" s="20"/>
      <c r="UJU12" s="20"/>
      <c r="UJV12" s="20"/>
      <c r="UJW12" s="20"/>
      <c r="UJX12" s="20"/>
      <c r="UJY12" s="20"/>
      <c r="UJZ12" s="20"/>
      <c r="UKA12" s="20"/>
      <c r="UKB12" s="20"/>
      <c r="UKC12" s="20"/>
      <c r="UKD12" s="20"/>
      <c r="UKE12" s="20"/>
      <c r="UKF12" s="20"/>
      <c r="UKG12" s="20"/>
      <c r="UKH12" s="20"/>
      <c r="UKI12" s="20"/>
      <c r="UKJ12" s="20"/>
      <c r="UKK12" s="20"/>
      <c r="UKL12" s="20"/>
      <c r="UKM12" s="20"/>
      <c r="UKN12" s="20"/>
      <c r="UKO12" s="20"/>
      <c r="UKP12" s="20"/>
      <c r="UKQ12" s="20"/>
      <c r="UKR12" s="20"/>
      <c r="UKS12" s="20"/>
      <c r="UKT12" s="20"/>
      <c r="UKU12" s="20"/>
      <c r="UKV12" s="20"/>
      <c r="UKW12" s="20"/>
      <c r="UKX12" s="20"/>
      <c r="UKY12" s="20"/>
      <c r="UKZ12" s="20"/>
      <c r="ULA12" s="20"/>
      <c r="ULB12" s="20"/>
      <c r="ULC12" s="20"/>
      <c r="ULD12" s="20"/>
      <c r="ULE12" s="20"/>
      <c r="ULF12" s="20"/>
      <c r="ULG12" s="20"/>
      <c r="ULH12" s="20"/>
      <c r="ULI12" s="20"/>
      <c r="ULJ12" s="20"/>
      <c r="ULK12" s="20"/>
      <c r="ULL12" s="20"/>
      <c r="ULM12" s="20"/>
      <c r="ULN12" s="20"/>
      <c r="ULO12" s="20"/>
      <c r="ULP12" s="20"/>
      <c r="ULQ12" s="20"/>
      <c r="ULR12" s="20"/>
      <c r="ULS12" s="20"/>
      <c r="ULT12" s="20"/>
      <c r="ULU12" s="20"/>
      <c r="ULV12" s="20"/>
      <c r="ULW12" s="20"/>
      <c r="ULX12" s="20"/>
      <c r="ULY12" s="20"/>
      <c r="ULZ12" s="20"/>
      <c r="UMA12" s="20"/>
      <c r="UMB12" s="20"/>
      <c r="UMC12" s="20"/>
      <c r="UMD12" s="20"/>
      <c r="UME12" s="20"/>
      <c r="UMF12" s="20"/>
      <c r="UMG12" s="20"/>
      <c r="UMH12" s="20"/>
      <c r="UMI12" s="20"/>
      <c r="UMJ12" s="20"/>
      <c r="UMK12" s="20"/>
      <c r="UML12" s="20"/>
      <c r="UMM12" s="20"/>
      <c r="UMN12" s="20"/>
      <c r="UMO12" s="20"/>
      <c r="UMP12" s="20"/>
      <c r="UMQ12" s="20"/>
      <c r="UMR12" s="20"/>
      <c r="UMS12" s="20"/>
      <c r="UMT12" s="20"/>
      <c r="UMU12" s="20"/>
      <c r="UMV12" s="20"/>
      <c r="UMW12" s="20"/>
      <c r="UMX12" s="20"/>
      <c r="UMY12" s="20"/>
      <c r="UMZ12" s="20"/>
      <c r="UNA12" s="20"/>
      <c r="UNB12" s="20"/>
      <c r="UNC12" s="20"/>
      <c r="UND12" s="20"/>
      <c r="UNE12" s="20"/>
      <c r="UNF12" s="20"/>
      <c r="UNG12" s="20"/>
      <c r="UNH12" s="20"/>
      <c r="UNI12" s="20"/>
      <c r="UNJ12" s="20"/>
      <c r="UNK12" s="20"/>
      <c r="UNL12" s="20"/>
      <c r="UNM12" s="20"/>
      <c r="UNN12" s="20"/>
      <c r="UNO12" s="20"/>
      <c r="UNP12" s="20"/>
      <c r="UNQ12" s="20"/>
      <c r="UNR12" s="20"/>
      <c r="UNS12" s="20"/>
      <c r="UNT12" s="20"/>
      <c r="UNU12" s="20"/>
      <c r="UNV12" s="20"/>
      <c r="UNW12" s="20"/>
      <c r="UNX12" s="20"/>
      <c r="UNY12" s="20"/>
      <c r="UNZ12" s="20"/>
      <c r="UOA12" s="20"/>
      <c r="UOB12" s="20"/>
      <c r="UOC12" s="20"/>
      <c r="UOD12" s="20"/>
      <c r="UOE12" s="20"/>
      <c r="UOF12" s="20"/>
      <c r="UOG12" s="20"/>
      <c r="UOH12" s="20"/>
      <c r="UOI12" s="20"/>
      <c r="UOJ12" s="20"/>
      <c r="UOK12" s="20"/>
      <c r="UOL12" s="20"/>
      <c r="UOM12" s="20"/>
      <c r="UON12" s="20"/>
      <c r="UOO12" s="20"/>
      <c r="UOP12" s="20"/>
      <c r="UOQ12" s="20"/>
      <c r="UOR12" s="20"/>
      <c r="UOS12" s="20"/>
      <c r="UOT12" s="20"/>
      <c r="UOU12" s="20"/>
      <c r="UOV12" s="20"/>
      <c r="UOW12" s="20"/>
      <c r="UOX12" s="20"/>
      <c r="UOY12" s="20"/>
      <c r="UOZ12" s="20"/>
      <c r="UPA12" s="20"/>
      <c r="UPB12" s="20"/>
      <c r="UPC12" s="20"/>
      <c r="UPD12" s="20"/>
      <c r="UPE12" s="20"/>
      <c r="UPF12" s="20"/>
      <c r="UPG12" s="20"/>
      <c r="UPH12" s="20"/>
      <c r="UPI12" s="20"/>
      <c r="UPJ12" s="20"/>
      <c r="UPK12" s="20"/>
      <c r="UPL12" s="20"/>
      <c r="UPM12" s="20"/>
      <c r="UPN12" s="20"/>
      <c r="UPO12" s="20"/>
      <c r="UPP12" s="20"/>
      <c r="UPQ12" s="20"/>
      <c r="UPR12" s="20"/>
      <c r="UPS12" s="20"/>
      <c r="UPT12" s="20"/>
      <c r="UPU12" s="20"/>
      <c r="UPV12" s="20"/>
      <c r="UPW12" s="20"/>
      <c r="UPX12" s="20"/>
      <c r="UPY12" s="20"/>
      <c r="UPZ12" s="20"/>
      <c r="UQA12" s="20"/>
      <c r="UQB12" s="20"/>
      <c r="UQC12" s="20"/>
      <c r="UQD12" s="20"/>
      <c r="UQE12" s="20"/>
      <c r="UQF12" s="20"/>
      <c r="UQG12" s="20"/>
      <c r="UQH12" s="20"/>
      <c r="UQI12" s="20"/>
      <c r="UQJ12" s="20"/>
      <c r="UQK12" s="20"/>
      <c r="UQL12" s="20"/>
      <c r="UQM12" s="20"/>
      <c r="UQN12" s="20"/>
      <c r="UQO12" s="20"/>
      <c r="UQP12" s="20"/>
      <c r="UQQ12" s="20"/>
      <c r="UQR12" s="20"/>
      <c r="UQS12" s="20"/>
      <c r="UQT12" s="20"/>
      <c r="UQU12" s="20"/>
      <c r="UQV12" s="20"/>
      <c r="UQW12" s="20"/>
      <c r="UQX12" s="20"/>
      <c r="UQY12" s="20"/>
      <c r="UQZ12" s="20"/>
      <c r="URA12" s="20"/>
      <c r="URB12" s="20"/>
      <c r="URC12" s="20"/>
      <c r="URD12" s="20"/>
      <c r="URE12" s="20"/>
      <c r="URF12" s="20"/>
      <c r="URG12" s="20"/>
      <c r="URH12" s="20"/>
      <c r="URI12" s="20"/>
      <c r="URJ12" s="20"/>
      <c r="URK12" s="20"/>
      <c r="URL12" s="20"/>
      <c r="URM12" s="20"/>
      <c r="URN12" s="20"/>
      <c r="URO12" s="20"/>
      <c r="URP12" s="20"/>
      <c r="URQ12" s="20"/>
      <c r="URR12" s="20"/>
      <c r="URS12" s="20"/>
      <c r="URT12" s="20"/>
      <c r="URU12" s="20"/>
      <c r="URV12" s="20"/>
      <c r="URW12" s="20"/>
      <c r="URX12" s="20"/>
      <c r="URY12" s="20"/>
      <c r="URZ12" s="20"/>
      <c r="USA12" s="20"/>
      <c r="USB12" s="20"/>
      <c r="USC12" s="20"/>
      <c r="USD12" s="20"/>
      <c r="USE12" s="20"/>
      <c r="USF12" s="20"/>
      <c r="USG12" s="20"/>
      <c r="USH12" s="20"/>
      <c r="USI12" s="20"/>
      <c r="USJ12" s="20"/>
      <c r="USK12" s="20"/>
      <c r="USL12" s="20"/>
      <c r="USM12" s="20"/>
      <c r="USN12" s="20"/>
      <c r="USO12" s="20"/>
      <c r="USP12" s="20"/>
      <c r="USQ12" s="20"/>
      <c r="USR12" s="20"/>
      <c r="USS12" s="20"/>
      <c r="UST12" s="20"/>
      <c r="USU12" s="20"/>
      <c r="USV12" s="20"/>
      <c r="USW12" s="20"/>
      <c r="USX12" s="20"/>
      <c r="USY12" s="20"/>
      <c r="USZ12" s="20"/>
      <c r="UTA12" s="20"/>
      <c r="UTB12" s="20"/>
      <c r="UTC12" s="20"/>
      <c r="UTD12" s="20"/>
      <c r="UTE12" s="20"/>
      <c r="UTF12" s="20"/>
      <c r="UTG12" s="20"/>
      <c r="UTH12" s="20"/>
      <c r="UTI12" s="20"/>
      <c r="UTJ12" s="20"/>
      <c r="UTK12" s="20"/>
      <c r="UTL12" s="20"/>
      <c r="UTM12" s="20"/>
      <c r="UTN12" s="20"/>
      <c r="UTO12" s="20"/>
      <c r="UTP12" s="20"/>
      <c r="UTQ12" s="20"/>
      <c r="UTR12" s="20"/>
      <c r="UTS12" s="20"/>
      <c r="UTT12" s="20"/>
      <c r="UTU12" s="20"/>
      <c r="UTV12" s="20"/>
      <c r="UTW12" s="20"/>
      <c r="UTX12" s="20"/>
      <c r="UTY12" s="20"/>
      <c r="UTZ12" s="20"/>
      <c r="UUA12" s="20"/>
      <c r="UUB12" s="20"/>
      <c r="UUC12" s="20"/>
      <c r="UUD12" s="20"/>
      <c r="UUE12" s="20"/>
      <c r="UUF12" s="20"/>
      <c r="UUG12" s="20"/>
      <c r="UUH12" s="20"/>
      <c r="UUI12" s="20"/>
      <c r="UUJ12" s="20"/>
      <c r="UUK12" s="20"/>
      <c r="UUL12" s="20"/>
      <c r="UUM12" s="20"/>
      <c r="UUN12" s="20"/>
      <c r="UUO12" s="20"/>
      <c r="UUP12" s="20"/>
      <c r="UUQ12" s="20"/>
      <c r="UUR12" s="20"/>
      <c r="UUS12" s="20"/>
      <c r="UUT12" s="20"/>
      <c r="UUU12" s="20"/>
      <c r="UUV12" s="20"/>
      <c r="UUW12" s="20"/>
      <c r="UUX12" s="20"/>
      <c r="UUY12" s="20"/>
      <c r="UUZ12" s="20"/>
      <c r="UVA12" s="20"/>
      <c r="UVB12" s="20"/>
      <c r="UVC12" s="20"/>
      <c r="UVD12" s="20"/>
      <c r="UVE12" s="20"/>
      <c r="UVF12" s="20"/>
      <c r="UVG12" s="20"/>
      <c r="UVH12" s="20"/>
      <c r="UVI12" s="20"/>
      <c r="UVJ12" s="20"/>
      <c r="UVK12" s="20"/>
      <c r="UVL12" s="20"/>
      <c r="UVM12" s="20"/>
      <c r="UVN12" s="20"/>
      <c r="UVO12" s="20"/>
      <c r="UVP12" s="20"/>
      <c r="UVQ12" s="20"/>
      <c r="UVR12" s="20"/>
      <c r="UVS12" s="20"/>
      <c r="UVT12" s="20"/>
      <c r="UVU12" s="20"/>
      <c r="UVV12" s="20"/>
      <c r="UVW12" s="20"/>
      <c r="UVX12" s="20"/>
      <c r="UVY12" s="20"/>
      <c r="UVZ12" s="20"/>
      <c r="UWA12" s="20"/>
      <c r="UWB12" s="20"/>
      <c r="UWC12" s="20"/>
      <c r="UWD12" s="20"/>
      <c r="UWE12" s="20"/>
      <c r="UWF12" s="20"/>
      <c r="UWG12" s="20"/>
      <c r="UWH12" s="20"/>
      <c r="UWI12" s="20"/>
      <c r="UWJ12" s="20"/>
      <c r="UWK12" s="20"/>
      <c r="UWL12" s="20"/>
      <c r="UWM12" s="20"/>
      <c r="UWN12" s="20"/>
      <c r="UWO12" s="20"/>
      <c r="UWP12" s="20"/>
      <c r="UWQ12" s="20"/>
      <c r="UWR12" s="20"/>
      <c r="UWS12" s="20"/>
      <c r="UWT12" s="20"/>
      <c r="UWU12" s="20"/>
      <c r="UWV12" s="20"/>
      <c r="UWW12" s="20"/>
      <c r="UWX12" s="20"/>
      <c r="UWY12" s="20"/>
      <c r="UWZ12" s="20"/>
      <c r="UXA12" s="20"/>
      <c r="UXB12" s="20"/>
      <c r="UXC12" s="20"/>
      <c r="UXD12" s="20"/>
      <c r="UXE12" s="20"/>
      <c r="UXF12" s="20"/>
      <c r="UXG12" s="20"/>
      <c r="UXH12" s="20"/>
      <c r="UXI12" s="20"/>
      <c r="UXJ12" s="20"/>
      <c r="UXK12" s="20"/>
      <c r="UXL12" s="20"/>
      <c r="UXM12" s="20"/>
      <c r="UXN12" s="20"/>
      <c r="UXO12" s="20"/>
      <c r="UXP12" s="20"/>
      <c r="UXQ12" s="20"/>
      <c r="UXR12" s="20"/>
      <c r="UXS12" s="20"/>
      <c r="UXT12" s="20"/>
      <c r="UXU12" s="20"/>
      <c r="UXV12" s="20"/>
      <c r="UXW12" s="20"/>
      <c r="UXX12" s="20"/>
      <c r="UXY12" s="20"/>
      <c r="UXZ12" s="20"/>
      <c r="UYA12" s="20"/>
      <c r="UYB12" s="20"/>
      <c r="UYC12" s="20"/>
      <c r="UYD12" s="20"/>
      <c r="UYE12" s="20"/>
      <c r="UYF12" s="20"/>
      <c r="UYG12" s="20"/>
      <c r="UYH12" s="20"/>
      <c r="UYI12" s="20"/>
      <c r="UYJ12" s="20"/>
      <c r="UYK12" s="20"/>
      <c r="UYL12" s="20"/>
      <c r="UYM12" s="20"/>
      <c r="UYN12" s="20"/>
      <c r="UYO12" s="20"/>
      <c r="UYP12" s="20"/>
      <c r="UYQ12" s="20"/>
      <c r="UYR12" s="20"/>
      <c r="UYS12" s="20"/>
      <c r="UYT12" s="20"/>
      <c r="UYU12" s="20"/>
      <c r="UYV12" s="20"/>
      <c r="UYW12" s="20"/>
      <c r="UYX12" s="20"/>
      <c r="UYY12" s="20"/>
      <c r="UYZ12" s="20"/>
      <c r="UZA12" s="20"/>
      <c r="UZB12" s="20"/>
      <c r="UZC12" s="20"/>
      <c r="UZD12" s="20"/>
      <c r="UZE12" s="20"/>
      <c r="UZF12" s="20"/>
      <c r="UZG12" s="20"/>
      <c r="UZH12" s="20"/>
      <c r="UZI12" s="20"/>
      <c r="UZJ12" s="20"/>
      <c r="UZK12" s="20"/>
      <c r="UZL12" s="20"/>
      <c r="UZM12" s="20"/>
      <c r="UZN12" s="20"/>
      <c r="UZO12" s="20"/>
      <c r="UZP12" s="20"/>
      <c r="UZQ12" s="20"/>
      <c r="UZR12" s="20"/>
      <c r="UZS12" s="20"/>
      <c r="UZT12" s="20"/>
      <c r="UZU12" s="20"/>
      <c r="UZV12" s="20"/>
      <c r="UZW12" s="20"/>
      <c r="UZX12" s="20"/>
      <c r="UZY12" s="20"/>
      <c r="UZZ12" s="20"/>
      <c r="VAA12" s="20"/>
      <c r="VAB12" s="20"/>
      <c r="VAC12" s="20"/>
      <c r="VAD12" s="20"/>
      <c r="VAE12" s="20"/>
      <c r="VAF12" s="20"/>
      <c r="VAG12" s="20"/>
      <c r="VAH12" s="20"/>
      <c r="VAI12" s="20"/>
      <c r="VAJ12" s="20"/>
      <c r="VAK12" s="20"/>
      <c r="VAL12" s="20"/>
      <c r="VAM12" s="20"/>
      <c r="VAN12" s="20"/>
      <c r="VAO12" s="20"/>
      <c r="VAP12" s="20"/>
      <c r="VAQ12" s="20"/>
      <c r="VAR12" s="20"/>
      <c r="VAS12" s="20"/>
      <c r="VAT12" s="20"/>
      <c r="VAU12" s="20"/>
      <c r="VAV12" s="20"/>
      <c r="VAW12" s="20"/>
      <c r="VAX12" s="20"/>
      <c r="VAY12" s="20"/>
      <c r="VAZ12" s="20"/>
      <c r="VBA12" s="20"/>
      <c r="VBB12" s="20"/>
      <c r="VBC12" s="20"/>
      <c r="VBD12" s="20"/>
      <c r="VBE12" s="20"/>
      <c r="VBF12" s="20"/>
      <c r="VBG12" s="20"/>
      <c r="VBH12" s="20"/>
      <c r="VBI12" s="20"/>
      <c r="VBJ12" s="20"/>
      <c r="VBK12" s="20"/>
      <c r="VBL12" s="20"/>
      <c r="VBM12" s="20"/>
      <c r="VBN12" s="20"/>
      <c r="VBO12" s="20"/>
      <c r="VBP12" s="20"/>
      <c r="VBQ12" s="20"/>
      <c r="VBR12" s="20"/>
      <c r="VBS12" s="20"/>
      <c r="VBT12" s="20"/>
      <c r="VBU12" s="20"/>
      <c r="VBV12" s="20"/>
      <c r="VBW12" s="20"/>
      <c r="VBX12" s="20"/>
      <c r="VBY12" s="20"/>
      <c r="VBZ12" s="20"/>
      <c r="VCA12" s="20"/>
      <c r="VCB12" s="20"/>
      <c r="VCC12" s="20"/>
      <c r="VCD12" s="20"/>
      <c r="VCE12" s="20"/>
      <c r="VCF12" s="20"/>
      <c r="VCG12" s="20"/>
      <c r="VCH12" s="20"/>
      <c r="VCI12" s="20"/>
      <c r="VCJ12" s="20"/>
      <c r="VCK12" s="20"/>
      <c r="VCL12" s="20"/>
      <c r="VCM12" s="20"/>
      <c r="VCN12" s="20"/>
      <c r="VCO12" s="20"/>
      <c r="VCP12" s="20"/>
      <c r="VCQ12" s="20"/>
      <c r="VCR12" s="20"/>
      <c r="VCS12" s="20"/>
      <c r="VCT12" s="20"/>
      <c r="VCU12" s="20"/>
      <c r="VCV12" s="20"/>
      <c r="VCW12" s="20"/>
      <c r="VCX12" s="20"/>
      <c r="VCY12" s="20"/>
      <c r="VCZ12" s="20"/>
      <c r="VDA12" s="20"/>
      <c r="VDB12" s="20"/>
      <c r="VDC12" s="20"/>
      <c r="VDD12" s="20"/>
      <c r="VDE12" s="20"/>
      <c r="VDF12" s="20"/>
      <c r="VDG12" s="20"/>
      <c r="VDH12" s="20"/>
      <c r="VDI12" s="20"/>
      <c r="VDJ12" s="20"/>
      <c r="VDK12" s="20"/>
      <c r="VDL12" s="20"/>
      <c r="VDM12" s="20"/>
      <c r="VDN12" s="20"/>
      <c r="VDO12" s="20"/>
      <c r="VDP12" s="20"/>
      <c r="VDQ12" s="20"/>
      <c r="VDR12" s="20"/>
      <c r="VDS12" s="20"/>
      <c r="VDT12" s="20"/>
      <c r="VDU12" s="20"/>
      <c r="VDV12" s="20"/>
      <c r="VDW12" s="20"/>
      <c r="VDX12" s="20"/>
      <c r="VDY12" s="20"/>
      <c r="VDZ12" s="20"/>
      <c r="VEA12" s="20"/>
      <c r="VEB12" s="20"/>
      <c r="VEC12" s="20"/>
      <c r="VED12" s="20"/>
      <c r="VEE12" s="20"/>
      <c r="VEF12" s="20"/>
      <c r="VEG12" s="20"/>
      <c r="VEH12" s="20"/>
      <c r="VEI12" s="20"/>
      <c r="VEJ12" s="20"/>
      <c r="VEK12" s="20"/>
      <c r="VEL12" s="20"/>
      <c r="VEM12" s="20"/>
      <c r="VEN12" s="20"/>
      <c r="VEO12" s="20"/>
      <c r="VEP12" s="20"/>
      <c r="VEQ12" s="20"/>
      <c r="VER12" s="20"/>
      <c r="VES12" s="20"/>
      <c r="VET12" s="20"/>
      <c r="VEU12" s="20"/>
      <c r="VEV12" s="20"/>
      <c r="VEW12" s="20"/>
      <c r="VEX12" s="20"/>
      <c r="VEY12" s="20"/>
      <c r="VEZ12" s="20"/>
      <c r="VFA12" s="20"/>
      <c r="VFB12" s="20"/>
      <c r="VFC12" s="20"/>
      <c r="VFD12" s="20"/>
      <c r="VFE12" s="20"/>
      <c r="VFF12" s="20"/>
      <c r="VFG12" s="20"/>
      <c r="VFH12" s="20"/>
      <c r="VFI12" s="20"/>
      <c r="VFJ12" s="20"/>
      <c r="VFK12" s="20"/>
      <c r="VFL12" s="20"/>
      <c r="VFM12" s="20"/>
      <c r="VFN12" s="20"/>
      <c r="VFO12" s="20"/>
      <c r="VFP12" s="20"/>
      <c r="VFQ12" s="20"/>
      <c r="VFR12" s="20"/>
      <c r="VFS12" s="20"/>
      <c r="VFT12" s="20"/>
      <c r="VFU12" s="20"/>
      <c r="VFV12" s="20"/>
      <c r="VFW12" s="20"/>
      <c r="VFX12" s="20"/>
      <c r="VFY12" s="20"/>
      <c r="VFZ12" s="20"/>
      <c r="VGA12" s="20"/>
      <c r="VGB12" s="20"/>
      <c r="VGC12" s="20"/>
      <c r="VGD12" s="20"/>
      <c r="VGE12" s="20"/>
      <c r="VGF12" s="20"/>
      <c r="VGG12" s="20"/>
      <c r="VGH12" s="20"/>
      <c r="VGI12" s="20"/>
      <c r="VGJ12" s="20"/>
      <c r="VGK12" s="20"/>
      <c r="VGL12" s="20"/>
      <c r="VGM12" s="20"/>
      <c r="VGN12" s="20"/>
      <c r="VGO12" s="20"/>
      <c r="VGP12" s="20"/>
      <c r="VGQ12" s="20"/>
      <c r="VGR12" s="20"/>
      <c r="VGS12" s="20"/>
      <c r="VGT12" s="20"/>
      <c r="VGU12" s="20"/>
      <c r="VGV12" s="20"/>
      <c r="VGW12" s="20"/>
      <c r="VGX12" s="20"/>
      <c r="VGY12" s="20"/>
      <c r="VGZ12" s="20"/>
      <c r="VHA12" s="20"/>
      <c r="VHB12" s="20"/>
      <c r="VHC12" s="20"/>
      <c r="VHD12" s="20"/>
      <c r="VHE12" s="20"/>
      <c r="VHF12" s="20"/>
      <c r="VHG12" s="20"/>
      <c r="VHH12" s="20"/>
      <c r="VHI12" s="20"/>
      <c r="VHJ12" s="20"/>
      <c r="VHK12" s="20"/>
      <c r="VHL12" s="20"/>
      <c r="VHM12" s="20"/>
      <c r="VHN12" s="20"/>
      <c r="VHO12" s="20"/>
      <c r="VHP12" s="20"/>
      <c r="VHQ12" s="20"/>
      <c r="VHR12" s="20"/>
      <c r="VHS12" s="20"/>
      <c r="VHT12" s="20"/>
      <c r="VHU12" s="20"/>
      <c r="VHV12" s="20"/>
      <c r="VHW12" s="20"/>
      <c r="VHX12" s="20"/>
      <c r="VHY12" s="20"/>
      <c r="VHZ12" s="20"/>
      <c r="VIA12" s="20"/>
      <c r="VIB12" s="20"/>
      <c r="VIC12" s="20"/>
      <c r="VID12" s="20"/>
      <c r="VIE12" s="20"/>
      <c r="VIF12" s="20"/>
      <c r="VIG12" s="20"/>
      <c r="VIH12" s="20"/>
      <c r="VII12" s="20"/>
      <c r="VIJ12" s="20"/>
      <c r="VIK12" s="20"/>
      <c r="VIL12" s="20"/>
      <c r="VIM12" s="20"/>
      <c r="VIN12" s="20"/>
      <c r="VIO12" s="20"/>
      <c r="VIP12" s="20"/>
      <c r="VIQ12" s="20"/>
      <c r="VIR12" s="20"/>
      <c r="VIS12" s="20"/>
      <c r="VIT12" s="20"/>
      <c r="VIU12" s="20"/>
      <c r="VIV12" s="20"/>
      <c r="VIW12" s="20"/>
      <c r="VIX12" s="20"/>
      <c r="VIY12" s="20"/>
      <c r="VIZ12" s="20"/>
      <c r="VJA12" s="20"/>
      <c r="VJB12" s="20"/>
      <c r="VJC12" s="20"/>
      <c r="VJD12" s="20"/>
      <c r="VJE12" s="20"/>
      <c r="VJF12" s="20"/>
      <c r="VJG12" s="20"/>
      <c r="VJH12" s="20"/>
      <c r="VJI12" s="20"/>
      <c r="VJJ12" s="20"/>
      <c r="VJK12" s="20"/>
      <c r="VJL12" s="20"/>
      <c r="VJM12" s="20"/>
      <c r="VJN12" s="20"/>
      <c r="VJO12" s="20"/>
      <c r="VJP12" s="20"/>
      <c r="VJQ12" s="20"/>
      <c r="VJR12" s="20"/>
      <c r="VJS12" s="20"/>
      <c r="VJT12" s="20"/>
      <c r="VJU12" s="20"/>
      <c r="VJV12" s="20"/>
      <c r="VJW12" s="20"/>
      <c r="VJX12" s="20"/>
      <c r="VJY12" s="20"/>
      <c r="VJZ12" s="20"/>
      <c r="VKA12" s="20"/>
      <c r="VKB12" s="20"/>
      <c r="VKC12" s="20"/>
      <c r="VKD12" s="20"/>
      <c r="VKE12" s="20"/>
      <c r="VKF12" s="20"/>
      <c r="VKG12" s="20"/>
      <c r="VKH12" s="20"/>
      <c r="VKI12" s="20"/>
      <c r="VKJ12" s="20"/>
      <c r="VKK12" s="20"/>
      <c r="VKL12" s="20"/>
      <c r="VKM12" s="20"/>
      <c r="VKN12" s="20"/>
      <c r="VKO12" s="20"/>
      <c r="VKP12" s="20"/>
      <c r="VKQ12" s="20"/>
      <c r="VKR12" s="20"/>
      <c r="VKS12" s="20"/>
      <c r="VKT12" s="20"/>
      <c r="VKU12" s="20"/>
      <c r="VKV12" s="20"/>
      <c r="VKW12" s="20"/>
      <c r="VKX12" s="20"/>
      <c r="VKY12" s="20"/>
      <c r="VKZ12" s="20"/>
      <c r="VLA12" s="20"/>
      <c r="VLB12" s="20"/>
      <c r="VLC12" s="20"/>
      <c r="VLD12" s="20"/>
      <c r="VLE12" s="20"/>
      <c r="VLF12" s="20"/>
      <c r="VLG12" s="20"/>
      <c r="VLH12" s="20"/>
      <c r="VLI12" s="20"/>
      <c r="VLJ12" s="20"/>
      <c r="VLK12" s="20"/>
      <c r="VLL12" s="20"/>
      <c r="VLM12" s="20"/>
      <c r="VLN12" s="20"/>
      <c r="VLO12" s="20"/>
      <c r="VLP12" s="20"/>
      <c r="VLQ12" s="20"/>
      <c r="VLR12" s="20"/>
      <c r="VLS12" s="20"/>
      <c r="VLT12" s="20"/>
      <c r="VLU12" s="20"/>
      <c r="VLV12" s="20"/>
      <c r="VLW12" s="20"/>
      <c r="VLX12" s="20"/>
      <c r="VLY12" s="20"/>
      <c r="VLZ12" s="20"/>
      <c r="VMA12" s="20"/>
      <c r="VMB12" s="20"/>
      <c r="VMC12" s="20"/>
      <c r="VMD12" s="20"/>
      <c r="VME12" s="20"/>
      <c r="VMF12" s="20"/>
      <c r="VMG12" s="20"/>
      <c r="VMH12" s="20"/>
      <c r="VMI12" s="20"/>
      <c r="VMJ12" s="20"/>
      <c r="VMK12" s="20"/>
      <c r="VML12" s="20"/>
      <c r="VMM12" s="20"/>
      <c r="VMN12" s="20"/>
      <c r="VMO12" s="20"/>
      <c r="VMP12" s="20"/>
      <c r="VMQ12" s="20"/>
      <c r="VMR12" s="20"/>
      <c r="VMS12" s="20"/>
      <c r="VMT12" s="20"/>
      <c r="VMU12" s="20"/>
      <c r="VMV12" s="20"/>
      <c r="VMW12" s="20"/>
      <c r="VMX12" s="20"/>
      <c r="VMY12" s="20"/>
      <c r="VMZ12" s="20"/>
      <c r="VNA12" s="20"/>
      <c r="VNB12" s="20"/>
      <c r="VNC12" s="20"/>
      <c r="VND12" s="20"/>
      <c r="VNE12" s="20"/>
      <c r="VNF12" s="20"/>
      <c r="VNG12" s="20"/>
      <c r="VNH12" s="20"/>
      <c r="VNI12" s="20"/>
      <c r="VNJ12" s="20"/>
      <c r="VNK12" s="20"/>
      <c r="VNL12" s="20"/>
      <c r="VNM12" s="20"/>
      <c r="VNN12" s="20"/>
      <c r="VNO12" s="20"/>
      <c r="VNP12" s="20"/>
      <c r="VNQ12" s="20"/>
      <c r="VNR12" s="20"/>
      <c r="VNS12" s="20"/>
      <c r="VNT12" s="20"/>
      <c r="VNU12" s="20"/>
      <c r="VNV12" s="20"/>
      <c r="VNW12" s="20"/>
      <c r="VNX12" s="20"/>
      <c r="VNY12" s="20"/>
      <c r="VNZ12" s="20"/>
      <c r="VOA12" s="20"/>
      <c r="VOB12" s="20"/>
      <c r="VOC12" s="20"/>
      <c r="VOD12" s="20"/>
      <c r="VOE12" s="20"/>
      <c r="VOF12" s="20"/>
      <c r="VOG12" s="20"/>
      <c r="VOH12" s="20"/>
      <c r="VOI12" s="20"/>
      <c r="VOJ12" s="20"/>
      <c r="VOK12" s="20"/>
      <c r="VOL12" s="20"/>
      <c r="VOM12" s="20"/>
      <c r="VON12" s="20"/>
      <c r="VOO12" s="20"/>
      <c r="VOP12" s="20"/>
      <c r="VOQ12" s="20"/>
      <c r="VOR12" s="20"/>
      <c r="VOS12" s="20"/>
      <c r="VOT12" s="20"/>
      <c r="VOU12" s="20"/>
      <c r="VOV12" s="20"/>
      <c r="VOW12" s="20"/>
      <c r="VOX12" s="20"/>
      <c r="VOY12" s="20"/>
      <c r="VOZ12" s="20"/>
      <c r="VPA12" s="20"/>
      <c r="VPB12" s="20"/>
      <c r="VPC12" s="20"/>
      <c r="VPD12" s="20"/>
      <c r="VPE12" s="20"/>
      <c r="VPF12" s="20"/>
      <c r="VPG12" s="20"/>
      <c r="VPH12" s="20"/>
      <c r="VPI12" s="20"/>
      <c r="VPJ12" s="20"/>
      <c r="VPK12" s="20"/>
      <c r="VPL12" s="20"/>
      <c r="VPM12" s="20"/>
      <c r="VPN12" s="20"/>
      <c r="VPO12" s="20"/>
      <c r="VPP12" s="20"/>
      <c r="VPQ12" s="20"/>
      <c r="VPR12" s="20"/>
      <c r="VPS12" s="20"/>
      <c r="VPT12" s="20"/>
      <c r="VPU12" s="20"/>
      <c r="VPV12" s="20"/>
      <c r="VPW12" s="20"/>
      <c r="VPX12" s="20"/>
      <c r="VPY12" s="20"/>
      <c r="VPZ12" s="20"/>
      <c r="VQA12" s="20"/>
      <c r="VQB12" s="20"/>
      <c r="VQC12" s="20"/>
      <c r="VQD12" s="20"/>
      <c r="VQE12" s="20"/>
      <c r="VQF12" s="20"/>
      <c r="VQG12" s="20"/>
      <c r="VQH12" s="20"/>
      <c r="VQI12" s="20"/>
      <c r="VQJ12" s="20"/>
      <c r="VQK12" s="20"/>
      <c r="VQL12" s="20"/>
      <c r="VQM12" s="20"/>
      <c r="VQN12" s="20"/>
      <c r="VQO12" s="20"/>
      <c r="VQP12" s="20"/>
      <c r="VQQ12" s="20"/>
      <c r="VQR12" s="20"/>
      <c r="VQS12" s="20"/>
      <c r="VQT12" s="20"/>
      <c r="VQU12" s="20"/>
      <c r="VQV12" s="20"/>
      <c r="VQW12" s="20"/>
      <c r="VQX12" s="20"/>
      <c r="VQY12" s="20"/>
      <c r="VQZ12" s="20"/>
      <c r="VRA12" s="20"/>
      <c r="VRB12" s="20"/>
      <c r="VRC12" s="20"/>
      <c r="VRD12" s="20"/>
      <c r="VRE12" s="20"/>
      <c r="VRF12" s="20"/>
      <c r="VRG12" s="20"/>
      <c r="VRH12" s="20"/>
      <c r="VRI12" s="20"/>
      <c r="VRJ12" s="20"/>
      <c r="VRK12" s="20"/>
      <c r="VRL12" s="20"/>
      <c r="VRM12" s="20"/>
      <c r="VRN12" s="20"/>
      <c r="VRO12" s="20"/>
      <c r="VRP12" s="20"/>
      <c r="VRQ12" s="20"/>
      <c r="VRR12" s="20"/>
      <c r="VRS12" s="20"/>
      <c r="VRT12" s="20"/>
      <c r="VRU12" s="20"/>
      <c r="VRV12" s="20"/>
      <c r="VRW12" s="20"/>
      <c r="VRX12" s="20"/>
      <c r="VRY12" s="20"/>
      <c r="VRZ12" s="20"/>
      <c r="VSA12" s="20"/>
      <c r="VSB12" s="20"/>
      <c r="VSC12" s="20"/>
      <c r="VSD12" s="20"/>
      <c r="VSE12" s="20"/>
      <c r="VSF12" s="20"/>
      <c r="VSG12" s="20"/>
      <c r="VSH12" s="20"/>
      <c r="VSI12" s="20"/>
      <c r="VSJ12" s="20"/>
      <c r="VSK12" s="20"/>
      <c r="VSL12" s="20"/>
      <c r="VSM12" s="20"/>
      <c r="VSN12" s="20"/>
      <c r="VSO12" s="20"/>
      <c r="VSP12" s="20"/>
      <c r="VSQ12" s="20"/>
      <c r="VSR12" s="20"/>
      <c r="VSS12" s="20"/>
      <c r="VST12" s="20"/>
      <c r="VSU12" s="20"/>
      <c r="VSV12" s="20"/>
      <c r="VSW12" s="20"/>
      <c r="VSX12" s="20"/>
      <c r="VSY12" s="20"/>
      <c r="VSZ12" s="20"/>
      <c r="VTA12" s="20"/>
      <c r="VTB12" s="20"/>
      <c r="VTC12" s="20"/>
      <c r="VTD12" s="20"/>
      <c r="VTE12" s="20"/>
      <c r="VTF12" s="20"/>
      <c r="VTG12" s="20"/>
      <c r="VTH12" s="20"/>
      <c r="VTI12" s="20"/>
      <c r="VTJ12" s="20"/>
      <c r="VTK12" s="20"/>
      <c r="VTL12" s="20"/>
      <c r="VTM12" s="20"/>
      <c r="VTN12" s="20"/>
      <c r="VTO12" s="20"/>
      <c r="VTP12" s="20"/>
      <c r="VTQ12" s="20"/>
      <c r="VTR12" s="20"/>
      <c r="VTS12" s="20"/>
      <c r="VTT12" s="20"/>
      <c r="VTU12" s="20"/>
      <c r="VTV12" s="20"/>
      <c r="VTW12" s="20"/>
      <c r="VTX12" s="20"/>
      <c r="VTY12" s="20"/>
      <c r="VTZ12" s="20"/>
      <c r="VUA12" s="20"/>
      <c r="VUB12" s="20"/>
      <c r="VUC12" s="20"/>
      <c r="VUD12" s="20"/>
      <c r="VUE12" s="20"/>
      <c r="VUF12" s="20"/>
      <c r="VUG12" s="20"/>
      <c r="VUH12" s="20"/>
      <c r="VUI12" s="20"/>
      <c r="VUJ12" s="20"/>
      <c r="VUK12" s="20"/>
      <c r="VUL12" s="20"/>
      <c r="VUM12" s="20"/>
      <c r="VUN12" s="20"/>
      <c r="VUO12" s="20"/>
      <c r="VUP12" s="20"/>
      <c r="VUQ12" s="20"/>
      <c r="VUR12" s="20"/>
      <c r="VUS12" s="20"/>
      <c r="VUT12" s="20"/>
      <c r="VUU12" s="20"/>
      <c r="VUV12" s="20"/>
      <c r="VUW12" s="20"/>
      <c r="VUX12" s="20"/>
      <c r="VUY12" s="20"/>
      <c r="VUZ12" s="20"/>
      <c r="VVA12" s="20"/>
      <c r="VVB12" s="20"/>
      <c r="VVC12" s="20"/>
      <c r="VVD12" s="20"/>
      <c r="VVE12" s="20"/>
      <c r="VVF12" s="20"/>
      <c r="VVG12" s="20"/>
      <c r="VVH12" s="20"/>
      <c r="VVI12" s="20"/>
      <c r="VVJ12" s="20"/>
      <c r="VVK12" s="20"/>
      <c r="VVL12" s="20"/>
      <c r="VVM12" s="20"/>
      <c r="VVN12" s="20"/>
      <c r="VVO12" s="20"/>
      <c r="VVP12" s="20"/>
      <c r="VVQ12" s="20"/>
      <c r="VVR12" s="20"/>
      <c r="VVS12" s="20"/>
      <c r="VVT12" s="20"/>
      <c r="VVU12" s="20"/>
      <c r="VVV12" s="20"/>
      <c r="VVW12" s="20"/>
      <c r="VVX12" s="20"/>
      <c r="VVY12" s="20"/>
      <c r="VVZ12" s="20"/>
      <c r="VWA12" s="20"/>
      <c r="VWB12" s="20"/>
      <c r="VWC12" s="20"/>
      <c r="VWD12" s="20"/>
      <c r="VWE12" s="20"/>
      <c r="VWF12" s="20"/>
      <c r="VWG12" s="20"/>
      <c r="VWH12" s="20"/>
      <c r="VWI12" s="20"/>
      <c r="VWJ12" s="20"/>
      <c r="VWK12" s="20"/>
      <c r="VWL12" s="20"/>
      <c r="VWM12" s="20"/>
      <c r="VWN12" s="20"/>
      <c r="VWO12" s="20"/>
      <c r="VWP12" s="20"/>
      <c r="VWQ12" s="20"/>
      <c r="VWR12" s="20"/>
      <c r="VWS12" s="20"/>
      <c r="VWT12" s="20"/>
      <c r="VWU12" s="20"/>
      <c r="VWV12" s="20"/>
      <c r="VWW12" s="20"/>
      <c r="VWX12" s="20"/>
      <c r="VWY12" s="20"/>
      <c r="VWZ12" s="20"/>
      <c r="VXA12" s="20"/>
      <c r="VXB12" s="20"/>
      <c r="VXC12" s="20"/>
      <c r="VXD12" s="20"/>
      <c r="VXE12" s="20"/>
      <c r="VXF12" s="20"/>
      <c r="VXG12" s="20"/>
      <c r="VXH12" s="20"/>
      <c r="VXI12" s="20"/>
      <c r="VXJ12" s="20"/>
      <c r="VXK12" s="20"/>
      <c r="VXL12" s="20"/>
      <c r="VXM12" s="20"/>
      <c r="VXN12" s="20"/>
      <c r="VXO12" s="20"/>
      <c r="VXP12" s="20"/>
      <c r="VXQ12" s="20"/>
      <c r="VXR12" s="20"/>
      <c r="VXS12" s="20"/>
      <c r="VXT12" s="20"/>
      <c r="VXU12" s="20"/>
      <c r="VXV12" s="20"/>
      <c r="VXW12" s="20"/>
      <c r="VXX12" s="20"/>
      <c r="VXY12" s="20"/>
      <c r="VXZ12" s="20"/>
      <c r="VYA12" s="20"/>
      <c r="VYB12" s="20"/>
      <c r="VYC12" s="20"/>
      <c r="VYD12" s="20"/>
      <c r="VYE12" s="20"/>
      <c r="VYF12" s="20"/>
      <c r="VYG12" s="20"/>
      <c r="VYH12" s="20"/>
      <c r="VYI12" s="20"/>
      <c r="VYJ12" s="20"/>
      <c r="VYK12" s="20"/>
      <c r="VYL12" s="20"/>
      <c r="VYM12" s="20"/>
      <c r="VYN12" s="20"/>
      <c r="VYO12" s="20"/>
      <c r="VYP12" s="20"/>
      <c r="VYQ12" s="20"/>
      <c r="VYR12" s="20"/>
      <c r="VYS12" s="20"/>
      <c r="VYT12" s="20"/>
      <c r="VYU12" s="20"/>
      <c r="VYV12" s="20"/>
      <c r="VYW12" s="20"/>
      <c r="VYX12" s="20"/>
      <c r="VYY12" s="20"/>
      <c r="VYZ12" s="20"/>
      <c r="VZA12" s="20"/>
      <c r="VZB12" s="20"/>
      <c r="VZC12" s="20"/>
      <c r="VZD12" s="20"/>
      <c r="VZE12" s="20"/>
      <c r="VZF12" s="20"/>
      <c r="VZG12" s="20"/>
      <c r="VZH12" s="20"/>
      <c r="VZI12" s="20"/>
      <c r="VZJ12" s="20"/>
      <c r="VZK12" s="20"/>
      <c r="VZL12" s="20"/>
      <c r="VZM12" s="20"/>
      <c r="VZN12" s="20"/>
      <c r="VZO12" s="20"/>
      <c r="VZP12" s="20"/>
      <c r="VZQ12" s="20"/>
      <c r="VZR12" s="20"/>
      <c r="VZS12" s="20"/>
      <c r="VZT12" s="20"/>
      <c r="VZU12" s="20"/>
      <c r="VZV12" s="20"/>
      <c r="VZW12" s="20"/>
      <c r="VZX12" s="20"/>
      <c r="VZY12" s="20"/>
      <c r="VZZ12" s="20"/>
      <c r="WAA12" s="20"/>
      <c r="WAB12" s="20"/>
      <c r="WAC12" s="20"/>
      <c r="WAD12" s="20"/>
      <c r="WAE12" s="20"/>
      <c r="WAF12" s="20"/>
      <c r="WAG12" s="20"/>
      <c r="WAH12" s="20"/>
      <c r="WAI12" s="20"/>
      <c r="WAJ12" s="20"/>
      <c r="WAK12" s="20"/>
      <c r="WAL12" s="20"/>
      <c r="WAM12" s="20"/>
      <c r="WAN12" s="20"/>
      <c r="WAO12" s="20"/>
      <c r="WAP12" s="20"/>
      <c r="WAQ12" s="20"/>
      <c r="WAR12" s="20"/>
      <c r="WAS12" s="20"/>
      <c r="WAT12" s="20"/>
      <c r="WAU12" s="20"/>
      <c r="WAV12" s="20"/>
      <c r="WAW12" s="20"/>
      <c r="WAX12" s="20"/>
      <c r="WAY12" s="20"/>
      <c r="WAZ12" s="20"/>
      <c r="WBA12" s="20"/>
      <c r="WBB12" s="20"/>
      <c r="WBC12" s="20"/>
      <c r="WBD12" s="20"/>
      <c r="WBE12" s="20"/>
      <c r="WBF12" s="20"/>
      <c r="WBG12" s="20"/>
      <c r="WBH12" s="20"/>
      <c r="WBI12" s="20"/>
      <c r="WBJ12" s="20"/>
      <c r="WBK12" s="20"/>
      <c r="WBL12" s="20"/>
      <c r="WBM12" s="20"/>
      <c r="WBN12" s="20"/>
      <c r="WBO12" s="20"/>
      <c r="WBP12" s="20"/>
      <c r="WBQ12" s="20"/>
      <c r="WBR12" s="20"/>
      <c r="WBS12" s="20"/>
      <c r="WBT12" s="20"/>
      <c r="WBU12" s="20"/>
      <c r="WBV12" s="20"/>
      <c r="WBW12" s="20"/>
      <c r="WBX12" s="20"/>
      <c r="WBY12" s="20"/>
      <c r="WBZ12" s="20"/>
      <c r="WCA12" s="20"/>
      <c r="WCB12" s="20"/>
      <c r="WCC12" s="20"/>
      <c r="WCD12" s="20"/>
      <c r="WCE12" s="20"/>
      <c r="WCF12" s="20"/>
      <c r="WCG12" s="20"/>
      <c r="WCH12" s="20"/>
      <c r="WCI12" s="20"/>
      <c r="WCJ12" s="20"/>
      <c r="WCK12" s="20"/>
      <c r="WCL12" s="20"/>
      <c r="WCM12" s="20"/>
      <c r="WCN12" s="20"/>
      <c r="WCO12" s="20"/>
      <c r="WCP12" s="20"/>
      <c r="WCQ12" s="20"/>
      <c r="WCR12" s="20"/>
      <c r="WCS12" s="20"/>
      <c r="WCT12" s="20"/>
      <c r="WCU12" s="20"/>
      <c r="WCV12" s="20"/>
      <c r="WCW12" s="20"/>
      <c r="WCX12" s="20"/>
      <c r="WCY12" s="20"/>
      <c r="WCZ12" s="20"/>
      <c r="WDA12" s="20"/>
      <c r="WDB12" s="20"/>
      <c r="WDC12" s="20"/>
      <c r="WDD12" s="20"/>
      <c r="WDE12" s="20"/>
      <c r="WDF12" s="20"/>
      <c r="WDG12" s="20"/>
      <c r="WDH12" s="20"/>
      <c r="WDI12" s="20"/>
      <c r="WDJ12" s="20"/>
      <c r="WDK12" s="20"/>
      <c r="WDL12" s="20"/>
      <c r="WDM12" s="20"/>
      <c r="WDN12" s="20"/>
      <c r="WDO12" s="20"/>
      <c r="WDP12" s="20"/>
      <c r="WDQ12" s="20"/>
      <c r="WDR12" s="20"/>
      <c r="WDS12" s="20"/>
      <c r="WDT12" s="20"/>
      <c r="WDU12" s="20"/>
      <c r="WDV12" s="20"/>
      <c r="WDW12" s="20"/>
      <c r="WDX12" s="20"/>
      <c r="WDY12" s="20"/>
      <c r="WDZ12" s="20"/>
      <c r="WEA12" s="20"/>
      <c r="WEB12" s="20"/>
      <c r="WEC12" s="20"/>
      <c r="WED12" s="20"/>
      <c r="WEE12" s="20"/>
      <c r="WEF12" s="20"/>
      <c r="WEG12" s="20"/>
      <c r="WEH12" s="20"/>
      <c r="WEI12" s="20"/>
      <c r="WEJ12" s="20"/>
      <c r="WEK12" s="20"/>
      <c r="WEL12" s="20"/>
      <c r="WEM12" s="20"/>
      <c r="WEN12" s="20"/>
      <c r="WEO12" s="20"/>
      <c r="WEP12" s="20"/>
      <c r="WEQ12" s="20"/>
      <c r="WER12" s="20"/>
      <c r="WES12" s="20"/>
      <c r="WET12" s="20"/>
      <c r="WEU12" s="20"/>
      <c r="WEV12" s="20"/>
      <c r="WEW12" s="20"/>
      <c r="WEX12" s="20"/>
      <c r="WEY12" s="20"/>
      <c r="WEZ12" s="20"/>
      <c r="WFA12" s="20"/>
      <c r="WFB12" s="20"/>
      <c r="WFC12" s="20"/>
      <c r="WFD12" s="20"/>
      <c r="WFE12" s="20"/>
      <c r="WFF12" s="20"/>
      <c r="WFG12" s="20"/>
      <c r="WFH12" s="20"/>
      <c r="WFI12" s="20"/>
      <c r="WFJ12" s="20"/>
      <c r="WFK12" s="20"/>
      <c r="WFL12" s="20"/>
      <c r="WFM12" s="20"/>
      <c r="WFN12" s="20"/>
      <c r="WFO12" s="20"/>
      <c r="WFP12" s="20"/>
      <c r="WFQ12" s="20"/>
      <c r="WFR12" s="20"/>
      <c r="WFS12" s="20"/>
      <c r="WFT12" s="20"/>
      <c r="WFU12" s="20"/>
      <c r="WFV12" s="20"/>
      <c r="WFW12" s="20"/>
      <c r="WFX12" s="20"/>
      <c r="WFY12" s="20"/>
      <c r="WFZ12" s="20"/>
      <c r="WGA12" s="20"/>
      <c r="WGB12" s="20"/>
      <c r="WGC12" s="20"/>
      <c r="WGD12" s="20"/>
      <c r="WGE12" s="20"/>
      <c r="WGF12" s="20"/>
      <c r="WGG12" s="20"/>
      <c r="WGH12" s="20"/>
      <c r="WGI12" s="20"/>
      <c r="WGJ12" s="20"/>
      <c r="WGK12" s="20"/>
      <c r="WGL12" s="20"/>
      <c r="WGM12" s="20"/>
      <c r="WGN12" s="20"/>
      <c r="WGO12" s="20"/>
      <c r="WGP12" s="20"/>
      <c r="WGQ12" s="20"/>
      <c r="WGR12" s="20"/>
      <c r="WGS12" s="20"/>
      <c r="WGT12" s="20"/>
      <c r="WGU12" s="20"/>
      <c r="WGV12" s="20"/>
      <c r="WGW12" s="20"/>
      <c r="WGX12" s="20"/>
      <c r="WGY12" s="20"/>
      <c r="WGZ12" s="20"/>
      <c r="WHA12" s="20"/>
      <c r="WHB12" s="20"/>
      <c r="WHC12" s="20"/>
      <c r="WHD12" s="20"/>
      <c r="WHE12" s="20"/>
      <c r="WHF12" s="20"/>
      <c r="WHG12" s="20"/>
      <c r="WHH12" s="20"/>
      <c r="WHI12" s="20"/>
      <c r="WHJ12" s="20"/>
      <c r="WHK12" s="20"/>
      <c r="WHL12" s="20"/>
      <c r="WHM12" s="20"/>
      <c r="WHN12" s="20"/>
      <c r="WHO12" s="20"/>
      <c r="WHP12" s="20"/>
      <c r="WHQ12" s="20"/>
      <c r="WHR12" s="20"/>
      <c r="WHS12" s="20"/>
      <c r="WHT12" s="20"/>
      <c r="WHU12" s="20"/>
      <c r="WHV12" s="20"/>
      <c r="WHW12" s="20"/>
      <c r="WHX12" s="20"/>
      <c r="WHY12" s="20"/>
      <c r="WHZ12" s="20"/>
      <c r="WIA12" s="20"/>
      <c r="WIB12" s="20"/>
      <c r="WIC12" s="20"/>
      <c r="WID12" s="20"/>
      <c r="WIE12" s="20"/>
      <c r="WIF12" s="20"/>
      <c r="WIG12" s="20"/>
      <c r="WIH12" s="20"/>
      <c r="WII12" s="20"/>
      <c r="WIJ12" s="20"/>
      <c r="WIK12" s="20"/>
      <c r="WIL12" s="20"/>
      <c r="WIM12" s="20"/>
      <c r="WIN12" s="20"/>
      <c r="WIO12" s="20"/>
      <c r="WIP12" s="20"/>
      <c r="WIQ12" s="20"/>
      <c r="WIR12" s="20"/>
      <c r="WIS12" s="20"/>
      <c r="WIT12" s="20"/>
      <c r="WIU12" s="20"/>
      <c r="WIV12" s="20"/>
      <c r="WIW12" s="20"/>
      <c r="WIX12" s="20"/>
      <c r="WIY12" s="20"/>
      <c r="WIZ12" s="20"/>
      <c r="WJA12" s="20"/>
      <c r="WJB12" s="20"/>
      <c r="WJC12" s="20"/>
      <c r="WJD12" s="20"/>
      <c r="WJE12" s="20"/>
      <c r="WJF12" s="20"/>
      <c r="WJG12" s="20"/>
      <c r="WJH12" s="20"/>
      <c r="WJI12" s="20"/>
      <c r="WJJ12" s="20"/>
      <c r="WJK12" s="20"/>
      <c r="WJL12" s="20"/>
      <c r="WJM12" s="20"/>
      <c r="WJN12" s="20"/>
      <c r="WJO12" s="20"/>
      <c r="WJP12" s="20"/>
      <c r="WJQ12" s="20"/>
      <c r="WJR12" s="20"/>
      <c r="WJS12" s="20"/>
      <c r="WJT12" s="20"/>
      <c r="WJU12" s="20"/>
      <c r="WJV12" s="20"/>
      <c r="WJW12" s="20"/>
      <c r="WJX12" s="20"/>
      <c r="WJY12" s="20"/>
      <c r="WJZ12" s="20"/>
      <c r="WKA12" s="20"/>
      <c r="WKB12" s="20"/>
      <c r="WKC12" s="20"/>
      <c r="WKD12" s="20"/>
      <c r="WKE12" s="20"/>
      <c r="WKF12" s="20"/>
      <c r="WKG12" s="20"/>
      <c r="WKH12" s="20"/>
      <c r="WKI12" s="20"/>
      <c r="WKJ12" s="20"/>
      <c r="WKK12" s="20"/>
      <c r="WKL12" s="20"/>
      <c r="WKM12" s="20"/>
      <c r="WKN12" s="20"/>
      <c r="WKO12" s="20"/>
      <c r="WKP12" s="20"/>
      <c r="WKQ12" s="20"/>
      <c r="WKR12" s="20"/>
      <c r="WKS12" s="20"/>
      <c r="WKT12" s="20"/>
      <c r="WKU12" s="20"/>
      <c r="WKV12" s="20"/>
      <c r="WKW12" s="20"/>
      <c r="WKX12" s="20"/>
      <c r="WKY12" s="20"/>
      <c r="WKZ12" s="20"/>
      <c r="WLA12" s="20"/>
      <c r="WLB12" s="20"/>
      <c r="WLC12" s="20"/>
      <c r="WLD12" s="20"/>
      <c r="WLE12" s="20"/>
      <c r="WLF12" s="20"/>
      <c r="WLG12" s="20"/>
      <c r="WLH12" s="20"/>
      <c r="WLI12" s="20"/>
      <c r="WLJ12" s="20"/>
      <c r="WLK12" s="20"/>
      <c r="WLL12" s="20"/>
      <c r="WLM12" s="20"/>
      <c r="WLN12" s="20"/>
      <c r="WLO12" s="20"/>
      <c r="WLP12" s="20"/>
      <c r="WLQ12" s="20"/>
      <c r="WLR12" s="20"/>
      <c r="WLS12" s="20"/>
      <c r="WLT12" s="20"/>
      <c r="WLU12" s="20"/>
      <c r="WLV12" s="20"/>
      <c r="WLW12" s="20"/>
      <c r="WLX12" s="20"/>
      <c r="WLY12" s="20"/>
      <c r="WLZ12" s="20"/>
      <c r="WMA12" s="20"/>
      <c r="WMB12" s="20"/>
      <c r="WMC12" s="20"/>
      <c r="WMD12" s="20"/>
      <c r="WME12" s="20"/>
      <c r="WMF12" s="20"/>
      <c r="WMG12" s="20"/>
      <c r="WMH12" s="20"/>
      <c r="WMI12" s="20"/>
      <c r="WMJ12" s="20"/>
      <c r="WMK12" s="20"/>
      <c r="WML12" s="20"/>
      <c r="WMM12" s="20"/>
      <c r="WMN12" s="20"/>
      <c r="WMO12" s="20"/>
      <c r="WMP12" s="20"/>
      <c r="WMQ12" s="20"/>
      <c r="WMR12" s="20"/>
      <c r="WMS12" s="20"/>
      <c r="WMT12" s="20"/>
      <c r="WMU12" s="20"/>
      <c r="WMV12" s="20"/>
      <c r="WMW12" s="20"/>
      <c r="WMX12" s="20"/>
      <c r="WMY12" s="20"/>
      <c r="WMZ12" s="20"/>
      <c r="WNA12" s="20"/>
      <c r="WNB12" s="20"/>
      <c r="WNC12" s="20"/>
      <c r="WND12" s="20"/>
      <c r="WNE12" s="20"/>
      <c r="WNF12" s="20"/>
      <c r="WNG12" s="20"/>
      <c r="WNH12" s="20"/>
      <c r="WNI12" s="20"/>
      <c r="WNJ12" s="20"/>
      <c r="WNK12" s="20"/>
      <c r="WNL12" s="20"/>
      <c r="WNM12" s="20"/>
      <c r="WNN12" s="20"/>
      <c r="WNO12" s="20"/>
      <c r="WNP12" s="20"/>
      <c r="WNQ12" s="20"/>
      <c r="WNR12" s="20"/>
      <c r="WNS12" s="20"/>
      <c r="WNT12" s="20"/>
      <c r="WNU12" s="20"/>
      <c r="WNV12" s="20"/>
      <c r="WNW12" s="20"/>
      <c r="WNX12" s="20"/>
      <c r="WNY12" s="20"/>
      <c r="WNZ12" s="20"/>
      <c r="WOA12" s="20"/>
      <c r="WOB12" s="20"/>
      <c r="WOC12" s="20"/>
      <c r="WOD12" s="20"/>
      <c r="WOE12" s="20"/>
      <c r="WOF12" s="20"/>
      <c r="WOG12" s="20"/>
      <c r="WOH12" s="20"/>
      <c r="WOI12" s="20"/>
      <c r="WOJ12" s="20"/>
      <c r="WOK12" s="20"/>
      <c r="WOL12" s="20"/>
      <c r="WOM12" s="20"/>
      <c r="WON12" s="20"/>
      <c r="WOO12" s="20"/>
      <c r="WOP12" s="20"/>
      <c r="WOQ12" s="20"/>
      <c r="WOR12" s="20"/>
      <c r="WOS12" s="20"/>
      <c r="WOT12" s="20"/>
      <c r="WOU12" s="20"/>
      <c r="WOV12" s="20"/>
      <c r="WOW12" s="20"/>
      <c r="WOX12" s="20"/>
      <c r="WOY12" s="20"/>
      <c r="WOZ12" s="20"/>
      <c r="WPA12" s="20"/>
      <c r="WPB12" s="20"/>
      <c r="WPC12" s="20"/>
      <c r="WPD12" s="20"/>
      <c r="WPE12" s="20"/>
      <c r="WPF12" s="20"/>
      <c r="WPG12" s="20"/>
      <c r="WPH12" s="20"/>
      <c r="WPI12" s="20"/>
      <c r="WPJ12" s="20"/>
      <c r="WPK12" s="20"/>
      <c r="WPL12" s="20"/>
      <c r="WPM12" s="20"/>
      <c r="WPN12" s="20"/>
      <c r="WPO12" s="20"/>
      <c r="WPP12" s="20"/>
      <c r="WPQ12" s="20"/>
      <c r="WPR12" s="20"/>
      <c r="WPS12" s="20"/>
      <c r="WPT12" s="20"/>
      <c r="WPU12" s="20"/>
      <c r="WPV12" s="20"/>
      <c r="WPW12" s="20"/>
      <c r="WPX12" s="20"/>
      <c r="WPY12" s="20"/>
      <c r="WPZ12" s="20"/>
      <c r="WQA12" s="20"/>
      <c r="WQB12" s="20"/>
      <c r="WQC12" s="20"/>
      <c r="WQD12" s="20"/>
      <c r="WQE12" s="20"/>
      <c r="WQF12" s="20"/>
      <c r="WQG12" s="20"/>
      <c r="WQH12" s="20"/>
      <c r="WQI12" s="20"/>
      <c r="WQJ12" s="20"/>
      <c r="WQK12" s="20"/>
      <c r="WQL12" s="20"/>
      <c r="WQM12" s="20"/>
      <c r="WQN12" s="20"/>
      <c r="WQO12" s="20"/>
      <c r="WQP12" s="20"/>
      <c r="WQQ12" s="20"/>
      <c r="WQR12" s="20"/>
      <c r="WQS12" s="20"/>
      <c r="WQT12" s="20"/>
      <c r="WQU12" s="20"/>
      <c r="WQV12" s="20"/>
      <c r="WQW12" s="20"/>
      <c r="WQX12" s="20"/>
      <c r="WQY12" s="20"/>
      <c r="WQZ12" s="20"/>
      <c r="WRA12" s="20"/>
      <c r="WRB12" s="20"/>
      <c r="WRC12" s="20"/>
      <c r="WRD12" s="20"/>
      <c r="WRE12" s="20"/>
      <c r="WRF12" s="20"/>
      <c r="WRG12" s="20"/>
      <c r="WRH12" s="20"/>
      <c r="WRI12" s="20"/>
      <c r="WRJ12" s="20"/>
      <c r="WRK12" s="20"/>
      <c r="WRL12" s="20"/>
      <c r="WRM12" s="20"/>
      <c r="WRN12" s="20"/>
      <c r="WRO12" s="20"/>
      <c r="WRP12" s="20"/>
      <c r="WRQ12" s="20"/>
      <c r="WRR12" s="20"/>
      <c r="WRS12" s="20"/>
      <c r="WRT12" s="20"/>
      <c r="WRU12" s="20"/>
      <c r="WRV12" s="20"/>
      <c r="WRW12" s="20"/>
      <c r="WRX12" s="20"/>
      <c r="WRY12" s="20"/>
      <c r="WRZ12" s="20"/>
      <c r="WSA12" s="20"/>
      <c r="WSB12" s="20"/>
      <c r="WSC12" s="20"/>
      <c r="WSD12" s="20"/>
      <c r="WSE12" s="20"/>
      <c r="WSF12" s="20"/>
      <c r="WSG12" s="20"/>
      <c r="WSH12" s="20"/>
      <c r="WSI12" s="20"/>
      <c r="WSJ12" s="20"/>
      <c r="WSK12" s="20"/>
      <c r="WSL12" s="20"/>
      <c r="WSM12" s="20"/>
      <c r="WSN12" s="20"/>
      <c r="WSO12" s="20"/>
      <c r="WSP12" s="20"/>
      <c r="WSQ12" s="20"/>
      <c r="WSR12" s="20"/>
      <c r="WSS12" s="20"/>
      <c r="WST12" s="20"/>
      <c r="WSU12" s="20"/>
      <c r="WSV12" s="20"/>
      <c r="WSW12" s="20"/>
      <c r="WSX12" s="20"/>
      <c r="WSY12" s="20"/>
      <c r="WSZ12" s="20"/>
      <c r="WTA12" s="20"/>
      <c r="WTB12" s="20"/>
      <c r="WTC12" s="20"/>
      <c r="WTD12" s="20"/>
      <c r="WTE12" s="20"/>
      <c r="WTF12" s="20"/>
      <c r="WTG12" s="20"/>
      <c r="WTH12" s="20"/>
      <c r="WTI12" s="20"/>
      <c r="WTJ12" s="20"/>
      <c r="WTK12" s="20"/>
      <c r="WTL12" s="20"/>
      <c r="WTM12" s="20"/>
      <c r="WTN12" s="20"/>
      <c r="WTO12" s="20"/>
      <c r="WTP12" s="20"/>
      <c r="WTQ12" s="20"/>
      <c r="WTR12" s="20"/>
      <c r="WTS12" s="20"/>
      <c r="WTT12" s="20"/>
      <c r="WTU12" s="20"/>
      <c r="WTV12" s="20"/>
      <c r="WTW12" s="20"/>
      <c r="WTX12" s="20"/>
      <c r="WTY12" s="20"/>
      <c r="WTZ12" s="20"/>
      <c r="WUA12" s="20"/>
      <c r="WUB12" s="20"/>
      <c r="WUC12" s="20"/>
      <c r="WUD12" s="20"/>
      <c r="WUE12" s="20"/>
      <c r="WUF12" s="20"/>
      <c r="WUG12" s="20"/>
      <c r="WUH12" s="20"/>
      <c r="WUI12" s="20"/>
      <c r="WUJ12" s="20"/>
      <c r="WUK12" s="20"/>
      <c r="WUL12" s="20"/>
      <c r="WUM12" s="20"/>
      <c r="WUN12" s="20"/>
      <c r="WUO12" s="20"/>
      <c r="WUP12" s="20"/>
      <c r="WUQ12" s="20"/>
      <c r="WUR12" s="20"/>
      <c r="WUS12" s="20"/>
      <c r="WUT12" s="20"/>
      <c r="WUU12" s="20"/>
      <c r="WUV12" s="20"/>
      <c r="WUW12" s="20"/>
      <c r="WUX12" s="20"/>
      <c r="WUY12" s="20"/>
      <c r="WUZ12" s="20"/>
      <c r="WVA12" s="20"/>
      <c r="WVB12" s="20"/>
      <c r="WVC12" s="20"/>
      <c r="WVD12" s="20"/>
      <c r="WVE12" s="20"/>
      <c r="WVF12" s="20"/>
      <c r="WVG12" s="20"/>
      <c r="WVH12" s="20"/>
      <c r="WVI12" s="20"/>
      <c r="WVJ12" s="20"/>
      <c r="WVK12" s="20"/>
      <c r="WVL12" s="20"/>
      <c r="WVM12" s="20"/>
      <c r="WVN12" s="20"/>
    </row>
    <row r="13" spans="1:16134" s="391" customFormat="1" ht="52.5" customHeight="1">
      <c r="A13" s="404" t="s">
        <v>509</v>
      </c>
      <c r="B13" s="410"/>
      <c r="C13" s="403">
        <v>783410294</v>
      </c>
      <c r="D13" s="318">
        <f>SUM(B14+B15+B17+B18+B22+B23+B24+B25+B26+B27+B28+B35+B32+B34+B29+B30)</f>
        <v>1701594275</v>
      </c>
      <c r="E13" s="318"/>
      <c r="F13" s="319">
        <f>SUM(E13/D13)</f>
        <v>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  <c r="ZP13" s="20"/>
      <c r="ZQ13" s="20"/>
      <c r="ZR13" s="20"/>
      <c r="ZS13" s="20"/>
      <c r="ZT13" s="20"/>
      <c r="ZU13" s="20"/>
      <c r="ZV13" s="20"/>
      <c r="ZW13" s="20"/>
      <c r="ZX13" s="20"/>
      <c r="ZY13" s="20"/>
      <c r="ZZ13" s="20"/>
      <c r="AAA13" s="20"/>
      <c r="AAB13" s="20"/>
      <c r="AAC13" s="20"/>
      <c r="AAD13" s="20"/>
      <c r="AAE13" s="20"/>
      <c r="AAF13" s="20"/>
      <c r="AAG13" s="20"/>
      <c r="AAH13" s="20"/>
      <c r="AAI13" s="20"/>
      <c r="AAJ13" s="20"/>
      <c r="AAK13" s="20"/>
      <c r="AAL13" s="20"/>
      <c r="AAM13" s="20"/>
      <c r="AAN13" s="20"/>
      <c r="AAO13" s="20"/>
      <c r="AAP13" s="20"/>
      <c r="AAQ13" s="20"/>
      <c r="AAR13" s="20"/>
      <c r="AAS13" s="20"/>
      <c r="AAT13" s="20"/>
      <c r="AAU13" s="20"/>
      <c r="AAV13" s="20"/>
      <c r="AAW13" s="20"/>
      <c r="AAX13" s="20"/>
      <c r="AAY13" s="20"/>
      <c r="AAZ13" s="20"/>
      <c r="ABA13" s="20"/>
      <c r="ABB13" s="20"/>
      <c r="ABC13" s="20"/>
      <c r="ABD13" s="20"/>
      <c r="ABE13" s="20"/>
      <c r="ABF13" s="20"/>
      <c r="ABG13" s="20"/>
      <c r="ABH13" s="20"/>
      <c r="ABI13" s="20"/>
      <c r="ABJ13" s="20"/>
      <c r="ABK13" s="20"/>
      <c r="ABL13" s="20"/>
      <c r="ABM13" s="20"/>
      <c r="ABN13" s="20"/>
      <c r="ABO13" s="20"/>
      <c r="ABP13" s="20"/>
      <c r="ABQ13" s="20"/>
      <c r="ABR13" s="20"/>
      <c r="ABS13" s="20"/>
      <c r="ABT13" s="20"/>
      <c r="ABU13" s="20"/>
      <c r="ABV13" s="20"/>
      <c r="ABW13" s="20"/>
      <c r="ABX13" s="20"/>
      <c r="ABY13" s="20"/>
      <c r="ABZ13" s="20"/>
      <c r="ACA13" s="20"/>
      <c r="ACB13" s="20"/>
      <c r="ACC13" s="20"/>
      <c r="ACD13" s="20"/>
      <c r="ACE13" s="20"/>
      <c r="ACF13" s="20"/>
      <c r="ACG13" s="20"/>
      <c r="ACH13" s="20"/>
      <c r="ACI13" s="20"/>
      <c r="ACJ13" s="20"/>
      <c r="ACK13" s="20"/>
      <c r="ACL13" s="20"/>
      <c r="ACM13" s="20"/>
      <c r="ACN13" s="20"/>
      <c r="ACO13" s="20"/>
      <c r="ACP13" s="20"/>
      <c r="ACQ13" s="20"/>
      <c r="ACR13" s="20"/>
      <c r="ACS13" s="20"/>
      <c r="ACT13" s="20"/>
      <c r="ACU13" s="20"/>
      <c r="ACV13" s="20"/>
      <c r="ACW13" s="20"/>
      <c r="ACX13" s="20"/>
      <c r="ACY13" s="20"/>
      <c r="ACZ13" s="20"/>
      <c r="ADA13" s="20"/>
      <c r="ADB13" s="20"/>
      <c r="ADC13" s="20"/>
      <c r="ADD13" s="20"/>
      <c r="ADE13" s="20"/>
      <c r="ADF13" s="20"/>
      <c r="ADG13" s="20"/>
      <c r="ADH13" s="20"/>
      <c r="ADI13" s="20"/>
      <c r="ADJ13" s="20"/>
      <c r="ADK13" s="20"/>
      <c r="ADL13" s="20"/>
      <c r="ADM13" s="20"/>
      <c r="ADN13" s="20"/>
      <c r="ADO13" s="20"/>
      <c r="ADP13" s="20"/>
      <c r="ADQ13" s="20"/>
      <c r="ADR13" s="20"/>
      <c r="ADS13" s="20"/>
      <c r="ADT13" s="20"/>
      <c r="ADU13" s="20"/>
      <c r="ADV13" s="20"/>
      <c r="ADW13" s="20"/>
      <c r="ADX13" s="20"/>
      <c r="ADY13" s="20"/>
      <c r="ADZ13" s="20"/>
      <c r="AEA13" s="20"/>
      <c r="AEB13" s="20"/>
      <c r="AEC13" s="20"/>
      <c r="AED13" s="20"/>
      <c r="AEE13" s="20"/>
      <c r="AEF13" s="20"/>
      <c r="AEG13" s="20"/>
      <c r="AEH13" s="20"/>
      <c r="AEI13" s="20"/>
      <c r="AEJ13" s="20"/>
      <c r="AEK13" s="20"/>
      <c r="AEL13" s="20"/>
      <c r="AEM13" s="20"/>
      <c r="AEN13" s="20"/>
      <c r="AEO13" s="20"/>
      <c r="AEP13" s="20"/>
      <c r="AEQ13" s="20"/>
      <c r="AER13" s="20"/>
      <c r="AES13" s="20"/>
      <c r="AET13" s="20"/>
      <c r="AEU13" s="20"/>
      <c r="AEV13" s="20"/>
      <c r="AEW13" s="20"/>
      <c r="AEX13" s="20"/>
      <c r="AEY13" s="20"/>
      <c r="AEZ13" s="20"/>
      <c r="AFA13" s="20"/>
      <c r="AFB13" s="20"/>
      <c r="AFC13" s="20"/>
      <c r="AFD13" s="20"/>
      <c r="AFE13" s="20"/>
      <c r="AFF13" s="20"/>
      <c r="AFG13" s="20"/>
      <c r="AFH13" s="20"/>
      <c r="AFI13" s="20"/>
      <c r="AFJ13" s="20"/>
      <c r="AFK13" s="20"/>
      <c r="AFL13" s="20"/>
      <c r="AFM13" s="20"/>
      <c r="AFN13" s="20"/>
      <c r="AFO13" s="20"/>
      <c r="AFP13" s="20"/>
      <c r="AFQ13" s="20"/>
      <c r="AFR13" s="20"/>
      <c r="AFS13" s="20"/>
      <c r="AFT13" s="20"/>
      <c r="AFU13" s="20"/>
      <c r="AFV13" s="20"/>
      <c r="AFW13" s="20"/>
      <c r="AFX13" s="20"/>
      <c r="AFY13" s="20"/>
      <c r="AFZ13" s="20"/>
      <c r="AGA13" s="20"/>
      <c r="AGB13" s="20"/>
      <c r="AGC13" s="20"/>
      <c r="AGD13" s="20"/>
      <c r="AGE13" s="20"/>
      <c r="AGF13" s="20"/>
      <c r="AGG13" s="20"/>
      <c r="AGH13" s="20"/>
      <c r="AGI13" s="20"/>
      <c r="AGJ13" s="20"/>
      <c r="AGK13" s="20"/>
      <c r="AGL13" s="20"/>
      <c r="AGM13" s="20"/>
      <c r="AGN13" s="20"/>
      <c r="AGO13" s="20"/>
      <c r="AGP13" s="20"/>
      <c r="AGQ13" s="20"/>
      <c r="AGR13" s="20"/>
      <c r="AGS13" s="20"/>
      <c r="AGT13" s="20"/>
      <c r="AGU13" s="20"/>
      <c r="AGV13" s="20"/>
      <c r="AGW13" s="20"/>
      <c r="AGX13" s="20"/>
      <c r="AGY13" s="20"/>
      <c r="AGZ13" s="20"/>
      <c r="AHA13" s="20"/>
      <c r="AHB13" s="20"/>
      <c r="AHC13" s="20"/>
      <c r="AHD13" s="20"/>
      <c r="AHE13" s="20"/>
      <c r="AHF13" s="20"/>
      <c r="AHG13" s="20"/>
      <c r="AHH13" s="20"/>
      <c r="AHI13" s="20"/>
      <c r="AHJ13" s="20"/>
      <c r="AHK13" s="20"/>
      <c r="AHL13" s="20"/>
      <c r="AHM13" s="20"/>
      <c r="AHN13" s="20"/>
      <c r="AHO13" s="20"/>
      <c r="AHP13" s="20"/>
      <c r="AHQ13" s="20"/>
      <c r="AHR13" s="20"/>
      <c r="AHS13" s="20"/>
      <c r="AHT13" s="20"/>
      <c r="AHU13" s="20"/>
      <c r="AHV13" s="20"/>
      <c r="AHW13" s="20"/>
      <c r="AHX13" s="20"/>
      <c r="AHY13" s="20"/>
      <c r="AHZ13" s="20"/>
      <c r="AIA13" s="20"/>
      <c r="AIB13" s="20"/>
      <c r="AIC13" s="20"/>
      <c r="AID13" s="20"/>
      <c r="AIE13" s="20"/>
      <c r="AIF13" s="20"/>
      <c r="AIG13" s="20"/>
      <c r="AIH13" s="20"/>
      <c r="AII13" s="20"/>
      <c r="AIJ13" s="20"/>
      <c r="AIK13" s="20"/>
      <c r="AIL13" s="20"/>
      <c r="AIM13" s="20"/>
      <c r="AIN13" s="20"/>
      <c r="AIO13" s="20"/>
      <c r="AIP13" s="20"/>
      <c r="AIQ13" s="20"/>
      <c r="AIR13" s="20"/>
      <c r="AIS13" s="20"/>
      <c r="AIT13" s="20"/>
      <c r="AIU13" s="20"/>
      <c r="AIV13" s="20"/>
      <c r="AIW13" s="20"/>
      <c r="AIX13" s="20"/>
      <c r="AIY13" s="20"/>
      <c r="AIZ13" s="20"/>
      <c r="AJA13" s="20"/>
      <c r="AJB13" s="20"/>
      <c r="AJC13" s="20"/>
      <c r="AJD13" s="20"/>
      <c r="AJE13" s="20"/>
      <c r="AJF13" s="20"/>
      <c r="AJG13" s="20"/>
      <c r="AJH13" s="20"/>
      <c r="AJI13" s="20"/>
      <c r="AJJ13" s="20"/>
      <c r="AJK13" s="20"/>
      <c r="AJL13" s="20"/>
      <c r="AJM13" s="20"/>
      <c r="AJN13" s="20"/>
      <c r="AJO13" s="20"/>
      <c r="AJP13" s="20"/>
      <c r="AJQ13" s="20"/>
      <c r="AJR13" s="20"/>
      <c r="AJS13" s="20"/>
      <c r="AJT13" s="20"/>
      <c r="AJU13" s="20"/>
      <c r="AJV13" s="20"/>
      <c r="AJW13" s="20"/>
      <c r="AJX13" s="20"/>
      <c r="AJY13" s="20"/>
      <c r="AJZ13" s="20"/>
      <c r="AKA13" s="20"/>
      <c r="AKB13" s="20"/>
      <c r="AKC13" s="20"/>
      <c r="AKD13" s="20"/>
      <c r="AKE13" s="20"/>
      <c r="AKF13" s="20"/>
      <c r="AKG13" s="20"/>
      <c r="AKH13" s="20"/>
      <c r="AKI13" s="20"/>
      <c r="AKJ13" s="20"/>
      <c r="AKK13" s="20"/>
      <c r="AKL13" s="20"/>
      <c r="AKM13" s="20"/>
      <c r="AKN13" s="20"/>
      <c r="AKO13" s="20"/>
      <c r="AKP13" s="20"/>
      <c r="AKQ13" s="20"/>
      <c r="AKR13" s="20"/>
      <c r="AKS13" s="20"/>
      <c r="AKT13" s="20"/>
      <c r="AKU13" s="20"/>
      <c r="AKV13" s="20"/>
      <c r="AKW13" s="20"/>
      <c r="AKX13" s="20"/>
      <c r="AKY13" s="20"/>
      <c r="AKZ13" s="20"/>
      <c r="ALA13" s="20"/>
      <c r="ALB13" s="20"/>
      <c r="ALC13" s="20"/>
      <c r="ALD13" s="20"/>
      <c r="ALE13" s="20"/>
      <c r="ALF13" s="20"/>
      <c r="ALG13" s="20"/>
      <c r="ALH13" s="20"/>
      <c r="ALI13" s="20"/>
      <c r="ALJ13" s="20"/>
      <c r="ALK13" s="20"/>
      <c r="ALL13" s="20"/>
      <c r="ALM13" s="20"/>
      <c r="ALN13" s="20"/>
      <c r="ALO13" s="20"/>
      <c r="ALP13" s="20"/>
      <c r="ALQ13" s="20"/>
      <c r="ALR13" s="20"/>
      <c r="ALS13" s="20"/>
      <c r="ALT13" s="20"/>
      <c r="ALU13" s="20"/>
      <c r="ALV13" s="20"/>
      <c r="ALW13" s="20"/>
      <c r="ALX13" s="20"/>
      <c r="ALY13" s="20"/>
      <c r="ALZ13" s="20"/>
      <c r="AMA13" s="20"/>
      <c r="AMB13" s="20"/>
      <c r="AMC13" s="20"/>
      <c r="AMD13" s="20"/>
      <c r="AME13" s="20"/>
      <c r="AMF13" s="20"/>
      <c r="AMG13" s="20"/>
      <c r="AMH13" s="20"/>
      <c r="AMI13" s="20"/>
      <c r="AMJ13" s="20"/>
      <c r="AMK13" s="20"/>
      <c r="AML13" s="20"/>
      <c r="AMM13" s="20"/>
      <c r="AMN13" s="20"/>
      <c r="AMO13" s="20"/>
      <c r="AMP13" s="20"/>
      <c r="AMQ13" s="20"/>
      <c r="AMR13" s="20"/>
      <c r="AMS13" s="20"/>
      <c r="AMT13" s="20"/>
      <c r="AMU13" s="20"/>
      <c r="AMV13" s="20"/>
      <c r="AMW13" s="20"/>
      <c r="AMX13" s="20"/>
      <c r="AMY13" s="20"/>
      <c r="AMZ13" s="20"/>
      <c r="ANA13" s="20"/>
      <c r="ANB13" s="20"/>
      <c r="ANC13" s="20"/>
      <c r="AND13" s="20"/>
      <c r="ANE13" s="20"/>
      <c r="ANF13" s="20"/>
      <c r="ANG13" s="20"/>
      <c r="ANH13" s="20"/>
      <c r="ANI13" s="20"/>
      <c r="ANJ13" s="20"/>
      <c r="ANK13" s="20"/>
      <c r="ANL13" s="20"/>
      <c r="ANM13" s="20"/>
      <c r="ANN13" s="20"/>
      <c r="ANO13" s="20"/>
      <c r="ANP13" s="20"/>
      <c r="ANQ13" s="20"/>
      <c r="ANR13" s="20"/>
      <c r="ANS13" s="20"/>
      <c r="ANT13" s="20"/>
      <c r="ANU13" s="20"/>
      <c r="ANV13" s="20"/>
      <c r="ANW13" s="20"/>
      <c r="ANX13" s="20"/>
      <c r="ANY13" s="20"/>
      <c r="ANZ13" s="20"/>
      <c r="AOA13" s="20"/>
      <c r="AOB13" s="20"/>
      <c r="AOC13" s="20"/>
      <c r="AOD13" s="20"/>
      <c r="AOE13" s="20"/>
      <c r="AOF13" s="20"/>
      <c r="AOG13" s="20"/>
      <c r="AOH13" s="20"/>
      <c r="AOI13" s="20"/>
      <c r="AOJ13" s="20"/>
      <c r="AOK13" s="20"/>
      <c r="AOL13" s="20"/>
      <c r="AOM13" s="20"/>
      <c r="AON13" s="20"/>
      <c r="AOO13" s="20"/>
      <c r="AOP13" s="20"/>
      <c r="AOQ13" s="20"/>
      <c r="AOR13" s="20"/>
      <c r="AOS13" s="20"/>
      <c r="AOT13" s="20"/>
      <c r="AOU13" s="20"/>
      <c r="AOV13" s="20"/>
      <c r="AOW13" s="20"/>
      <c r="AOX13" s="20"/>
      <c r="AOY13" s="20"/>
      <c r="AOZ13" s="20"/>
      <c r="APA13" s="20"/>
      <c r="APB13" s="20"/>
      <c r="APC13" s="20"/>
      <c r="APD13" s="20"/>
      <c r="APE13" s="20"/>
      <c r="APF13" s="20"/>
      <c r="APG13" s="20"/>
      <c r="APH13" s="20"/>
      <c r="API13" s="20"/>
      <c r="APJ13" s="20"/>
      <c r="APK13" s="20"/>
      <c r="APL13" s="20"/>
      <c r="APM13" s="20"/>
      <c r="APN13" s="20"/>
      <c r="APO13" s="20"/>
      <c r="APP13" s="20"/>
      <c r="APQ13" s="20"/>
      <c r="APR13" s="20"/>
      <c r="APS13" s="20"/>
      <c r="APT13" s="20"/>
      <c r="APU13" s="20"/>
      <c r="APV13" s="20"/>
      <c r="APW13" s="20"/>
      <c r="APX13" s="20"/>
      <c r="APY13" s="20"/>
      <c r="APZ13" s="20"/>
      <c r="AQA13" s="20"/>
      <c r="AQB13" s="20"/>
      <c r="AQC13" s="20"/>
      <c r="AQD13" s="20"/>
      <c r="AQE13" s="20"/>
      <c r="AQF13" s="20"/>
      <c r="AQG13" s="20"/>
      <c r="AQH13" s="20"/>
      <c r="AQI13" s="20"/>
      <c r="AQJ13" s="20"/>
      <c r="AQK13" s="20"/>
      <c r="AQL13" s="20"/>
      <c r="AQM13" s="20"/>
      <c r="AQN13" s="20"/>
      <c r="AQO13" s="20"/>
      <c r="AQP13" s="20"/>
      <c r="AQQ13" s="20"/>
      <c r="AQR13" s="20"/>
      <c r="AQS13" s="20"/>
      <c r="AQT13" s="20"/>
      <c r="AQU13" s="20"/>
      <c r="AQV13" s="20"/>
      <c r="AQW13" s="20"/>
      <c r="AQX13" s="20"/>
      <c r="AQY13" s="20"/>
      <c r="AQZ13" s="20"/>
      <c r="ARA13" s="20"/>
      <c r="ARB13" s="20"/>
      <c r="ARC13" s="20"/>
      <c r="ARD13" s="20"/>
      <c r="ARE13" s="20"/>
      <c r="ARF13" s="20"/>
      <c r="ARG13" s="20"/>
      <c r="ARH13" s="20"/>
      <c r="ARI13" s="20"/>
      <c r="ARJ13" s="20"/>
      <c r="ARK13" s="20"/>
      <c r="ARL13" s="20"/>
      <c r="ARM13" s="20"/>
      <c r="ARN13" s="20"/>
      <c r="ARO13" s="20"/>
      <c r="ARP13" s="20"/>
      <c r="ARQ13" s="20"/>
      <c r="ARR13" s="20"/>
      <c r="ARS13" s="20"/>
      <c r="ART13" s="20"/>
      <c r="ARU13" s="20"/>
      <c r="ARV13" s="20"/>
      <c r="ARW13" s="20"/>
      <c r="ARX13" s="20"/>
      <c r="ARY13" s="20"/>
      <c r="ARZ13" s="20"/>
      <c r="ASA13" s="20"/>
      <c r="ASB13" s="20"/>
      <c r="ASC13" s="20"/>
      <c r="ASD13" s="20"/>
      <c r="ASE13" s="20"/>
      <c r="ASF13" s="20"/>
      <c r="ASG13" s="20"/>
      <c r="ASH13" s="20"/>
      <c r="ASI13" s="20"/>
      <c r="ASJ13" s="20"/>
      <c r="ASK13" s="20"/>
      <c r="ASL13" s="20"/>
      <c r="ASM13" s="20"/>
      <c r="ASN13" s="20"/>
      <c r="ASO13" s="20"/>
      <c r="ASP13" s="20"/>
      <c r="ASQ13" s="20"/>
      <c r="ASR13" s="20"/>
      <c r="ASS13" s="20"/>
      <c r="AST13" s="20"/>
      <c r="ASU13" s="20"/>
      <c r="ASV13" s="20"/>
      <c r="ASW13" s="20"/>
      <c r="ASX13" s="20"/>
      <c r="ASY13" s="20"/>
      <c r="ASZ13" s="20"/>
      <c r="ATA13" s="20"/>
      <c r="ATB13" s="20"/>
      <c r="ATC13" s="20"/>
      <c r="ATD13" s="20"/>
      <c r="ATE13" s="20"/>
      <c r="ATF13" s="20"/>
      <c r="ATG13" s="20"/>
      <c r="ATH13" s="20"/>
      <c r="ATI13" s="20"/>
      <c r="ATJ13" s="20"/>
      <c r="ATK13" s="20"/>
      <c r="ATL13" s="20"/>
      <c r="ATM13" s="20"/>
      <c r="ATN13" s="20"/>
      <c r="ATO13" s="20"/>
      <c r="ATP13" s="20"/>
      <c r="ATQ13" s="20"/>
      <c r="ATR13" s="20"/>
      <c r="ATS13" s="20"/>
      <c r="ATT13" s="20"/>
      <c r="ATU13" s="20"/>
      <c r="ATV13" s="20"/>
      <c r="ATW13" s="20"/>
      <c r="ATX13" s="20"/>
      <c r="ATY13" s="20"/>
      <c r="ATZ13" s="20"/>
      <c r="AUA13" s="20"/>
      <c r="AUB13" s="20"/>
      <c r="AUC13" s="20"/>
      <c r="AUD13" s="20"/>
      <c r="AUE13" s="20"/>
      <c r="AUF13" s="20"/>
      <c r="AUG13" s="20"/>
      <c r="AUH13" s="20"/>
      <c r="AUI13" s="20"/>
      <c r="AUJ13" s="20"/>
      <c r="AUK13" s="20"/>
      <c r="AUL13" s="20"/>
      <c r="AUM13" s="20"/>
      <c r="AUN13" s="20"/>
      <c r="AUO13" s="20"/>
      <c r="AUP13" s="20"/>
      <c r="AUQ13" s="20"/>
      <c r="AUR13" s="20"/>
      <c r="AUS13" s="20"/>
      <c r="AUT13" s="20"/>
      <c r="AUU13" s="20"/>
      <c r="AUV13" s="20"/>
      <c r="AUW13" s="20"/>
      <c r="AUX13" s="20"/>
      <c r="AUY13" s="20"/>
      <c r="AUZ13" s="20"/>
      <c r="AVA13" s="20"/>
      <c r="AVB13" s="20"/>
      <c r="AVC13" s="20"/>
      <c r="AVD13" s="20"/>
      <c r="AVE13" s="20"/>
      <c r="AVF13" s="20"/>
      <c r="AVG13" s="20"/>
      <c r="AVH13" s="20"/>
      <c r="AVI13" s="20"/>
      <c r="AVJ13" s="20"/>
      <c r="AVK13" s="20"/>
      <c r="AVL13" s="20"/>
      <c r="AVM13" s="20"/>
      <c r="AVN13" s="20"/>
      <c r="AVO13" s="20"/>
      <c r="AVP13" s="20"/>
      <c r="AVQ13" s="20"/>
      <c r="AVR13" s="20"/>
      <c r="AVS13" s="20"/>
      <c r="AVT13" s="20"/>
      <c r="AVU13" s="20"/>
      <c r="AVV13" s="20"/>
      <c r="AVW13" s="20"/>
      <c r="AVX13" s="20"/>
      <c r="AVY13" s="20"/>
      <c r="AVZ13" s="20"/>
      <c r="AWA13" s="20"/>
      <c r="AWB13" s="20"/>
      <c r="AWC13" s="20"/>
      <c r="AWD13" s="20"/>
      <c r="AWE13" s="20"/>
      <c r="AWF13" s="20"/>
      <c r="AWG13" s="20"/>
      <c r="AWH13" s="20"/>
      <c r="AWI13" s="20"/>
      <c r="AWJ13" s="20"/>
      <c r="AWK13" s="20"/>
      <c r="AWL13" s="20"/>
      <c r="AWM13" s="20"/>
      <c r="AWN13" s="20"/>
      <c r="AWO13" s="20"/>
      <c r="AWP13" s="20"/>
      <c r="AWQ13" s="20"/>
      <c r="AWR13" s="20"/>
      <c r="AWS13" s="20"/>
      <c r="AWT13" s="20"/>
      <c r="AWU13" s="20"/>
      <c r="AWV13" s="20"/>
      <c r="AWW13" s="20"/>
      <c r="AWX13" s="20"/>
      <c r="AWY13" s="20"/>
      <c r="AWZ13" s="20"/>
      <c r="AXA13" s="20"/>
      <c r="AXB13" s="20"/>
      <c r="AXC13" s="20"/>
      <c r="AXD13" s="20"/>
      <c r="AXE13" s="20"/>
      <c r="AXF13" s="20"/>
      <c r="AXG13" s="20"/>
      <c r="AXH13" s="20"/>
      <c r="AXI13" s="20"/>
      <c r="AXJ13" s="20"/>
      <c r="AXK13" s="20"/>
      <c r="AXL13" s="20"/>
      <c r="AXM13" s="20"/>
      <c r="AXN13" s="20"/>
      <c r="AXO13" s="20"/>
      <c r="AXP13" s="20"/>
      <c r="AXQ13" s="20"/>
      <c r="AXR13" s="20"/>
      <c r="AXS13" s="20"/>
      <c r="AXT13" s="20"/>
      <c r="AXU13" s="20"/>
      <c r="AXV13" s="20"/>
      <c r="AXW13" s="20"/>
      <c r="AXX13" s="20"/>
      <c r="AXY13" s="20"/>
      <c r="AXZ13" s="20"/>
      <c r="AYA13" s="20"/>
      <c r="AYB13" s="20"/>
      <c r="AYC13" s="20"/>
      <c r="AYD13" s="20"/>
      <c r="AYE13" s="20"/>
      <c r="AYF13" s="20"/>
      <c r="AYG13" s="20"/>
      <c r="AYH13" s="20"/>
      <c r="AYI13" s="20"/>
      <c r="AYJ13" s="20"/>
      <c r="AYK13" s="20"/>
      <c r="AYL13" s="20"/>
      <c r="AYM13" s="20"/>
      <c r="AYN13" s="20"/>
      <c r="AYO13" s="20"/>
      <c r="AYP13" s="20"/>
      <c r="AYQ13" s="20"/>
      <c r="AYR13" s="20"/>
      <c r="AYS13" s="20"/>
      <c r="AYT13" s="20"/>
      <c r="AYU13" s="20"/>
      <c r="AYV13" s="20"/>
      <c r="AYW13" s="20"/>
      <c r="AYX13" s="20"/>
      <c r="AYY13" s="20"/>
      <c r="AYZ13" s="20"/>
      <c r="AZA13" s="20"/>
      <c r="AZB13" s="20"/>
      <c r="AZC13" s="20"/>
      <c r="AZD13" s="20"/>
      <c r="AZE13" s="20"/>
      <c r="AZF13" s="20"/>
      <c r="AZG13" s="20"/>
      <c r="AZH13" s="20"/>
      <c r="AZI13" s="20"/>
      <c r="AZJ13" s="20"/>
      <c r="AZK13" s="20"/>
      <c r="AZL13" s="20"/>
      <c r="AZM13" s="20"/>
      <c r="AZN13" s="20"/>
      <c r="AZO13" s="20"/>
      <c r="AZP13" s="20"/>
      <c r="AZQ13" s="20"/>
      <c r="AZR13" s="20"/>
      <c r="AZS13" s="20"/>
      <c r="AZT13" s="20"/>
      <c r="AZU13" s="20"/>
      <c r="AZV13" s="20"/>
      <c r="AZW13" s="20"/>
      <c r="AZX13" s="20"/>
      <c r="AZY13" s="20"/>
      <c r="AZZ13" s="20"/>
      <c r="BAA13" s="20"/>
      <c r="BAB13" s="20"/>
      <c r="BAC13" s="20"/>
      <c r="BAD13" s="20"/>
      <c r="BAE13" s="20"/>
      <c r="BAF13" s="20"/>
      <c r="BAG13" s="20"/>
      <c r="BAH13" s="20"/>
      <c r="BAI13" s="20"/>
      <c r="BAJ13" s="20"/>
      <c r="BAK13" s="20"/>
      <c r="BAL13" s="20"/>
      <c r="BAM13" s="20"/>
      <c r="BAN13" s="20"/>
      <c r="BAO13" s="20"/>
      <c r="BAP13" s="20"/>
      <c r="BAQ13" s="20"/>
      <c r="BAR13" s="20"/>
      <c r="BAS13" s="20"/>
      <c r="BAT13" s="20"/>
      <c r="BAU13" s="20"/>
      <c r="BAV13" s="20"/>
      <c r="BAW13" s="20"/>
      <c r="BAX13" s="20"/>
      <c r="BAY13" s="20"/>
      <c r="BAZ13" s="20"/>
      <c r="BBA13" s="20"/>
      <c r="BBB13" s="20"/>
      <c r="BBC13" s="20"/>
      <c r="BBD13" s="20"/>
      <c r="BBE13" s="20"/>
      <c r="BBF13" s="20"/>
      <c r="BBG13" s="20"/>
      <c r="BBH13" s="20"/>
      <c r="BBI13" s="20"/>
      <c r="BBJ13" s="20"/>
      <c r="BBK13" s="20"/>
      <c r="BBL13" s="20"/>
      <c r="BBM13" s="20"/>
      <c r="BBN13" s="20"/>
      <c r="BBO13" s="20"/>
      <c r="BBP13" s="20"/>
      <c r="BBQ13" s="20"/>
      <c r="BBR13" s="20"/>
      <c r="BBS13" s="20"/>
      <c r="BBT13" s="20"/>
      <c r="BBU13" s="20"/>
      <c r="BBV13" s="20"/>
      <c r="BBW13" s="20"/>
      <c r="BBX13" s="20"/>
      <c r="BBY13" s="20"/>
      <c r="BBZ13" s="20"/>
      <c r="BCA13" s="20"/>
      <c r="BCB13" s="20"/>
      <c r="BCC13" s="20"/>
      <c r="BCD13" s="20"/>
      <c r="BCE13" s="20"/>
      <c r="BCF13" s="20"/>
      <c r="BCG13" s="20"/>
      <c r="BCH13" s="20"/>
      <c r="BCI13" s="20"/>
      <c r="BCJ13" s="20"/>
      <c r="BCK13" s="20"/>
      <c r="BCL13" s="20"/>
      <c r="BCM13" s="20"/>
      <c r="BCN13" s="20"/>
      <c r="BCO13" s="20"/>
      <c r="BCP13" s="20"/>
      <c r="BCQ13" s="20"/>
      <c r="BCR13" s="20"/>
      <c r="BCS13" s="20"/>
      <c r="BCT13" s="20"/>
      <c r="BCU13" s="20"/>
      <c r="BCV13" s="20"/>
      <c r="BCW13" s="20"/>
      <c r="BCX13" s="20"/>
      <c r="BCY13" s="20"/>
      <c r="BCZ13" s="20"/>
      <c r="BDA13" s="20"/>
      <c r="BDB13" s="20"/>
      <c r="BDC13" s="20"/>
      <c r="BDD13" s="20"/>
      <c r="BDE13" s="20"/>
      <c r="BDF13" s="20"/>
      <c r="BDG13" s="20"/>
      <c r="BDH13" s="20"/>
      <c r="BDI13" s="20"/>
      <c r="BDJ13" s="20"/>
      <c r="BDK13" s="20"/>
      <c r="BDL13" s="20"/>
      <c r="BDM13" s="20"/>
      <c r="BDN13" s="20"/>
      <c r="BDO13" s="20"/>
      <c r="BDP13" s="20"/>
      <c r="BDQ13" s="20"/>
      <c r="BDR13" s="20"/>
      <c r="BDS13" s="20"/>
      <c r="BDT13" s="20"/>
      <c r="BDU13" s="20"/>
      <c r="BDV13" s="20"/>
      <c r="BDW13" s="20"/>
      <c r="BDX13" s="20"/>
      <c r="BDY13" s="20"/>
      <c r="BDZ13" s="20"/>
      <c r="BEA13" s="20"/>
      <c r="BEB13" s="20"/>
      <c r="BEC13" s="20"/>
      <c r="BED13" s="20"/>
      <c r="BEE13" s="20"/>
      <c r="BEF13" s="20"/>
      <c r="BEG13" s="20"/>
      <c r="BEH13" s="20"/>
      <c r="BEI13" s="20"/>
      <c r="BEJ13" s="20"/>
      <c r="BEK13" s="20"/>
      <c r="BEL13" s="20"/>
      <c r="BEM13" s="20"/>
      <c r="BEN13" s="20"/>
      <c r="BEO13" s="20"/>
      <c r="BEP13" s="20"/>
      <c r="BEQ13" s="20"/>
      <c r="BER13" s="20"/>
      <c r="BES13" s="20"/>
      <c r="BET13" s="20"/>
      <c r="BEU13" s="20"/>
      <c r="BEV13" s="20"/>
      <c r="BEW13" s="20"/>
      <c r="BEX13" s="20"/>
      <c r="BEY13" s="20"/>
      <c r="BEZ13" s="20"/>
      <c r="BFA13" s="20"/>
      <c r="BFB13" s="20"/>
      <c r="BFC13" s="20"/>
      <c r="BFD13" s="20"/>
      <c r="BFE13" s="20"/>
      <c r="BFF13" s="20"/>
      <c r="BFG13" s="20"/>
      <c r="BFH13" s="20"/>
      <c r="BFI13" s="20"/>
      <c r="BFJ13" s="20"/>
      <c r="BFK13" s="20"/>
      <c r="BFL13" s="20"/>
      <c r="BFM13" s="20"/>
      <c r="BFN13" s="20"/>
      <c r="BFO13" s="20"/>
      <c r="BFP13" s="20"/>
      <c r="BFQ13" s="20"/>
      <c r="BFR13" s="20"/>
      <c r="BFS13" s="20"/>
      <c r="BFT13" s="20"/>
      <c r="BFU13" s="20"/>
      <c r="BFV13" s="20"/>
      <c r="BFW13" s="20"/>
      <c r="BFX13" s="20"/>
      <c r="BFY13" s="20"/>
      <c r="BFZ13" s="20"/>
      <c r="BGA13" s="20"/>
      <c r="BGB13" s="20"/>
      <c r="BGC13" s="20"/>
      <c r="BGD13" s="20"/>
      <c r="BGE13" s="20"/>
      <c r="BGF13" s="20"/>
      <c r="BGG13" s="20"/>
      <c r="BGH13" s="20"/>
      <c r="BGI13" s="20"/>
      <c r="BGJ13" s="20"/>
      <c r="BGK13" s="20"/>
      <c r="BGL13" s="20"/>
      <c r="BGM13" s="20"/>
      <c r="BGN13" s="20"/>
      <c r="BGO13" s="20"/>
      <c r="BGP13" s="20"/>
      <c r="BGQ13" s="20"/>
      <c r="BGR13" s="20"/>
      <c r="BGS13" s="20"/>
      <c r="BGT13" s="20"/>
      <c r="BGU13" s="20"/>
      <c r="BGV13" s="20"/>
      <c r="BGW13" s="20"/>
      <c r="BGX13" s="20"/>
      <c r="BGY13" s="20"/>
      <c r="BGZ13" s="20"/>
      <c r="BHA13" s="20"/>
      <c r="BHB13" s="20"/>
      <c r="BHC13" s="20"/>
      <c r="BHD13" s="20"/>
      <c r="BHE13" s="20"/>
      <c r="BHF13" s="20"/>
      <c r="BHG13" s="20"/>
      <c r="BHH13" s="20"/>
      <c r="BHI13" s="20"/>
      <c r="BHJ13" s="20"/>
      <c r="BHK13" s="20"/>
      <c r="BHL13" s="20"/>
      <c r="BHM13" s="20"/>
      <c r="BHN13" s="20"/>
      <c r="BHO13" s="20"/>
      <c r="BHP13" s="20"/>
      <c r="BHQ13" s="20"/>
      <c r="BHR13" s="20"/>
      <c r="BHS13" s="20"/>
      <c r="BHT13" s="20"/>
      <c r="BHU13" s="20"/>
      <c r="BHV13" s="20"/>
      <c r="BHW13" s="20"/>
      <c r="BHX13" s="20"/>
      <c r="BHY13" s="20"/>
      <c r="BHZ13" s="20"/>
      <c r="BIA13" s="20"/>
      <c r="BIB13" s="20"/>
      <c r="BIC13" s="20"/>
      <c r="BID13" s="20"/>
      <c r="BIE13" s="20"/>
      <c r="BIF13" s="20"/>
      <c r="BIG13" s="20"/>
      <c r="BIH13" s="20"/>
      <c r="BII13" s="20"/>
      <c r="BIJ13" s="20"/>
      <c r="BIK13" s="20"/>
      <c r="BIL13" s="20"/>
      <c r="BIM13" s="20"/>
      <c r="BIN13" s="20"/>
      <c r="BIO13" s="20"/>
      <c r="BIP13" s="20"/>
      <c r="BIQ13" s="20"/>
      <c r="BIR13" s="20"/>
      <c r="BIS13" s="20"/>
      <c r="BIT13" s="20"/>
      <c r="BIU13" s="20"/>
      <c r="BIV13" s="20"/>
      <c r="BIW13" s="20"/>
      <c r="BIX13" s="20"/>
      <c r="BIY13" s="20"/>
      <c r="BIZ13" s="20"/>
      <c r="BJA13" s="20"/>
      <c r="BJB13" s="20"/>
      <c r="BJC13" s="20"/>
      <c r="BJD13" s="20"/>
      <c r="BJE13" s="20"/>
      <c r="BJF13" s="20"/>
      <c r="BJG13" s="20"/>
      <c r="BJH13" s="20"/>
      <c r="BJI13" s="20"/>
      <c r="BJJ13" s="20"/>
      <c r="BJK13" s="20"/>
      <c r="BJL13" s="20"/>
      <c r="BJM13" s="20"/>
      <c r="BJN13" s="20"/>
      <c r="BJO13" s="20"/>
      <c r="BJP13" s="20"/>
      <c r="BJQ13" s="20"/>
      <c r="BJR13" s="20"/>
      <c r="BJS13" s="20"/>
      <c r="BJT13" s="20"/>
      <c r="BJU13" s="20"/>
      <c r="BJV13" s="20"/>
      <c r="BJW13" s="20"/>
      <c r="BJX13" s="20"/>
      <c r="BJY13" s="20"/>
      <c r="BJZ13" s="20"/>
      <c r="BKA13" s="20"/>
      <c r="BKB13" s="20"/>
      <c r="BKC13" s="20"/>
      <c r="BKD13" s="20"/>
      <c r="BKE13" s="20"/>
      <c r="BKF13" s="20"/>
      <c r="BKG13" s="20"/>
      <c r="BKH13" s="20"/>
      <c r="BKI13" s="20"/>
      <c r="BKJ13" s="20"/>
      <c r="BKK13" s="20"/>
      <c r="BKL13" s="20"/>
      <c r="BKM13" s="20"/>
      <c r="BKN13" s="20"/>
      <c r="BKO13" s="20"/>
      <c r="BKP13" s="20"/>
      <c r="BKQ13" s="20"/>
      <c r="BKR13" s="20"/>
      <c r="BKS13" s="20"/>
      <c r="BKT13" s="20"/>
      <c r="BKU13" s="20"/>
      <c r="BKV13" s="20"/>
      <c r="BKW13" s="20"/>
      <c r="BKX13" s="20"/>
      <c r="BKY13" s="20"/>
      <c r="BKZ13" s="20"/>
      <c r="BLA13" s="20"/>
      <c r="BLB13" s="20"/>
      <c r="BLC13" s="20"/>
      <c r="BLD13" s="20"/>
      <c r="BLE13" s="20"/>
      <c r="BLF13" s="20"/>
      <c r="BLG13" s="20"/>
      <c r="BLH13" s="20"/>
      <c r="BLI13" s="20"/>
      <c r="BLJ13" s="20"/>
      <c r="BLK13" s="20"/>
      <c r="BLL13" s="20"/>
      <c r="BLM13" s="20"/>
      <c r="BLN13" s="20"/>
      <c r="BLO13" s="20"/>
      <c r="BLP13" s="20"/>
      <c r="BLQ13" s="20"/>
      <c r="BLR13" s="20"/>
      <c r="BLS13" s="20"/>
      <c r="BLT13" s="20"/>
      <c r="BLU13" s="20"/>
      <c r="BLV13" s="20"/>
      <c r="BLW13" s="20"/>
      <c r="BLX13" s="20"/>
      <c r="BLY13" s="20"/>
      <c r="BLZ13" s="20"/>
      <c r="BMA13" s="20"/>
      <c r="BMB13" s="20"/>
      <c r="BMC13" s="20"/>
      <c r="BMD13" s="20"/>
      <c r="BME13" s="20"/>
      <c r="BMF13" s="20"/>
      <c r="BMG13" s="20"/>
      <c r="BMH13" s="20"/>
      <c r="BMI13" s="20"/>
      <c r="BMJ13" s="20"/>
      <c r="BMK13" s="20"/>
      <c r="BML13" s="20"/>
      <c r="BMM13" s="20"/>
      <c r="BMN13" s="20"/>
      <c r="BMO13" s="20"/>
      <c r="BMP13" s="20"/>
      <c r="BMQ13" s="20"/>
      <c r="BMR13" s="20"/>
      <c r="BMS13" s="20"/>
      <c r="BMT13" s="20"/>
      <c r="BMU13" s="20"/>
      <c r="BMV13" s="20"/>
      <c r="BMW13" s="20"/>
      <c r="BMX13" s="20"/>
      <c r="BMY13" s="20"/>
      <c r="BMZ13" s="20"/>
      <c r="BNA13" s="20"/>
      <c r="BNB13" s="20"/>
      <c r="BNC13" s="20"/>
      <c r="BND13" s="20"/>
      <c r="BNE13" s="20"/>
      <c r="BNF13" s="20"/>
      <c r="BNG13" s="20"/>
      <c r="BNH13" s="20"/>
      <c r="BNI13" s="20"/>
      <c r="BNJ13" s="20"/>
      <c r="BNK13" s="20"/>
      <c r="BNL13" s="20"/>
      <c r="BNM13" s="20"/>
      <c r="BNN13" s="20"/>
      <c r="BNO13" s="20"/>
      <c r="BNP13" s="20"/>
      <c r="BNQ13" s="20"/>
      <c r="BNR13" s="20"/>
      <c r="BNS13" s="20"/>
      <c r="BNT13" s="20"/>
      <c r="BNU13" s="20"/>
      <c r="BNV13" s="20"/>
      <c r="BNW13" s="20"/>
      <c r="BNX13" s="20"/>
      <c r="BNY13" s="20"/>
      <c r="BNZ13" s="20"/>
      <c r="BOA13" s="20"/>
      <c r="BOB13" s="20"/>
      <c r="BOC13" s="20"/>
      <c r="BOD13" s="20"/>
      <c r="BOE13" s="20"/>
      <c r="BOF13" s="20"/>
      <c r="BOG13" s="20"/>
      <c r="BOH13" s="20"/>
      <c r="BOI13" s="20"/>
      <c r="BOJ13" s="20"/>
      <c r="BOK13" s="20"/>
      <c r="BOL13" s="20"/>
      <c r="BOM13" s="20"/>
      <c r="BON13" s="20"/>
      <c r="BOO13" s="20"/>
      <c r="BOP13" s="20"/>
      <c r="BOQ13" s="20"/>
      <c r="BOR13" s="20"/>
      <c r="BOS13" s="20"/>
      <c r="BOT13" s="20"/>
      <c r="BOU13" s="20"/>
      <c r="BOV13" s="20"/>
      <c r="BOW13" s="20"/>
      <c r="BOX13" s="20"/>
      <c r="BOY13" s="20"/>
      <c r="BOZ13" s="20"/>
      <c r="BPA13" s="20"/>
      <c r="BPB13" s="20"/>
      <c r="BPC13" s="20"/>
      <c r="BPD13" s="20"/>
      <c r="BPE13" s="20"/>
      <c r="BPF13" s="20"/>
      <c r="BPG13" s="20"/>
      <c r="BPH13" s="20"/>
      <c r="BPI13" s="20"/>
      <c r="BPJ13" s="20"/>
      <c r="BPK13" s="20"/>
      <c r="BPL13" s="20"/>
      <c r="BPM13" s="20"/>
      <c r="BPN13" s="20"/>
      <c r="BPO13" s="20"/>
      <c r="BPP13" s="20"/>
      <c r="BPQ13" s="20"/>
      <c r="BPR13" s="20"/>
      <c r="BPS13" s="20"/>
      <c r="BPT13" s="20"/>
      <c r="BPU13" s="20"/>
      <c r="BPV13" s="20"/>
      <c r="BPW13" s="20"/>
      <c r="BPX13" s="20"/>
      <c r="BPY13" s="20"/>
      <c r="BPZ13" s="20"/>
      <c r="BQA13" s="20"/>
      <c r="BQB13" s="20"/>
      <c r="BQC13" s="20"/>
      <c r="BQD13" s="20"/>
      <c r="BQE13" s="20"/>
      <c r="BQF13" s="20"/>
      <c r="BQG13" s="20"/>
      <c r="BQH13" s="20"/>
      <c r="BQI13" s="20"/>
      <c r="BQJ13" s="20"/>
      <c r="BQK13" s="20"/>
      <c r="BQL13" s="20"/>
      <c r="BQM13" s="20"/>
      <c r="BQN13" s="20"/>
      <c r="BQO13" s="20"/>
      <c r="BQP13" s="20"/>
      <c r="BQQ13" s="20"/>
      <c r="BQR13" s="20"/>
      <c r="BQS13" s="20"/>
      <c r="BQT13" s="20"/>
      <c r="BQU13" s="20"/>
      <c r="BQV13" s="20"/>
      <c r="BQW13" s="20"/>
      <c r="BQX13" s="20"/>
      <c r="BQY13" s="20"/>
      <c r="BQZ13" s="20"/>
      <c r="BRA13" s="20"/>
      <c r="BRB13" s="20"/>
      <c r="BRC13" s="20"/>
      <c r="BRD13" s="20"/>
      <c r="BRE13" s="20"/>
      <c r="BRF13" s="20"/>
      <c r="BRG13" s="20"/>
      <c r="BRH13" s="20"/>
      <c r="BRI13" s="20"/>
      <c r="BRJ13" s="20"/>
      <c r="BRK13" s="20"/>
      <c r="BRL13" s="20"/>
      <c r="BRM13" s="20"/>
      <c r="BRN13" s="20"/>
      <c r="BRO13" s="20"/>
      <c r="BRP13" s="20"/>
      <c r="BRQ13" s="20"/>
      <c r="BRR13" s="20"/>
      <c r="BRS13" s="20"/>
      <c r="BRT13" s="20"/>
      <c r="BRU13" s="20"/>
      <c r="BRV13" s="20"/>
      <c r="BRW13" s="20"/>
      <c r="BRX13" s="20"/>
      <c r="BRY13" s="20"/>
      <c r="BRZ13" s="20"/>
      <c r="BSA13" s="20"/>
      <c r="BSB13" s="20"/>
      <c r="BSC13" s="20"/>
      <c r="BSD13" s="20"/>
      <c r="BSE13" s="20"/>
      <c r="BSF13" s="20"/>
      <c r="BSG13" s="20"/>
      <c r="BSH13" s="20"/>
      <c r="BSI13" s="20"/>
      <c r="BSJ13" s="20"/>
      <c r="BSK13" s="20"/>
      <c r="BSL13" s="20"/>
      <c r="BSM13" s="20"/>
      <c r="BSN13" s="20"/>
      <c r="BSO13" s="20"/>
      <c r="BSP13" s="20"/>
      <c r="BSQ13" s="20"/>
      <c r="BSR13" s="20"/>
      <c r="BSS13" s="20"/>
      <c r="BST13" s="20"/>
      <c r="BSU13" s="20"/>
      <c r="BSV13" s="20"/>
      <c r="BSW13" s="20"/>
      <c r="BSX13" s="20"/>
      <c r="BSY13" s="20"/>
      <c r="BSZ13" s="20"/>
      <c r="BTA13" s="20"/>
      <c r="BTB13" s="20"/>
      <c r="BTC13" s="20"/>
      <c r="BTD13" s="20"/>
      <c r="BTE13" s="20"/>
      <c r="BTF13" s="20"/>
      <c r="BTG13" s="20"/>
      <c r="BTH13" s="20"/>
      <c r="BTI13" s="20"/>
      <c r="BTJ13" s="20"/>
      <c r="BTK13" s="20"/>
      <c r="BTL13" s="20"/>
      <c r="BTM13" s="20"/>
      <c r="BTN13" s="20"/>
      <c r="BTO13" s="20"/>
      <c r="BTP13" s="20"/>
      <c r="BTQ13" s="20"/>
      <c r="BTR13" s="20"/>
      <c r="BTS13" s="20"/>
      <c r="BTT13" s="20"/>
      <c r="BTU13" s="20"/>
      <c r="BTV13" s="20"/>
      <c r="BTW13" s="20"/>
      <c r="BTX13" s="20"/>
      <c r="BTY13" s="20"/>
      <c r="BTZ13" s="20"/>
      <c r="BUA13" s="20"/>
      <c r="BUB13" s="20"/>
      <c r="BUC13" s="20"/>
      <c r="BUD13" s="20"/>
      <c r="BUE13" s="20"/>
      <c r="BUF13" s="20"/>
      <c r="BUG13" s="20"/>
      <c r="BUH13" s="20"/>
      <c r="BUI13" s="20"/>
      <c r="BUJ13" s="20"/>
      <c r="BUK13" s="20"/>
      <c r="BUL13" s="20"/>
      <c r="BUM13" s="20"/>
      <c r="BUN13" s="20"/>
      <c r="BUO13" s="20"/>
      <c r="BUP13" s="20"/>
      <c r="BUQ13" s="20"/>
      <c r="BUR13" s="20"/>
      <c r="BUS13" s="20"/>
      <c r="BUT13" s="20"/>
      <c r="BUU13" s="20"/>
      <c r="BUV13" s="20"/>
      <c r="BUW13" s="20"/>
      <c r="BUX13" s="20"/>
      <c r="BUY13" s="20"/>
      <c r="BUZ13" s="20"/>
      <c r="BVA13" s="20"/>
      <c r="BVB13" s="20"/>
      <c r="BVC13" s="20"/>
      <c r="BVD13" s="20"/>
      <c r="BVE13" s="20"/>
      <c r="BVF13" s="20"/>
      <c r="BVG13" s="20"/>
      <c r="BVH13" s="20"/>
      <c r="BVI13" s="20"/>
      <c r="BVJ13" s="20"/>
      <c r="BVK13" s="20"/>
      <c r="BVL13" s="20"/>
      <c r="BVM13" s="20"/>
      <c r="BVN13" s="20"/>
      <c r="BVO13" s="20"/>
      <c r="BVP13" s="20"/>
      <c r="BVQ13" s="20"/>
      <c r="BVR13" s="20"/>
      <c r="BVS13" s="20"/>
      <c r="BVT13" s="20"/>
      <c r="BVU13" s="20"/>
      <c r="BVV13" s="20"/>
      <c r="BVW13" s="20"/>
      <c r="BVX13" s="20"/>
      <c r="BVY13" s="20"/>
      <c r="BVZ13" s="20"/>
      <c r="BWA13" s="20"/>
      <c r="BWB13" s="20"/>
      <c r="BWC13" s="20"/>
      <c r="BWD13" s="20"/>
      <c r="BWE13" s="20"/>
      <c r="BWF13" s="20"/>
      <c r="BWG13" s="20"/>
      <c r="BWH13" s="20"/>
      <c r="BWI13" s="20"/>
      <c r="BWJ13" s="20"/>
      <c r="BWK13" s="20"/>
      <c r="BWL13" s="20"/>
      <c r="BWM13" s="20"/>
      <c r="BWN13" s="20"/>
      <c r="BWO13" s="20"/>
      <c r="BWP13" s="20"/>
      <c r="BWQ13" s="20"/>
      <c r="BWR13" s="20"/>
      <c r="BWS13" s="20"/>
      <c r="BWT13" s="20"/>
      <c r="BWU13" s="20"/>
      <c r="BWV13" s="20"/>
      <c r="BWW13" s="20"/>
      <c r="BWX13" s="20"/>
      <c r="BWY13" s="20"/>
      <c r="BWZ13" s="20"/>
      <c r="BXA13" s="20"/>
      <c r="BXB13" s="20"/>
      <c r="BXC13" s="20"/>
      <c r="BXD13" s="20"/>
      <c r="BXE13" s="20"/>
      <c r="BXF13" s="20"/>
      <c r="BXG13" s="20"/>
      <c r="BXH13" s="20"/>
      <c r="BXI13" s="20"/>
      <c r="BXJ13" s="20"/>
      <c r="BXK13" s="20"/>
      <c r="BXL13" s="20"/>
      <c r="BXM13" s="20"/>
      <c r="BXN13" s="20"/>
      <c r="BXO13" s="20"/>
      <c r="BXP13" s="20"/>
      <c r="BXQ13" s="20"/>
      <c r="BXR13" s="20"/>
      <c r="BXS13" s="20"/>
      <c r="BXT13" s="20"/>
      <c r="BXU13" s="20"/>
      <c r="BXV13" s="20"/>
      <c r="BXW13" s="20"/>
      <c r="BXX13" s="20"/>
      <c r="BXY13" s="20"/>
      <c r="BXZ13" s="20"/>
      <c r="BYA13" s="20"/>
      <c r="BYB13" s="20"/>
      <c r="BYC13" s="20"/>
      <c r="BYD13" s="20"/>
      <c r="BYE13" s="20"/>
      <c r="BYF13" s="20"/>
      <c r="BYG13" s="20"/>
      <c r="BYH13" s="20"/>
      <c r="BYI13" s="20"/>
      <c r="BYJ13" s="20"/>
      <c r="BYK13" s="20"/>
      <c r="BYL13" s="20"/>
      <c r="BYM13" s="20"/>
      <c r="BYN13" s="20"/>
      <c r="BYO13" s="20"/>
      <c r="BYP13" s="20"/>
      <c r="BYQ13" s="20"/>
      <c r="BYR13" s="20"/>
      <c r="BYS13" s="20"/>
      <c r="BYT13" s="20"/>
      <c r="BYU13" s="20"/>
      <c r="BYV13" s="20"/>
      <c r="BYW13" s="20"/>
      <c r="BYX13" s="20"/>
      <c r="BYY13" s="20"/>
      <c r="BYZ13" s="20"/>
      <c r="BZA13" s="20"/>
      <c r="BZB13" s="20"/>
      <c r="BZC13" s="20"/>
      <c r="BZD13" s="20"/>
      <c r="BZE13" s="20"/>
      <c r="BZF13" s="20"/>
      <c r="BZG13" s="20"/>
      <c r="BZH13" s="20"/>
      <c r="BZI13" s="20"/>
      <c r="BZJ13" s="20"/>
      <c r="BZK13" s="20"/>
      <c r="BZL13" s="20"/>
      <c r="BZM13" s="20"/>
      <c r="BZN13" s="20"/>
      <c r="BZO13" s="20"/>
      <c r="BZP13" s="20"/>
      <c r="BZQ13" s="20"/>
      <c r="BZR13" s="20"/>
      <c r="BZS13" s="20"/>
      <c r="BZT13" s="20"/>
      <c r="BZU13" s="20"/>
      <c r="BZV13" s="20"/>
      <c r="BZW13" s="20"/>
      <c r="BZX13" s="20"/>
      <c r="BZY13" s="20"/>
      <c r="BZZ13" s="20"/>
      <c r="CAA13" s="20"/>
      <c r="CAB13" s="20"/>
      <c r="CAC13" s="20"/>
      <c r="CAD13" s="20"/>
      <c r="CAE13" s="20"/>
      <c r="CAF13" s="20"/>
      <c r="CAG13" s="20"/>
      <c r="CAH13" s="20"/>
      <c r="CAI13" s="20"/>
      <c r="CAJ13" s="20"/>
      <c r="CAK13" s="20"/>
      <c r="CAL13" s="20"/>
      <c r="CAM13" s="20"/>
      <c r="CAN13" s="20"/>
      <c r="CAO13" s="20"/>
      <c r="CAP13" s="20"/>
      <c r="CAQ13" s="20"/>
      <c r="CAR13" s="20"/>
      <c r="CAS13" s="20"/>
      <c r="CAT13" s="20"/>
      <c r="CAU13" s="20"/>
      <c r="CAV13" s="20"/>
      <c r="CAW13" s="20"/>
      <c r="CAX13" s="20"/>
      <c r="CAY13" s="20"/>
      <c r="CAZ13" s="20"/>
      <c r="CBA13" s="20"/>
      <c r="CBB13" s="20"/>
      <c r="CBC13" s="20"/>
      <c r="CBD13" s="20"/>
      <c r="CBE13" s="20"/>
      <c r="CBF13" s="20"/>
      <c r="CBG13" s="20"/>
      <c r="CBH13" s="20"/>
      <c r="CBI13" s="20"/>
      <c r="CBJ13" s="20"/>
      <c r="CBK13" s="20"/>
      <c r="CBL13" s="20"/>
      <c r="CBM13" s="20"/>
      <c r="CBN13" s="20"/>
      <c r="CBO13" s="20"/>
      <c r="CBP13" s="20"/>
      <c r="CBQ13" s="20"/>
      <c r="CBR13" s="20"/>
      <c r="CBS13" s="20"/>
      <c r="CBT13" s="20"/>
      <c r="CBU13" s="20"/>
      <c r="CBV13" s="20"/>
      <c r="CBW13" s="20"/>
      <c r="CBX13" s="20"/>
      <c r="CBY13" s="20"/>
      <c r="CBZ13" s="20"/>
      <c r="CCA13" s="20"/>
      <c r="CCB13" s="20"/>
      <c r="CCC13" s="20"/>
      <c r="CCD13" s="20"/>
      <c r="CCE13" s="20"/>
      <c r="CCF13" s="20"/>
      <c r="CCG13" s="20"/>
      <c r="CCH13" s="20"/>
      <c r="CCI13" s="20"/>
      <c r="CCJ13" s="20"/>
      <c r="CCK13" s="20"/>
      <c r="CCL13" s="20"/>
      <c r="CCM13" s="20"/>
      <c r="CCN13" s="20"/>
      <c r="CCO13" s="20"/>
      <c r="CCP13" s="20"/>
      <c r="CCQ13" s="20"/>
      <c r="CCR13" s="20"/>
      <c r="CCS13" s="20"/>
      <c r="CCT13" s="20"/>
      <c r="CCU13" s="20"/>
      <c r="CCV13" s="20"/>
      <c r="CCW13" s="20"/>
      <c r="CCX13" s="20"/>
      <c r="CCY13" s="20"/>
      <c r="CCZ13" s="20"/>
      <c r="CDA13" s="20"/>
      <c r="CDB13" s="20"/>
      <c r="CDC13" s="20"/>
      <c r="CDD13" s="20"/>
      <c r="CDE13" s="20"/>
      <c r="CDF13" s="20"/>
      <c r="CDG13" s="20"/>
      <c r="CDH13" s="20"/>
      <c r="CDI13" s="20"/>
      <c r="CDJ13" s="20"/>
      <c r="CDK13" s="20"/>
      <c r="CDL13" s="20"/>
      <c r="CDM13" s="20"/>
      <c r="CDN13" s="20"/>
      <c r="CDO13" s="20"/>
      <c r="CDP13" s="20"/>
      <c r="CDQ13" s="20"/>
      <c r="CDR13" s="20"/>
      <c r="CDS13" s="20"/>
      <c r="CDT13" s="20"/>
      <c r="CDU13" s="20"/>
      <c r="CDV13" s="20"/>
      <c r="CDW13" s="20"/>
      <c r="CDX13" s="20"/>
      <c r="CDY13" s="20"/>
      <c r="CDZ13" s="20"/>
      <c r="CEA13" s="20"/>
      <c r="CEB13" s="20"/>
      <c r="CEC13" s="20"/>
      <c r="CED13" s="20"/>
      <c r="CEE13" s="20"/>
      <c r="CEF13" s="20"/>
      <c r="CEG13" s="20"/>
      <c r="CEH13" s="20"/>
      <c r="CEI13" s="20"/>
      <c r="CEJ13" s="20"/>
      <c r="CEK13" s="20"/>
      <c r="CEL13" s="20"/>
      <c r="CEM13" s="20"/>
      <c r="CEN13" s="20"/>
      <c r="CEO13" s="20"/>
      <c r="CEP13" s="20"/>
      <c r="CEQ13" s="20"/>
      <c r="CER13" s="20"/>
      <c r="CES13" s="20"/>
      <c r="CET13" s="20"/>
      <c r="CEU13" s="20"/>
      <c r="CEV13" s="20"/>
      <c r="CEW13" s="20"/>
      <c r="CEX13" s="20"/>
      <c r="CEY13" s="20"/>
      <c r="CEZ13" s="20"/>
      <c r="CFA13" s="20"/>
      <c r="CFB13" s="20"/>
      <c r="CFC13" s="20"/>
      <c r="CFD13" s="20"/>
      <c r="CFE13" s="20"/>
      <c r="CFF13" s="20"/>
      <c r="CFG13" s="20"/>
      <c r="CFH13" s="20"/>
      <c r="CFI13" s="20"/>
      <c r="CFJ13" s="20"/>
      <c r="CFK13" s="20"/>
      <c r="CFL13" s="20"/>
      <c r="CFM13" s="20"/>
      <c r="CFN13" s="20"/>
      <c r="CFO13" s="20"/>
      <c r="CFP13" s="20"/>
      <c r="CFQ13" s="20"/>
      <c r="CFR13" s="20"/>
      <c r="CFS13" s="20"/>
      <c r="CFT13" s="20"/>
      <c r="CFU13" s="20"/>
      <c r="CFV13" s="20"/>
      <c r="CFW13" s="20"/>
      <c r="CFX13" s="20"/>
      <c r="CFY13" s="20"/>
      <c r="CFZ13" s="20"/>
      <c r="CGA13" s="20"/>
      <c r="CGB13" s="20"/>
      <c r="CGC13" s="20"/>
      <c r="CGD13" s="20"/>
      <c r="CGE13" s="20"/>
      <c r="CGF13" s="20"/>
      <c r="CGG13" s="20"/>
      <c r="CGH13" s="20"/>
      <c r="CGI13" s="20"/>
      <c r="CGJ13" s="20"/>
      <c r="CGK13" s="20"/>
      <c r="CGL13" s="20"/>
      <c r="CGM13" s="20"/>
      <c r="CGN13" s="20"/>
      <c r="CGO13" s="20"/>
      <c r="CGP13" s="20"/>
      <c r="CGQ13" s="20"/>
      <c r="CGR13" s="20"/>
      <c r="CGS13" s="20"/>
      <c r="CGT13" s="20"/>
      <c r="CGU13" s="20"/>
      <c r="CGV13" s="20"/>
      <c r="CGW13" s="20"/>
      <c r="CGX13" s="20"/>
      <c r="CGY13" s="20"/>
      <c r="CGZ13" s="20"/>
      <c r="CHA13" s="20"/>
      <c r="CHB13" s="20"/>
      <c r="CHC13" s="20"/>
      <c r="CHD13" s="20"/>
      <c r="CHE13" s="20"/>
      <c r="CHF13" s="20"/>
      <c r="CHG13" s="20"/>
      <c r="CHH13" s="20"/>
      <c r="CHI13" s="20"/>
      <c r="CHJ13" s="20"/>
      <c r="CHK13" s="20"/>
      <c r="CHL13" s="20"/>
      <c r="CHM13" s="20"/>
      <c r="CHN13" s="20"/>
      <c r="CHO13" s="20"/>
      <c r="CHP13" s="20"/>
      <c r="CHQ13" s="20"/>
      <c r="CHR13" s="20"/>
      <c r="CHS13" s="20"/>
      <c r="CHT13" s="20"/>
      <c r="CHU13" s="20"/>
      <c r="CHV13" s="20"/>
      <c r="CHW13" s="20"/>
      <c r="CHX13" s="20"/>
      <c r="CHY13" s="20"/>
      <c r="CHZ13" s="20"/>
      <c r="CIA13" s="20"/>
      <c r="CIB13" s="20"/>
      <c r="CIC13" s="20"/>
      <c r="CID13" s="20"/>
      <c r="CIE13" s="20"/>
      <c r="CIF13" s="20"/>
      <c r="CIG13" s="20"/>
      <c r="CIH13" s="20"/>
      <c r="CII13" s="20"/>
      <c r="CIJ13" s="20"/>
      <c r="CIK13" s="20"/>
      <c r="CIL13" s="20"/>
      <c r="CIM13" s="20"/>
      <c r="CIN13" s="20"/>
      <c r="CIO13" s="20"/>
      <c r="CIP13" s="20"/>
      <c r="CIQ13" s="20"/>
      <c r="CIR13" s="20"/>
      <c r="CIS13" s="20"/>
      <c r="CIT13" s="20"/>
      <c r="CIU13" s="20"/>
      <c r="CIV13" s="20"/>
      <c r="CIW13" s="20"/>
      <c r="CIX13" s="20"/>
      <c r="CIY13" s="20"/>
      <c r="CIZ13" s="20"/>
      <c r="CJA13" s="20"/>
      <c r="CJB13" s="20"/>
      <c r="CJC13" s="20"/>
      <c r="CJD13" s="20"/>
      <c r="CJE13" s="20"/>
      <c r="CJF13" s="20"/>
      <c r="CJG13" s="20"/>
      <c r="CJH13" s="20"/>
      <c r="CJI13" s="20"/>
      <c r="CJJ13" s="20"/>
      <c r="CJK13" s="20"/>
      <c r="CJL13" s="20"/>
      <c r="CJM13" s="20"/>
      <c r="CJN13" s="20"/>
      <c r="CJO13" s="20"/>
      <c r="CJP13" s="20"/>
      <c r="CJQ13" s="20"/>
      <c r="CJR13" s="20"/>
      <c r="CJS13" s="20"/>
      <c r="CJT13" s="20"/>
      <c r="CJU13" s="20"/>
      <c r="CJV13" s="20"/>
      <c r="CJW13" s="20"/>
      <c r="CJX13" s="20"/>
      <c r="CJY13" s="20"/>
      <c r="CJZ13" s="20"/>
      <c r="CKA13" s="20"/>
      <c r="CKB13" s="20"/>
      <c r="CKC13" s="20"/>
      <c r="CKD13" s="20"/>
      <c r="CKE13" s="20"/>
      <c r="CKF13" s="20"/>
      <c r="CKG13" s="20"/>
      <c r="CKH13" s="20"/>
      <c r="CKI13" s="20"/>
      <c r="CKJ13" s="20"/>
      <c r="CKK13" s="20"/>
      <c r="CKL13" s="20"/>
      <c r="CKM13" s="20"/>
      <c r="CKN13" s="20"/>
      <c r="CKO13" s="20"/>
      <c r="CKP13" s="20"/>
      <c r="CKQ13" s="20"/>
      <c r="CKR13" s="20"/>
      <c r="CKS13" s="20"/>
      <c r="CKT13" s="20"/>
      <c r="CKU13" s="20"/>
      <c r="CKV13" s="20"/>
      <c r="CKW13" s="20"/>
      <c r="CKX13" s="20"/>
      <c r="CKY13" s="20"/>
      <c r="CKZ13" s="20"/>
      <c r="CLA13" s="20"/>
      <c r="CLB13" s="20"/>
      <c r="CLC13" s="20"/>
      <c r="CLD13" s="20"/>
      <c r="CLE13" s="20"/>
      <c r="CLF13" s="20"/>
      <c r="CLG13" s="20"/>
      <c r="CLH13" s="20"/>
      <c r="CLI13" s="20"/>
      <c r="CLJ13" s="20"/>
      <c r="CLK13" s="20"/>
      <c r="CLL13" s="20"/>
      <c r="CLM13" s="20"/>
      <c r="CLN13" s="20"/>
      <c r="CLO13" s="20"/>
      <c r="CLP13" s="20"/>
      <c r="CLQ13" s="20"/>
      <c r="CLR13" s="20"/>
      <c r="CLS13" s="20"/>
      <c r="CLT13" s="20"/>
      <c r="CLU13" s="20"/>
      <c r="CLV13" s="20"/>
      <c r="CLW13" s="20"/>
      <c r="CLX13" s="20"/>
      <c r="CLY13" s="20"/>
      <c r="CLZ13" s="20"/>
      <c r="CMA13" s="20"/>
      <c r="CMB13" s="20"/>
      <c r="CMC13" s="20"/>
      <c r="CMD13" s="20"/>
      <c r="CME13" s="20"/>
      <c r="CMF13" s="20"/>
      <c r="CMG13" s="20"/>
      <c r="CMH13" s="20"/>
      <c r="CMI13" s="20"/>
      <c r="CMJ13" s="20"/>
      <c r="CMK13" s="20"/>
      <c r="CML13" s="20"/>
      <c r="CMM13" s="20"/>
      <c r="CMN13" s="20"/>
      <c r="CMO13" s="20"/>
      <c r="CMP13" s="20"/>
      <c r="CMQ13" s="20"/>
      <c r="CMR13" s="20"/>
      <c r="CMS13" s="20"/>
      <c r="CMT13" s="20"/>
      <c r="CMU13" s="20"/>
      <c r="CMV13" s="20"/>
      <c r="CMW13" s="20"/>
      <c r="CMX13" s="20"/>
      <c r="CMY13" s="20"/>
      <c r="CMZ13" s="20"/>
      <c r="CNA13" s="20"/>
      <c r="CNB13" s="20"/>
      <c r="CNC13" s="20"/>
      <c r="CND13" s="20"/>
      <c r="CNE13" s="20"/>
      <c r="CNF13" s="20"/>
      <c r="CNG13" s="20"/>
      <c r="CNH13" s="20"/>
      <c r="CNI13" s="20"/>
      <c r="CNJ13" s="20"/>
      <c r="CNK13" s="20"/>
      <c r="CNL13" s="20"/>
      <c r="CNM13" s="20"/>
      <c r="CNN13" s="20"/>
      <c r="CNO13" s="20"/>
      <c r="CNP13" s="20"/>
      <c r="CNQ13" s="20"/>
      <c r="CNR13" s="20"/>
      <c r="CNS13" s="20"/>
      <c r="CNT13" s="20"/>
      <c r="CNU13" s="20"/>
      <c r="CNV13" s="20"/>
      <c r="CNW13" s="20"/>
      <c r="CNX13" s="20"/>
      <c r="CNY13" s="20"/>
      <c r="CNZ13" s="20"/>
      <c r="COA13" s="20"/>
      <c r="COB13" s="20"/>
      <c r="COC13" s="20"/>
      <c r="COD13" s="20"/>
      <c r="COE13" s="20"/>
      <c r="COF13" s="20"/>
      <c r="COG13" s="20"/>
      <c r="COH13" s="20"/>
      <c r="COI13" s="20"/>
      <c r="COJ13" s="20"/>
      <c r="COK13" s="20"/>
      <c r="COL13" s="20"/>
      <c r="COM13" s="20"/>
      <c r="CON13" s="20"/>
      <c r="COO13" s="20"/>
      <c r="COP13" s="20"/>
      <c r="COQ13" s="20"/>
      <c r="COR13" s="20"/>
      <c r="COS13" s="20"/>
      <c r="COT13" s="20"/>
      <c r="COU13" s="20"/>
      <c r="COV13" s="20"/>
      <c r="COW13" s="20"/>
      <c r="COX13" s="20"/>
      <c r="COY13" s="20"/>
      <c r="COZ13" s="20"/>
      <c r="CPA13" s="20"/>
      <c r="CPB13" s="20"/>
      <c r="CPC13" s="20"/>
      <c r="CPD13" s="20"/>
      <c r="CPE13" s="20"/>
      <c r="CPF13" s="20"/>
      <c r="CPG13" s="20"/>
      <c r="CPH13" s="20"/>
      <c r="CPI13" s="20"/>
      <c r="CPJ13" s="20"/>
      <c r="CPK13" s="20"/>
      <c r="CPL13" s="20"/>
      <c r="CPM13" s="20"/>
      <c r="CPN13" s="20"/>
      <c r="CPO13" s="20"/>
      <c r="CPP13" s="20"/>
      <c r="CPQ13" s="20"/>
      <c r="CPR13" s="20"/>
      <c r="CPS13" s="20"/>
      <c r="CPT13" s="20"/>
      <c r="CPU13" s="20"/>
      <c r="CPV13" s="20"/>
      <c r="CPW13" s="20"/>
      <c r="CPX13" s="20"/>
      <c r="CPY13" s="20"/>
      <c r="CPZ13" s="20"/>
      <c r="CQA13" s="20"/>
      <c r="CQB13" s="20"/>
      <c r="CQC13" s="20"/>
      <c r="CQD13" s="20"/>
      <c r="CQE13" s="20"/>
      <c r="CQF13" s="20"/>
      <c r="CQG13" s="20"/>
      <c r="CQH13" s="20"/>
      <c r="CQI13" s="20"/>
      <c r="CQJ13" s="20"/>
      <c r="CQK13" s="20"/>
      <c r="CQL13" s="20"/>
      <c r="CQM13" s="20"/>
      <c r="CQN13" s="20"/>
      <c r="CQO13" s="20"/>
      <c r="CQP13" s="20"/>
      <c r="CQQ13" s="20"/>
      <c r="CQR13" s="20"/>
      <c r="CQS13" s="20"/>
      <c r="CQT13" s="20"/>
      <c r="CQU13" s="20"/>
      <c r="CQV13" s="20"/>
      <c r="CQW13" s="20"/>
      <c r="CQX13" s="20"/>
      <c r="CQY13" s="20"/>
      <c r="CQZ13" s="20"/>
      <c r="CRA13" s="20"/>
      <c r="CRB13" s="20"/>
      <c r="CRC13" s="20"/>
      <c r="CRD13" s="20"/>
      <c r="CRE13" s="20"/>
      <c r="CRF13" s="20"/>
      <c r="CRG13" s="20"/>
      <c r="CRH13" s="20"/>
      <c r="CRI13" s="20"/>
      <c r="CRJ13" s="20"/>
      <c r="CRK13" s="20"/>
      <c r="CRL13" s="20"/>
      <c r="CRM13" s="20"/>
      <c r="CRN13" s="20"/>
      <c r="CRO13" s="20"/>
      <c r="CRP13" s="20"/>
      <c r="CRQ13" s="20"/>
      <c r="CRR13" s="20"/>
      <c r="CRS13" s="20"/>
      <c r="CRT13" s="20"/>
      <c r="CRU13" s="20"/>
      <c r="CRV13" s="20"/>
      <c r="CRW13" s="20"/>
      <c r="CRX13" s="20"/>
      <c r="CRY13" s="20"/>
      <c r="CRZ13" s="20"/>
      <c r="CSA13" s="20"/>
      <c r="CSB13" s="20"/>
      <c r="CSC13" s="20"/>
      <c r="CSD13" s="20"/>
      <c r="CSE13" s="20"/>
      <c r="CSF13" s="20"/>
      <c r="CSG13" s="20"/>
      <c r="CSH13" s="20"/>
      <c r="CSI13" s="20"/>
      <c r="CSJ13" s="20"/>
      <c r="CSK13" s="20"/>
      <c r="CSL13" s="20"/>
      <c r="CSM13" s="20"/>
      <c r="CSN13" s="20"/>
      <c r="CSO13" s="20"/>
      <c r="CSP13" s="20"/>
      <c r="CSQ13" s="20"/>
      <c r="CSR13" s="20"/>
      <c r="CSS13" s="20"/>
      <c r="CST13" s="20"/>
      <c r="CSU13" s="20"/>
      <c r="CSV13" s="20"/>
      <c r="CSW13" s="20"/>
      <c r="CSX13" s="20"/>
      <c r="CSY13" s="20"/>
      <c r="CSZ13" s="20"/>
      <c r="CTA13" s="20"/>
      <c r="CTB13" s="20"/>
      <c r="CTC13" s="20"/>
      <c r="CTD13" s="20"/>
      <c r="CTE13" s="20"/>
      <c r="CTF13" s="20"/>
      <c r="CTG13" s="20"/>
      <c r="CTH13" s="20"/>
      <c r="CTI13" s="20"/>
      <c r="CTJ13" s="20"/>
      <c r="CTK13" s="20"/>
      <c r="CTL13" s="20"/>
      <c r="CTM13" s="20"/>
      <c r="CTN13" s="20"/>
      <c r="CTO13" s="20"/>
      <c r="CTP13" s="20"/>
      <c r="CTQ13" s="20"/>
      <c r="CTR13" s="20"/>
      <c r="CTS13" s="20"/>
      <c r="CTT13" s="20"/>
      <c r="CTU13" s="20"/>
      <c r="CTV13" s="20"/>
      <c r="CTW13" s="20"/>
      <c r="CTX13" s="20"/>
      <c r="CTY13" s="20"/>
      <c r="CTZ13" s="20"/>
      <c r="CUA13" s="20"/>
      <c r="CUB13" s="20"/>
      <c r="CUC13" s="20"/>
      <c r="CUD13" s="20"/>
      <c r="CUE13" s="20"/>
      <c r="CUF13" s="20"/>
      <c r="CUG13" s="20"/>
      <c r="CUH13" s="20"/>
      <c r="CUI13" s="20"/>
      <c r="CUJ13" s="20"/>
      <c r="CUK13" s="20"/>
      <c r="CUL13" s="20"/>
      <c r="CUM13" s="20"/>
      <c r="CUN13" s="20"/>
      <c r="CUO13" s="20"/>
      <c r="CUP13" s="20"/>
      <c r="CUQ13" s="20"/>
      <c r="CUR13" s="20"/>
      <c r="CUS13" s="20"/>
      <c r="CUT13" s="20"/>
      <c r="CUU13" s="20"/>
      <c r="CUV13" s="20"/>
      <c r="CUW13" s="20"/>
      <c r="CUX13" s="20"/>
      <c r="CUY13" s="20"/>
      <c r="CUZ13" s="20"/>
      <c r="CVA13" s="20"/>
      <c r="CVB13" s="20"/>
      <c r="CVC13" s="20"/>
      <c r="CVD13" s="20"/>
      <c r="CVE13" s="20"/>
      <c r="CVF13" s="20"/>
      <c r="CVG13" s="20"/>
      <c r="CVH13" s="20"/>
      <c r="CVI13" s="20"/>
      <c r="CVJ13" s="20"/>
      <c r="CVK13" s="20"/>
      <c r="CVL13" s="20"/>
      <c r="CVM13" s="20"/>
      <c r="CVN13" s="20"/>
      <c r="CVO13" s="20"/>
      <c r="CVP13" s="20"/>
      <c r="CVQ13" s="20"/>
      <c r="CVR13" s="20"/>
      <c r="CVS13" s="20"/>
      <c r="CVT13" s="20"/>
      <c r="CVU13" s="20"/>
      <c r="CVV13" s="20"/>
      <c r="CVW13" s="20"/>
      <c r="CVX13" s="20"/>
      <c r="CVY13" s="20"/>
      <c r="CVZ13" s="20"/>
      <c r="CWA13" s="20"/>
      <c r="CWB13" s="20"/>
      <c r="CWC13" s="20"/>
      <c r="CWD13" s="20"/>
      <c r="CWE13" s="20"/>
      <c r="CWF13" s="20"/>
      <c r="CWG13" s="20"/>
      <c r="CWH13" s="20"/>
      <c r="CWI13" s="20"/>
      <c r="CWJ13" s="20"/>
      <c r="CWK13" s="20"/>
      <c r="CWL13" s="20"/>
      <c r="CWM13" s="20"/>
      <c r="CWN13" s="20"/>
      <c r="CWO13" s="20"/>
      <c r="CWP13" s="20"/>
      <c r="CWQ13" s="20"/>
      <c r="CWR13" s="20"/>
      <c r="CWS13" s="20"/>
      <c r="CWT13" s="20"/>
      <c r="CWU13" s="20"/>
      <c r="CWV13" s="20"/>
      <c r="CWW13" s="20"/>
      <c r="CWX13" s="20"/>
      <c r="CWY13" s="20"/>
      <c r="CWZ13" s="20"/>
      <c r="CXA13" s="20"/>
      <c r="CXB13" s="20"/>
      <c r="CXC13" s="20"/>
      <c r="CXD13" s="20"/>
      <c r="CXE13" s="20"/>
      <c r="CXF13" s="20"/>
      <c r="CXG13" s="20"/>
      <c r="CXH13" s="20"/>
      <c r="CXI13" s="20"/>
      <c r="CXJ13" s="20"/>
      <c r="CXK13" s="20"/>
      <c r="CXL13" s="20"/>
      <c r="CXM13" s="20"/>
      <c r="CXN13" s="20"/>
      <c r="CXO13" s="20"/>
      <c r="CXP13" s="20"/>
      <c r="CXQ13" s="20"/>
      <c r="CXR13" s="20"/>
      <c r="CXS13" s="20"/>
      <c r="CXT13" s="20"/>
      <c r="CXU13" s="20"/>
      <c r="CXV13" s="20"/>
      <c r="CXW13" s="20"/>
      <c r="CXX13" s="20"/>
      <c r="CXY13" s="20"/>
      <c r="CXZ13" s="20"/>
      <c r="CYA13" s="20"/>
      <c r="CYB13" s="20"/>
      <c r="CYC13" s="20"/>
      <c r="CYD13" s="20"/>
      <c r="CYE13" s="20"/>
      <c r="CYF13" s="20"/>
      <c r="CYG13" s="20"/>
      <c r="CYH13" s="20"/>
      <c r="CYI13" s="20"/>
      <c r="CYJ13" s="20"/>
      <c r="CYK13" s="20"/>
      <c r="CYL13" s="20"/>
      <c r="CYM13" s="20"/>
      <c r="CYN13" s="20"/>
      <c r="CYO13" s="20"/>
      <c r="CYP13" s="20"/>
      <c r="CYQ13" s="20"/>
      <c r="CYR13" s="20"/>
      <c r="CYS13" s="20"/>
      <c r="CYT13" s="20"/>
      <c r="CYU13" s="20"/>
      <c r="CYV13" s="20"/>
      <c r="CYW13" s="20"/>
      <c r="CYX13" s="20"/>
      <c r="CYY13" s="20"/>
      <c r="CYZ13" s="20"/>
      <c r="CZA13" s="20"/>
      <c r="CZB13" s="20"/>
      <c r="CZC13" s="20"/>
      <c r="CZD13" s="20"/>
      <c r="CZE13" s="20"/>
      <c r="CZF13" s="20"/>
      <c r="CZG13" s="20"/>
      <c r="CZH13" s="20"/>
      <c r="CZI13" s="20"/>
      <c r="CZJ13" s="20"/>
      <c r="CZK13" s="20"/>
      <c r="CZL13" s="20"/>
      <c r="CZM13" s="20"/>
      <c r="CZN13" s="20"/>
      <c r="CZO13" s="20"/>
      <c r="CZP13" s="20"/>
      <c r="CZQ13" s="20"/>
      <c r="CZR13" s="20"/>
      <c r="CZS13" s="20"/>
      <c r="CZT13" s="20"/>
      <c r="CZU13" s="20"/>
      <c r="CZV13" s="20"/>
      <c r="CZW13" s="20"/>
      <c r="CZX13" s="20"/>
      <c r="CZY13" s="20"/>
      <c r="CZZ13" s="20"/>
      <c r="DAA13" s="20"/>
      <c r="DAB13" s="20"/>
      <c r="DAC13" s="20"/>
      <c r="DAD13" s="20"/>
      <c r="DAE13" s="20"/>
      <c r="DAF13" s="20"/>
      <c r="DAG13" s="20"/>
      <c r="DAH13" s="20"/>
      <c r="DAI13" s="20"/>
      <c r="DAJ13" s="20"/>
      <c r="DAK13" s="20"/>
      <c r="DAL13" s="20"/>
      <c r="DAM13" s="20"/>
      <c r="DAN13" s="20"/>
      <c r="DAO13" s="20"/>
      <c r="DAP13" s="20"/>
      <c r="DAQ13" s="20"/>
      <c r="DAR13" s="20"/>
      <c r="DAS13" s="20"/>
      <c r="DAT13" s="20"/>
      <c r="DAU13" s="20"/>
      <c r="DAV13" s="20"/>
      <c r="DAW13" s="20"/>
      <c r="DAX13" s="20"/>
      <c r="DAY13" s="20"/>
      <c r="DAZ13" s="20"/>
      <c r="DBA13" s="20"/>
      <c r="DBB13" s="20"/>
      <c r="DBC13" s="20"/>
      <c r="DBD13" s="20"/>
      <c r="DBE13" s="20"/>
      <c r="DBF13" s="20"/>
      <c r="DBG13" s="20"/>
      <c r="DBH13" s="20"/>
      <c r="DBI13" s="20"/>
      <c r="DBJ13" s="20"/>
      <c r="DBK13" s="20"/>
      <c r="DBL13" s="20"/>
      <c r="DBM13" s="20"/>
      <c r="DBN13" s="20"/>
      <c r="DBO13" s="20"/>
      <c r="DBP13" s="20"/>
      <c r="DBQ13" s="20"/>
      <c r="DBR13" s="20"/>
      <c r="DBS13" s="20"/>
      <c r="DBT13" s="20"/>
      <c r="DBU13" s="20"/>
      <c r="DBV13" s="20"/>
      <c r="DBW13" s="20"/>
      <c r="DBX13" s="20"/>
      <c r="DBY13" s="20"/>
      <c r="DBZ13" s="20"/>
      <c r="DCA13" s="20"/>
      <c r="DCB13" s="20"/>
      <c r="DCC13" s="20"/>
      <c r="DCD13" s="20"/>
      <c r="DCE13" s="20"/>
      <c r="DCF13" s="20"/>
      <c r="DCG13" s="20"/>
      <c r="DCH13" s="20"/>
      <c r="DCI13" s="20"/>
      <c r="DCJ13" s="20"/>
      <c r="DCK13" s="20"/>
      <c r="DCL13" s="20"/>
      <c r="DCM13" s="20"/>
      <c r="DCN13" s="20"/>
      <c r="DCO13" s="20"/>
      <c r="DCP13" s="20"/>
      <c r="DCQ13" s="20"/>
      <c r="DCR13" s="20"/>
      <c r="DCS13" s="20"/>
      <c r="DCT13" s="20"/>
      <c r="DCU13" s="20"/>
      <c r="DCV13" s="20"/>
      <c r="DCW13" s="20"/>
      <c r="DCX13" s="20"/>
      <c r="DCY13" s="20"/>
      <c r="DCZ13" s="20"/>
      <c r="DDA13" s="20"/>
      <c r="DDB13" s="20"/>
      <c r="DDC13" s="20"/>
      <c r="DDD13" s="20"/>
      <c r="DDE13" s="20"/>
      <c r="DDF13" s="20"/>
      <c r="DDG13" s="20"/>
      <c r="DDH13" s="20"/>
      <c r="DDI13" s="20"/>
      <c r="DDJ13" s="20"/>
      <c r="DDK13" s="20"/>
      <c r="DDL13" s="20"/>
      <c r="DDM13" s="20"/>
      <c r="DDN13" s="20"/>
      <c r="DDO13" s="20"/>
      <c r="DDP13" s="20"/>
      <c r="DDQ13" s="20"/>
      <c r="DDR13" s="20"/>
      <c r="DDS13" s="20"/>
      <c r="DDT13" s="20"/>
      <c r="DDU13" s="20"/>
      <c r="DDV13" s="20"/>
      <c r="DDW13" s="20"/>
      <c r="DDX13" s="20"/>
      <c r="DDY13" s="20"/>
      <c r="DDZ13" s="20"/>
      <c r="DEA13" s="20"/>
      <c r="DEB13" s="20"/>
      <c r="DEC13" s="20"/>
      <c r="DED13" s="20"/>
      <c r="DEE13" s="20"/>
      <c r="DEF13" s="20"/>
      <c r="DEG13" s="20"/>
      <c r="DEH13" s="20"/>
      <c r="DEI13" s="20"/>
      <c r="DEJ13" s="20"/>
      <c r="DEK13" s="20"/>
      <c r="DEL13" s="20"/>
      <c r="DEM13" s="20"/>
      <c r="DEN13" s="20"/>
      <c r="DEO13" s="20"/>
      <c r="DEP13" s="20"/>
      <c r="DEQ13" s="20"/>
      <c r="DER13" s="20"/>
      <c r="DES13" s="20"/>
      <c r="DET13" s="20"/>
      <c r="DEU13" s="20"/>
      <c r="DEV13" s="20"/>
      <c r="DEW13" s="20"/>
      <c r="DEX13" s="20"/>
      <c r="DEY13" s="20"/>
      <c r="DEZ13" s="20"/>
      <c r="DFA13" s="20"/>
      <c r="DFB13" s="20"/>
      <c r="DFC13" s="20"/>
      <c r="DFD13" s="20"/>
      <c r="DFE13" s="20"/>
      <c r="DFF13" s="20"/>
      <c r="DFG13" s="20"/>
      <c r="DFH13" s="20"/>
      <c r="DFI13" s="20"/>
      <c r="DFJ13" s="20"/>
      <c r="DFK13" s="20"/>
      <c r="DFL13" s="20"/>
      <c r="DFM13" s="20"/>
      <c r="DFN13" s="20"/>
      <c r="DFO13" s="20"/>
      <c r="DFP13" s="20"/>
      <c r="DFQ13" s="20"/>
      <c r="DFR13" s="20"/>
      <c r="DFS13" s="20"/>
      <c r="DFT13" s="20"/>
      <c r="DFU13" s="20"/>
      <c r="DFV13" s="20"/>
      <c r="DFW13" s="20"/>
      <c r="DFX13" s="20"/>
      <c r="DFY13" s="20"/>
      <c r="DFZ13" s="20"/>
      <c r="DGA13" s="20"/>
      <c r="DGB13" s="20"/>
      <c r="DGC13" s="20"/>
      <c r="DGD13" s="20"/>
      <c r="DGE13" s="20"/>
      <c r="DGF13" s="20"/>
      <c r="DGG13" s="20"/>
      <c r="DGH13" s="20"/>
      <c r="DGI13" s="20"/>
      <c r="DGJ13" s="20"/>
      <c r="DGK13" s="20"/>
      <c r="DGL13" s="20"/>
      <c r="DGM13" s="20"/>
      <c r="DGN13" s="20"/>
      <c r="DGO13" s="20"/>
      <c r="DGP13" s="20"/>
      <c r="DGQ13" s="20"/>
      <c r="DGR13" s="20"/>
      <c r="DGS13" s="20"/>
      <c r="DGT13" s="20"/>
      <c r="DGU13" s="20"/>
      <c r="DGV13" s="20"/>
      <c r="DGW13" s="20"/>
      <c r="DGX13" s="20"/>
      <c r="DGY13" s="20"/>
      <c r="DGZ13" s="20"/>
      <c r="DHA13" s="20"/>
      <c r="DHB13" s="20"/>
      <c r="DHC13" s="20"/>
      <c r="DHD13" s="20"/>
      <c r="DHE13" s="20"/>
      <c r="DHF13" s="20"/>
      <c r="DHG13" s="20"/>
      <c r="DHH13" s="20"/>
      <c r="DHI13" s="20"/>
      <c r="DHJ13" s="20"/>
      <c r="DHK13" s="20"/>
      <c r="DHL13" s="20"/>
      <c r="DHM13" s="20"/>
      <c r="DHN13" s="20"/>
      <c r="DHO13" s="20"/>
      <c r="DHP13" s="20"/>
      <c r="DHQ13" s="20"/>
      <c r="DHR13" s="20"/>
      <c r="DHS13" s="20"/>
      <c r="DHT13" s="20"/>
      <c r="DHU13" s="20"/>
      <c r="DHV13" s="20"/>
      <c r="DHW13" s="20"/>
      <c r="DHX13" s="20"/>
      <c r="DHY13" s="20"/>
      <c r="DHZ13" s="20"/>
      <c r="DIA13" s="20"/>
      <c r="DIB13" s="20"/>
      <c r="DIC13" s="20"/>
      <c r="DID13" s="20"/>
      <c r="DIE13" s="20"/>
      <c r="DIF13" s="20"/>
      <c r="DIG13" s="20"/>
      <c r="DIH13" s="20"/>
      <c r="DII13" s="20"/>
      <c r="DIJ13" s="20"/>
      <c r="DIK13" s="20"/>
      <c r="DIL13" s="20"/>
      <c r="DIM13" s="20"/>
      <c r="DIN13" s="20"/>
      <c r="DIO13" s="20"/>
      <c r="DIP13" s="20"/>
      <c r="DIQ13" s="20"/>
      <c r="DIR13" s="20"/>
      <c r="DIS13" s="20"/>
      <c r="DIT13" s="20"/>
      <c r="DIU13" s="20"/>
      <c r="DIV13" s="20"/>
      <c r="DIW13" s="20"/>
      <c r="DIX13" s="20"/>
      <c r="DIY13" s="20"/>
      <c r="DIZ13" s="20"/>
      <c r="DJA13" s="20"/>
      <c r="DJB13" s="20"/>
      <c r="DJC13" s="20"/>
      <c r="DJD13" s="20"/>
      <c r="DJE13" s="20"/>
      <c r="DJF13" s="20"/>
      <c r="DJG13" s="20"/>
      <c r="DJH13" s="20"/>
      <c r="DJI13" s="20"/>
      <c r="DJJ13" s="20"/>
      <c r="DJK13" s="20"/>
      <c r="DJL13" s="20"/>
      <c r="DJM13" s="20"/>
      <c r="DJN13" s="20"/>
      <c r="DJO13" s="20"/>
      <c r="DJP13" s="20"/>
      <c r="DJQ13" s="20"/>
      <c r="DJR13" s="20"/>
      <c r="DJS13" s="20"/>
      <c r="DJT13" s="20"/>
      <c r="DJU13" s="20"/>
      <c r="DJV13" s="20"/>
      <c r="DJW13" s="20"/>
      <c r="DJX13" s="20"/>
      <c r="DJY13" s="20"/>
      <c r="DJZ13" s="20"/>
      <c r="DKA13" s="20"/>
      <c r="DKB13" s="20"/>
      <c r="DKC13" s="20"/>
      <c r="DKD13" s="20"/>
      <c r="DKE13" s="20"/>
      <c r="DKF13" s="20"/>
      <c r="DKG13" s="20"/>
      <c r="DKH13" s="20"/>
      <c r="DKI13" s="20"/>
      <c r="DKJ13" s="20"/>
      <c r="DKK13" s="20"/>
      <c r="DKL13" s="20"/>
      <c r="DKM13" s="20"/>
      <c r="DKN13" s="20"/>
      <c r="DKO13" s="20"/>
      <c r="DKP13" s="20"/>
      <c r="DKQ13" s="20"/>
      <c r="DKR13" s="20"/>
      <c r="DKS13" s="20"/>
      <c r="DKT13" s="20"/>
      <c r="DKU13" s="20"/>
      <c r="DKV13" s="20"/>
      <c r="DKW13" s="20"/>
      <c r="DKX13" s="20"/>
      <c r="DKY13" s="20"/>
      <c r="DKZ13" s="20"/>
      <c r="DLA13" s="20"/>
      <c r="DLB13" s="20"/>
      <c r="DLC13" s="20"/>
      <c r="DLD13" s="20"/>
      <c r="DLE13" s="20"/>
      <c r="DLF13" s="20"/>
      <c r="DLG13" s="20"/>
      <c r="DLH13" s="20"/>
      <c r="DLI13" s="20"/>
      <c r="DLJ13" s="20"/>
      <c r="DLK13" s="20"/>
      <c r="DLL13" s="20"/>
      <c r="DLM13" s="20"/>
      <c r="DLN13" s="20"/>
      <c r="DLO13" s="20"/>
      <c r="DLP13" s="20"/>
      <c r="DLQ13" s="20"/>
      <c r="DLR13" s="20"/>
      <c r="DLS13" s="20"/>
      <c r="DLT13" s="20"/>
      <c r="DLU13" s="20"/>
      <c r="DLV13" s="20"/>
      <c r="DLW13" s="20"/>
      <c r="DLX13" s="20"/>
      <c r="DLY13" s="20"/>
      <c r="DLZ13" s="20"/>
      <c r="DMA13" s="20"/>
      <c r="DMB13" s="20"/>
      <c r="DMC13" s="20"/>
      <c r="DMD13" s="20"/>
      <c r="DME13" s="20"/>
      <c r="DMF13" s="20"/>
      <c r="DMG13" s="20"/>
      <c r="DMH13" s="20"/>
      <c r="DMI13" s="20"/>
      <c r="DMJ13" s="20"/>
      <c r="DMK13" s="20"/>
      <c r="DML13" s="20"/>
      <c r="DMM13" s="20"/>
      <c r="DMN13" s="20"/>
      <c r="DMO13" s="20"/>
      <c r="DMP13" s="20"/>
      <c r="DMQ13" s="20"/>
      <c r="DMR13" s="20"/>
      <c r="DMS13" s="20"/>
      <c r="DMT13" s="20"/>
      <c r="DMU13" s="20"/>
      <c r="DMV13" s="20"/>
      <c r="DMW13" s="20"/>
      <c r="DMX13" s="20"/>
      <c r="DMY13" s="20"/>
      <c r="DMZ13" s="20"/>
      <c r="DNA13" s="20"/>
      <c r="DNB13" s="20"/>
      <c r="DNC13" s="20"/>
      <c r="DND13" s="20"/>
      <c r="DNE13" s="20"/>
      <c r="DNF13" s="20"/>
      <c r="DNG13" s="20"/>
      <c r="DNH13" s="20"/>
      <c r="DNI13" s="20"/>
      <c r="DNJ13" s="20"/>
      <c r="DNK13" s="20"/>
      <c r="DNL13" s="20"/>
      <c r="DNM13" s="20"/>
      <c r="DNN13" s="20"/>
      <c r="DNO13" s="20"/>
      <c r="DNP13" s="20"/>
      <c r="DNQ13" s="20"/>
      <c r="DNR13" s="20"/>
      <c r="DNS13" s="20"/>
      <c r="DNT13" s="20"/>
      <c r="DNU13" s="20"/>
      <c r="DNV13" s="20"/>
      <c r="DNW13" s="20"/>
      <c r="DNX13" s="20"/>
      <c r="DNY13" s="20"/>
      <c r="DNZ13" s="20"/>
      <c r="DOA13" s="20"/>
      <c r="DOB13" s="20"/>
      <c r="DOC13" s="20"/>
      <c r="DOD13" s="20"/>
      <c r="DOE13" s="20"/>
      <c r="DOF13" s="20"/>
      <c r="DOG13" s="20"/>
      <c r="DOH13" s="20"/>
      <c r="DOI13" s="20"/>
      <c r="DOJ13" s="20"/>
      <c r="DOK13" s="20"/>
      <c r="DOL13" s="20"/>
      <c r="DOM13" s="20"/>
      <c r="DON13" s="20"/>
      <c r="DOO13" s="20"/>
      <c r="DOP13" s="20"/>
      <c r="DOQ13" s="20"/>
      <c r="DOR13" s="20"/>
      <c r="DOS13" s="20"/>
      <c r="DOT13" s="20"/>
      <c r="DOU13" s="20"/>
      <c r="DOV13" s="20"/>
      <c r="DOW13" s="20"/>
      <c r="DOX13" s="20"/>
      <c r="DOY13" s="20"/>
      <c r="DOZ13" s="20"/>
      <c r="DPA13" s="20"/>
      <c r="DPB13" s="20"/>
      <c r="DPC13" s="20"/>
      <c r="DPD13" s="20"/>
      <c r="DPE13" s="20"/>
      <c r="DPF13" s="20"/>
      <c r="DPG13" s="20"/>
      <c r="DPH13" s="20"/>
      <c r="DPI13" s="20"/>
      <c r="DPJ13" s="20"/>
      <c r="DPK13" s="20"/>
      <c r="DPL13" s="20"/>
      <c r="DPM13" s="20"/>
      <c r="DPN13" s="20"/>
      <c r="DPO13" s="20"/>
      <c r="DPP13" s="20"/>
      <c r="DPQ13" s="20"/>
      <c r="DPR13" s="20"/>
      <c r="DPS13" s="20"/>
      <c r="DPT13" s="20"/>
      <c r="DPU13" s="20"/>
      <c r="DPV13" s="20"/>
      <c r="DPW13" s="20"/>
      <c r="DPX13" s="20"/>
      <c r="DPY13" s="20"/>
      <c r="DPZ13" s="20"/>
      <c r="DQA13" s="20"/>
      <c r="DQB13" s="20"/>
      <c r="DQC13" s="20"/>
      <c r="DQD13" s="20"/>
      <c r="DQE13" s="20"/>
      <c r="DQF13" s="20"/>
      <c r="DQG13" s="20"/>
      <c r="DQH13" s="20"/>
      <c r="DQI13" s="20"/>
      <c r="DQJ13" s="20"/>
      <c r="DQK13" s="20"/>
      <c r="DQL13" s="20"/>
      <c r="DQM13" s="20"/>
      <c r="DQN13" s="20"/>
      <c r="DQO13" s="20"/>
      <c r="DQP13" s="20"/>
      <c r="DQQ13" s="20"/>
      <c r="DQR13" s="20"/>
      <c r="DQS13" s="20"/>
      <c r="DQT13" s="20"/>
      <c r="DQU13" s="20"/>
      <c r="DQV13" s="20"/>
      <c r="DQW13" s="20"/>
      <c r="DQX13" s="20"/>
      <c r="DQY13" s="20"/>
      <c r="DQZ13" s="20"/>
      <c r="DRA13" s="20"/>
      <c r="DRB13" s="20"/>
      <c r="DRC13" s="20"/>
      <c r="DRD13" s="20"/>
      <c r="DRE13" s="20"/>
      <c r="DRF13" s="20"/>
      <c r="DRG13" s="20"/>
      <c r="DRH13" s="20"/>
      <c r="DRI13" s="20"/>
      <c r="DRJ13" s="20"/>
      <c r="DRK13" s="20"/>
      <c r="DRL13" s="20"/>
      <c r="DRM13" s="20"/>
      <c r="DRN13" s="20"/>
      <c r="DRO13" s="20"/>
      <c r="DRP13" s="20"/>
      <c r="DRQ13" s="20"/>
      <c r="DRR13" s="20"/>
      <c r="DRS13" s="20"/>
      <c r="DRT13" s="20"/>
      <c r="DRU13" s="20"/>
      <c r="DRV13" s="20"/>
      <c r="DRW13" s="20"/>
      <c r="DRX13" s="20"/>
      <c r="DRY13" s="20"/>
      <c r="DRZ13" s="20"/>
      <c r="DSA13" s="20"/>
      <c r="DSB13" s="20"/>
      <c r="DSC13" s="20"/>
      <c r="DSD13" s="20"/>
      <c r="DSE13" s="20"/>
      <c r="DSF13" s="20"/>
      <c r="DSG13" s="20"/>
      <c r="DSH13" s="20"/>
      <c r="DSI13" s="20"/>
      <c r="DSJ13" s="20"/>
      <c r="DSK13" s="20"/>
      <c r="DSL13" s="20"/>
      <c r="DSM13" s="20"/>
      <c r="DSN13" s="20"/>
      <c r="DSO13" s="20"/>
      <c r="DSP13" s="20"/>
      <c r="DSQ13" s="20"/>
      <c r="DSR13" s="20"/>
      <c r="DSS13" s="20"/>
      <c r="DST13" s="20"/>
      <c r="DSU13" s="20"/>
      <c r="DSV13" s="20"/>
      <c r="DSW13" s="20"/>
      <c r="DSX13" s="20"/>
      <c r="DSY13" s="20"/>
      <c r="DSZ13" s="20"/>
      <c r="DTA13" s="20"/>
      <c r="DTB13" s="20"/>
      <c r="DTC13" s="20"/>
      <c r="DTD13" s="20"/>
      <c r="DTE13" s="20"/>
      <c r="DTF13" s="20"/>
      <c r="DTG13" s="20"/>
      <c r="DTH13" s="20"/>
      <c r="DTI13" s="20"/>
      <c r="DTJ13" s="20"/>
      <c r="DTK13" s="20"/>
      <c r="DTL13" s="20"/>
      <c r="DTM13" s="20"/>
      <c r="DTN13" s="20"/>
      <c r="DTO13" s="20"/>
      <c r="DTP13" s="20"/>
      <c r="DTQ13" s="20"/>
      <c r="DTR13" s="20"/>
      <c r="DTS13" s="20"/>
      <c r="DTT13" s="20"/>
      <c r="DTU13" s="20"/>
      <c r="DTV13" s="20"/>
      <c r="DTW13" s="20"/>
      <c r="DTX13" s="20"/>
      <c r="DTY13" s="20"/>
      <c r="DTZ13" s="20"/>
      <c r="DUA13" s="20"/>
      <c r="DUB13" s="20"/>
      <c r="DUC13" s="20"/>
      <c r="DUD13" s="20"/>
      <c r="DUE13" s="20"/>
      <c r="DUF13" s="20"/>
      <c r="DUG13" s="20"/>
      <c r="DUH13" s="20"/>
      <c r="DUI13" s="20"/>
      <c r="DUJ13" s="20"/>
      <c r="DUK13" s="20"/>
      <c r="DUL13" s="20"/>
      <c r="DUM13" s="20"/>
      <c r="DUN13" s="20"/>
      <c r="DUO13" s="20"/>
      <c r="DUP13" s="20"/>
      <c r="DUQ13" s="20"/>
      <c r="DUR13" s="20"/>
      <c r="DUS13" s="20"/>
      <c r="DUT13" s="20"/>
      <c r="DUU13" s="20"/>
      <c r="DUV13" s="20"/>
      <c r="DUW13" s="20"/>
      <c r="DUX13" s="20"/>
      <c r="DUY13" s="20"/>
      <c r="DUZ13" s="20"/>
      <c r="DVA13" s="20"/>
      <c r="DVB13" s="20"/>
      <c r="DVC13" s="20"/>
      <c r="DVD13" s="20"/>
      <c r="DVE13" s="20"/>
      <c r="DVF13" s="20"/>
      <c r="DVG13" s="20"/>
      <c r="DVH13" s="20"/>
      <c r="DVI13" s="20"/>
      <c r="DVJ13" s="20"/>
      <c r="DVK13" s="20"/>
      <c r="DVL13" s="20"/>
      <c r="DVM13" s="20"/>
      <c r="DVN13" s="20"/>
      <c r="DVO13" s="20"/>
      <c r="DVP13" s="20"/>
      <c r="DVQ13" s="20"/>
      <c r="DVR13" s="20"/>
      <c r="DVS13" s="20"/>
      <c r="DVT13" s="20"/>
      <c r="DVU13" s="20"/>
      <c r="DVV13" s="20"/>
      <c r="DVW13" s="20"/>
      <c r="DVX13" s="20"/>
      <c r="DVY13" s="20"/>
      <c r="DVZ13" s="20"/>
      <c r="DWA13" s="20"/>
      <c r="DWB13" s="20"/>
      <c r="DWC13" s="20"/>
      <c r="DWD13" s="20"/>
      <c r="DWE13" s="20"/>
      <c r="DWF13" s="20"/>
      <c r="DWG13" s="20"/>
      <c r="DWH13" s="20"/>
      <c r="DWI13" s="20"/>
      <c r="DWJ13" s="20"/>
      <c r="DWK13" s="20"/>
      <c r="DWL13" s="20"/>
      <c r="DWM13" s="20"/>
      <c r="DWN13" s="20"/>
      <c r="DWO13" s="20"/>
      <c r="DWP13" s="20"/>
      <c r="DWQ13" s="20"/>
      <c r="DWR13" s="20"/>
      <c r="DWS13" s="20"/>
      <c r="DWT13" s="20"/>
      <c r="DWU13" s="20"/>
      <c r="DWV13" s="20"/>
      <c r="DWW13" s="20"/>
      <c r="DWX13" s="20"/>
      <c r="DWY13" s="20"/>
      <c r="DWZ13" s="20"/>
      <c r="DXA13" s="20"/>
      <c r="DXB13" s="20"/>
      <c r="DXC13" s="20"/>
      <c r="DXD13" s="20"/>
      <c r="DXE13" s="20"/>
      <c r="DXF13" s="20"/>
      <c r="DXG13" s="20"/>
      <c r="DXH13" s="20"/>
      <c r="DXI13" s="20"/>
      <c r="DXJ13" s="20"/>
      <c r="DXK13" s="20"/>
      <c r="DXL13" s="20"/>
      <c r="DXM13" s="20"/>
      <c r="DXN13" s="20"/>
      <c r="DXO13" s="20"/>
      <c r="DXP13" s="20"/>
      <c r="DXQ13" s="20"/>
      <c r="DXR13" s="20"/>
      <c r="DXS13" s="20"/>
      <c r="DXT13" s="20"/>
      <c r="DXU13" s="20"/>
      <c r="DXV13" s="20"/>
      <c r="DXW13" s="20"/>
      <c r="DXX13" s="20"/>
      <c r="DXY13" s="20"/>
      <c r="DXZ13" s="20"/>
      <c r="DYA13" s="20"/>
      <c r="DYB13" s="20"/>
      <c r="DYC13" s="20"/>
      <c r="DYD13" s="20"/>
      <c r="DYE13" s="20"/>
      <c r="DYF13" s="20"/>
      <c r="DYG13" s="20"/>
      <c r="DYH13" s="20"/>
      <c r="DYI13" s="20"/>
      <c r="DYJ13" s="20"/>
      <c r="DYK13" s="20"/>
      <c r="DYL13" s="20"/>
      <c r="DYM13" s="20"/>
      <c r="DYN13" s="20"/>
      <c r="DYO13" s="20"/>
      <c r="DYP13" s="20"/>
      <c r="DYQ13" s="20"/>
      <c r="DYR13" s="20"/>
      <c r="DYS13" s="20"/>
      <c r="DYT13" s="20"/>
      <c r="DYU13" s="20"/>
      <c r="DYV13" s="20"/>
      <c r="DYW13" s="20"/>
      <c r="DYX13" s="20"/>
      <c r="DYY13" s="20"/>
      <c r="DYZ13" s="20"/>
      <c r="DZA13" s="20"/>
      <c r="DZB13" s="20"/>
      <c r="DZC13" s="20"/>
      <c r="DZD13" s="20"/>
      <c r="DZE13" s="20"/>
      <c r="DZF13" s="20"/>
      <c r="DZG13" s="20"/>
      <c r="DZH13" s="20"/>
      <c r="DZI13" s="20"/>
      <c r="DZJ13" s="20"/>
      <c r="DZK13" s="20"/>
      <c r="DZL13" s="20"/>
      <c r="DZM13" s="20"/>
      <c r="DZN13" s="20"/>
      <c r="DZO13" s="20"/>
      <c r="DZP13" s="20"/>
      <c r="DZQ13" s="20"/>
      <c r="DZR13" s="20"/>
      <c r="DZS13" s="20"/>
      <c r="DZT13" s="20"/>
      <c r="DZU13" s="20"/>
      <c r="DZV13" s="20"/>
      <c r="DZW13" s="20"/>
      <c r="DZX13" s="20"/>
      <c r="DZY13" s="20"/>
      <c r="DZZ13" s="20"/>
      <c r="EAA13" s="20"/>
      <c r="EAB13" s="20"/>
      <c r="EAC13" s="20"/>
      <c r="EAD13" s="20"/>
      <c r="EAE13" s="20"/>
      <c r="EAF13" s="20"/>
      <c r="EAG13" s="20"/>
      <c r="EAH13" s="20"/>
      <c r="EAI13" s="20"/>
      <c r="EAJ13" s="20"/>
      <c r="EAK13" s="20"/>
      <c r="EAL13" s="20"/>
      <c r="EAM13" s="20"/>
      <c r="EAN13" s="20"/>
      <c r="EAO13" s="20"/>
      <c r="EAP13" s="20"/>
      <c r="EAQ13" s="20"/>
      <c r="EAR13" s="20"/>
      <c r="EAS13" s="20"/>
      <c r="EAT13" s="20"/>
      <c r="EAU13" s="20"/>
      <c r="EAV13" s="20"/>
      <c r="EAW13" s="20"/>
      <c r="EAX13" s="20"/>
      <c r="EAY13" s="20"/>
      <c r="EAZ13" s="20"/>
      <c r="EBA13" s="20"/>
      <c r="EBB13" s="20"/>
      <c r="EBC13" s="20"/>
      <c r="EBD13" s="20"/>
      <c r="EBE13" s="20"/>
      <c r="EBF13" s="20"/>
      <c r="EBG13" s="20"/>
      <c r="EBH13" s="20"/>
      <c r="EBI13" s="20"/>
      <c r="EBJ13" s="20"/>
      <c r="EBK13" s="20"/>
      <c r="EBL13" s="20"/>
      <c r="EBM13" s="20"/>
      <c r="EBN13" s="20"/>
      <c r="EBO13" s="20"/>
      <c r="EBP13" s="20"/>
      <c r="EBQ13" s="20"/>
      <c r="EBR13" s="20"/>
      <c r="EBS13" s="20"/>
      <c r="EBT13" s="20"/>
      <c r="EBU13" s="20"/>
      <c r="EBV13" s="20"/>
      <c r="EBW13" s="20"/>
      <c r="EBX13" s="20"/>
      <c r="EBY13" s="20"/>
      <c r="EBZ13" s="20"/>
      <c r="ECA13" s="20"/>
      <c r="ECB13" s="20"/>
      <c r="ECC13" s="20"/>
      <c r="ECD13" s="20"/>
      <c r="ECE13" s="20"/>
      <c r="ECF13" s="20"/>
      <c r="ECG13" s="20"/>
      <c r="ECH13" s="20"/>
      <c r="ECI13" s="20"/>
      <c r="ECJ13" s="20"/>
      <c r="ECK13" s="20"/>
      <c r="ECL13" s="20"/>
      <c r="ECM13" s="20"/>
      <c r="ECN13" s="20"/>
      <c r="ECO13" s="20"/>
      <c r="ECP13" s="20"/>
      <c r="ECQ13" s="20"/>
      <c r="ECR13" s="20"/>
      <c r="ECS13" s="20"/>
      <c r="ECT13" s="20"/>
      <c r="ECU13" s="20"/>
      <c r="ECV13" s="20"/>
      <c r="ECW13" s="20"/>
      <c r="ECX13" s="20"/>
      <c r="ECY13" s="20"/>
      <c r="ECZ13" s="20"/>
      <c r="EDA13" s="20"/>
      <c r="EDB13" s="20"/>
      <c r="EDC13" s="20"/>
      <c r="EDD13" s="20"/>
      <c r="EDE13" s="20"/>
      <c r="EDF13" s="20"/>
      <c r="EDG13" s="20"/>
      <c r="EDH13" s="20"/>
      <c r="EDI13" s="20"/>
      <c r="EDJ13" s="20"/>
      <c r="EDK13" s="20"/>
      <c r="EDL13" s="20"/>
      <c r="EDM13" s="20"/>
      <c r="EDN13" s="20"/>
      <c r="EDO13" s="20"/>
      <c r="EDP13" s="20"/>
      <c r="EDQ13" s="20"/>
      <c r="EDR13" s="20"/>
      <c r="EDS13" s="20"/>
      <c r="EDT13" s="20"/>
      <c r="EDU13" s="20"/>
      <c r="EDV13" s="20"/>
      <c r="EDW13" s="20"/>
      <c r="EDX13" s="20"/>
      <c r="EDY13" s="20"/>
      <c r="EDZ13" s="20"/>
      <c r="EEA13" s="20"/>
      <c r="EEB13" s="20"/>
      <c r="EEC13" s="20"/>
      <c r="EED13" s="20"/>
      <c r="EEE13" s="20"/>
      <c r="EEF13" s="20"/>
      <c r="EEG13" s="20"/>
      <c r="EEH13" s="20"/>
      <c r="EEI13" s="20"/>
      <c r="EEJ13" s="20"/>
      <c r="EEK13" s="20"/>
      <c r="EEL13" s="20"/>
      <c r="EEM13" s="20"/>
      <c r="EEN13" s="20"/>
      <c r="EEO13" s="20"/>
      <c r="EEP13" s="20"/>
      <c r="EEQ13" s="20"/>
      <c r="EER13" s="20"/>
      <c r="EES13" s="20"/>
      <c r="EET13" s="20"/>
      <c r="EEU13" s="20"/>
      <c r="EEV13" s="20"/>
      <c r="EEW13" s="20"/>
      <c r="EEX13" s="20"/>
      <c r="EEY13" s="20"/>
      <c r="EEZ13" s="20"/>
      <c r="EFA13" s="20"/>
      <c r="EFB13" s="20"/>
      <c r="EFC13" s="20"/>
      <c r="EFD13" s="20"/>
      <c r="EFE13" s="20"/>
      <c r="EFF13" s="20"/>
      <c r="EFG13" s="20"/>
      <c r="EFH13" s="20"/>
      <c r="EFI13" s="20"/>
      <c r="EFJ13" s="20"/>
      <c r="EFK13" s="20"/>
      <c r="EFL13" s="20"/>
      <c r="EFM13" s="20"/>
      <c r="EFN13" s="20"/>
      <c r="EFO13" s="20"/>
      <c r="EFP13" s="20"/>
      <c r="EFQ13" s="20"/>
      <c r="EFR13" s="20"/>
      <c r="EFS13" s="20"/>
      <c r="EFT13" s="20"/>
      <c r="EFU13" s="20"/>
      <c r="EFV13" s="20"/>
      <c r="EFW13" s="20"/>
      <c r="EFX13" s="20"/>
      <c r="EFY13" s="20"/>
      <c r="EFZ13" s="20"/>
      <c r="EGA13" s="20"/>
      <c r="EGB13" s="20"/>
      <c r="EGC13" s="20"/>
      <c r="EGD13" s="20"/>
      <c r="EGE13" s="20"/>
      <c r="EGF13" s="20"/>
      <c r="EGG13" s="20"/>
      <c r="EGH13" s="20"/>
      <c r="EGI13" s="20"/>
      <c r="EGJ13" s="20"/>
      <c r="EGK13" s="20"/>
      <c r="EGL13" s="20"/>
      <c r="EGM13" s="20"/>
      <c r="EGN13" s="20"/>
      <c r="EGO13" s="20"/>
      <c r="EGP13" s="20"/>
      <c r="EGQ13" s="20"/>
      <c r="EGR13" s="20"/>
      <c r="EGS13" s="20"/>
      <c r="EGT13" s="20"/>
      <c r="EGU13" s="20"/>
      <c r="EGV13" s="20"/>
      <c r="EGW13" s="20"/>
      <c r="EGX13" s="20"/>
      <c r="EGY13" s="20"/>
      <c r="EGZ13" s="20"/>
      <c r="EHA13" s="20"/>
      <c r="EHB13" s="20"/>
      <c r="EHC13" s="20"/>
      <c r="EHD13" s="20"/>
      <c r="EHE13" s="20"/>
      <c r="EHF13" s="20"/>
      <c r="EHG13" s="20"/>
      <c r="EHH13" s="20"/>
      <c r="EHI13" s="20"/>
      <c r="EHJ13" s="20"/>
      <c r="EHK13" s="20"/>
      <c r="EHL13" s="20"/>
      <c r="EHM13" s="20"/>
      <c r="EHN13" s="20"/>
      <c r="EHO13" s="20"/>
      <c r="EHP13" s="20"/>
      <c r="EHQ13" s="20"/>
      <c r="EHR13" s="20"/>
      <c r="EHS13" s="20"/>
      <c r="EHT13" s="20"/>
      <c r="EHU13" s="20"/>
      <c r="EHV13" s="20"/>
      <c r="EHW13" s="20"/>
      <c r="EHX13" s="20"/>
      <c r="EHY13" s="20"/>
      <c r="EHZ13" s="20"/>
      <c r="EIA13" s="20"/>
      <c r="EIB13" s="20"/>
      <c r="EIC13" s="20"/>
      <c r="EID13" s="20"/>
      <c r="EIE13" s="20"/>
      <c r="EIF13" s="20"/>
      <c r="EIG13" s="20"/>
      <c r="EIH13" s="20"/>
      <c r="EII13" s="20"/>
      <c r="EIJ13" s="20"/>
      <c r="EIK13" s="20"/>
      <c r="EIL13" s="20"/>
      <c r="EIM13" s="20"/>
      <c r="EIN13" s="20"/>
      <c r="EIO13" s="20"/>
      <c r="EIP13" s="20"/>
      <c r="EIQ13" s="20"/>
      <c r="EIR13" s="20"/>
      <c r="EIS13" s="20"/>
      <c r="EIT13" s="20"/>
      <c r="EIU13" s="20"/>
      <c r="EIV13" s="20"/>
      <c r="EIW13" s="20"/>
      <c r="EIX13" s="20"/>
      <c r="EIY13" s="20"/>
      <c r="EIZ13" s="20"/>
      <c r="EJA13" s="20"/>
      <c r="EJB13" s="20"/>
      <c r="EJC13" s="20"/>
      <c r="EJD13" s="20"/>
      <c r="EJE13" s="20"/>
      <c r="EJF13" s="20"/>
      <c r="EJG13" s="20"/>
      <c r="EJH13" s="20"/>
      <c r="EJI13" s="20"/>
      <c r="EJJ13" s="20"/>
      <c r="EJK13" s="20"/>
      <c r="EJL13" s="20"/>
      <c r="EJM13" s="20"/>
      <c r="EJN13" s="20"/>
      <c r="EJO13" s="20"/>
      <c r="EJP13" s="20"/>
      <c r="EJQ13" s="20"/>
      <c r="EJR13" s="20"/>
      <c r="EJS13" s="20"/>
      <c r="EJT13" s="20"/>
      <c r="EJU13" s="20"/>
      <c r="EJV13" s="20"/>
      <c r="EJW13" s="20"/>
      <c r="EJX13" s="20"/>
      <c r="EJY13" s="20"/>
      <c r="EJZ13" s="20"/>
      <c r="EKA13" s="20"/>
      <c r="EKB13" s="20"/>
      <c r="EKC13" s="20"/>
      <c r="EKD13" s="20"/>
      <c r="EKE13" s="20"/>
      <c r="EKF13" s="20"/>
      <c r="EKG13" s="20"/>
      <c r="EKH13" s="20"/>
      <c r="EKI13" s="20"/>
      <c r="EKJ13" s="20"/>
      <c r="EKK13" s="20"/>
      <c r="EKL13" s="20"/>
      <c r="EKM13" s="20"/>
      <c r="EKN13" s="20"/>
      <c r="EKO13" s="20"/>
      <c r="EKP13" s="20"/>
      <c r="EKQ13" s="20"/>
      <c r="EKR13" s="20"/>
      <c r="EKS13" s="20"/>
      <c r="EKT13" s="20"/>
      <c r="EKU13" s="20"/>
      <c r="EKV13" s="20"/>
      <c r="EKW13" s="20"/>
      <c r="EKX13" s="20"/>
      <c r="EKY13" s="20"/>
      <c r="EKZ13" s="20"/>
      <c r="ELA13" s="20"/>
      <c r="ELB13" s="20"/>
      <c r="ELC13" s="20"/>
      <c r="ELD13" s="20"/>
      <c r="ELE13" s="20"/>
      <c r="ELF13" s="20"/>
      <c r="ELG13" s="20"/>
      <c r="ELH13" s="20"/>
      <c r="ELI13" s="20"/>
      <c r="ELJ13" s="20"/>
      <c r="ELK13" s="20"/>
      <c r="ELL13" s="20"/>
      <c r="ELM13" s="20"/>
      <c r="ELN13" s="20"/>
      <c r="ELO13" s="20"/>
      <c r="ELP13" s="20"/>
      <c r="ELQ13" s="20"/>
      <c r="ELR13" s="20"/>
      <c r="ELS13" s="20"/>
      <c r="ELT13" s="20"/>
      <c r="ELU13" s="20"/>
      <c r="ELV13" s="20"/>
      <c r="ELW13" s="20"/>
      <c r="ELX13" s="20"/>
      <c r="ELY13" s="20"/>
      <c r="ELZ13" s="20"/>
      <c r="EMA13" s="20"/>
      <c r="EMB13" s="20"/>
      <c r="EMC13" s="20"/>
      <c r="EMD13" s="20"/>
      <c r="EME13" s="20"/>
      <c r="EMF13" s="20"/>
      <c r="EMG13" s="20"/>
      <c r="EMH13" s="20"/>
      <c r="EMI13" s="20"/>
      <c r="EMJ13" s="20"/>
      <c r="EMK13" s="20"/>
      <c r="EML13" s="20"/>
      <c r="EMM13" s="20"/>
      <c r="EMN13" s="20"/>
      <c r="EMO13" s="20"/>
      <c r="EMP13" s="20"/>
      <c r="EMQ13" s="20"/>
      <c r="EMR13" s="20"/>
      <c r="EMS13" s="20"/>
      <c r="EMT13" s="20"/>
      <c r="EMU13" s="20"/>
      <c r="EMV13" s="20"/>
      <c r="EMW13" s="20"/>
      <c r="EMX13" s="20"/>
      <c r="EMY13" s="20"/>
      <c r="EMZ13" s="20"/>
      <c r="ENA13" s="20"/>
      <c r="ENB13" s="20"/>
      <c r="ENC13" s="20"/>
      <c r="END13" s="20"/>
      <c r="ENE13" s="20"/>
      <c r="ENF13" s="20"/>
      <c r="ENG13" s="20"/>
      <c r="ENH13" s="20"/>
      <c r="ENI13" s="20"/>
      <c r="ENJ13" s="20"/>
      <c r="ENK13" s="20"/>
      <c r="ENL13" s="20"/>
      <c r="ENM13" s="20"/>
      <c r="ENN13" s="20"/>
      <c r="ENO13" s="20"/>
      <c r="ENP13" s="20"/>
      <c r="ENQ13" s="20"/>
      <c r="ENR13" s="20"/>
      <c r="ENS13" s="20"/>
      <c r="ENT13" s="20"/>
      <c r="ENU13" s="20"/>
      <c r="ENV13" s="20"/>
      <c r="ENW13" s="20"/>
      <c r="ENX13" s="20"/>
      <c r="ENY13" s="20"/>
      <c r="ENZ13" s="20"/>
      <c r="EOA13" s="20"/>
      <c r="EOB13" s="20"/>
      <c r="EOC13" s="20"/>
      <c r="EOD13" s="20"/>
      <c r="EOE13" s="20"/>
      <c r="EOF13" s="20"/>
      <c r="EOG13" s="20"/>
      <c r="EOH13" s="20"/>
      <c r="EOI13" s="20"/>
      <c r="EOJ13" s="20"/>
      <c r="EOK13" s="20"/>
      <c r="EOL13" s="20"/>
      <c r="EOM13" s="20"/>
      <c r="EON13" s="20"/>
      <c r="EOO13" s="20"/>
      <c r="EOP13" s="20"/>
      <c r="EOQ13" s="20"/>
      <c r="EOR13" s="20"/>
      <c r="EOS13" s="20"/>
      <c r="EOT13" s="20"/>
      <c r="EOU13" s="20"/>
      <c r="EOV13" s="20"/>
      <c r="EOW13" s="20"/>
      <c r="EOX13" s="20"/>
      <c r="EOY13" s="20"/>
      <c r="EOZ13" s="20"/>
      <c r="EPA13" s="20"/>
      <c r="EPB13" s="20"/>
      <c r="EPC13" s="20"/>
      <c r="EPD13" s="20"/>
      <c r="EPE13" s="20"/>
      <c r="EPF13" s="20"/>
      <c r="EPG13" s="20"/>
      <c r="EPH13" s="20"/>
      <c r="EPI13" s="20"/>
      <c r="EPJ13" s="20"/>
      <c r="EPK13" s="20"/>
      <c r="EPL13" s="20"/>
      <c r="EPM13" s="20"/>
      <c r="EPN13" s="20"/>
      <c r="EPO13" s="20"/>
      <c r="EPP13" s="20"/>
      <c r="EPQ13" s="20"/>
      <c r="EPR13" s="20"/>
      <c r="EPS13" s="20"/>
      <c r="EPT13" s="20"/>
      <c r="EPU13" s="20"/>
      <c r="EPV13" s="20"/>
      <c r="EPW13" s="20"/>
      <c r="EPX13" s="20"/>
      <c r="EPY13" s="20"/>
      <c r="EPZ13" s="20"/>
      <c r="EQA13" s="20"/>
      <c r="EQB13" s="20"/>
      <c r="EQC13" s="20"/>
      <c r="EQD13" s="20"/>
      <c r="EQE13" s="20"/>
      <c r="EQF13" s="20"/>
      <c r="EQG13" s="20"/>
      <c r="EQH13" s="20"/>
      <c r="EQI13" s="20"/>
      <c r="EQJ13" s="20"/>
      <c r="EQK13" s="20"/>
      <c r="EQL13" s="20"/>
      <c r="EQM13" s="20"/>
      <c r="EQN13" s="20"/>
      <c r="EQO13" s="20"/>
      <c r="EQP13" s="20"/>
      <c r="EQQ13" s="20"/>
      <c r="EQR13" s="20"/>
      <c r="EQS13" s="20"/>
      <c r="EQT13" s="20"/>
      <c r="EQU13" s="20"/>
      <c r="EQV13" s="20"/>
      <c r="EQW13" s="20"/>
      <c r="EQX13" s="20"/>
      <c r="EQY13" s="20"/>
      <c r="EQZ13" s="20"/>
      <c r="ERA13" s="20"/>
      <c r="ERB13" s="20"/>
      <c r="ERC13" s="20"/>
      <c r="ERD13" s="20"/>
      <c r="ERE13" s="20"/>
      <c r="ERF13" s="20"/>
      <c r="ERG13" s="20"/>
      <c r="ERH13" s="20"/>
      <c r="ERI13" s="20"/>
      <c r="ERJ13" s="20"/>
      <c r="ERK13" s="20"/>
      <c r="ERL13" s="20"/>
      <c r="ERM13" s="20"/>
      <c r="ERN13" s="20"/>
      <c r="ERO13" s="20"/>
      <c r="ERP13" s="20"/>
      <c r="ERQ13" s="20"/>
      <c r="ERR13" s="20"/>
      <c r="ERS13" s="20"/>
      <c r="ERT13" s="20"/>
      <c r="ERU13" s="20"/>
      <c r="ERV13" s="20"/>
      <c r="ERW13" s="20"/>
      <c r="ERX13" s="20"/>
      <c r="ERY13" s="20"/>
      <c r="ERZ13" s="20"/>
      <c r="ESA13" s="20"/>
      <c r="ESB13" s="20"/>
      <c r="ESC13" s="20"/>
      <c r="ESD13" s="20"/>
      <c r="ESE13" s="20"/>
      <c r="ESF13" s="20"/>
      <c r="ESG13" s="20"/>
      <c r="ESH13" s="20"/>
      <c r="ESI13" s="20"/>
      <c r="ESJ13" s="20"/>
      <c r="ESK13" s="20"/>
      <c r="ESL13" s="20"/>
      <c r="ESM13" s="20"/>
      <c r="ESN13" s="20"/>
      <c r="ESO13" s="20"/>
      <c r="ESP13" s="20"/>
      <c r="ESQ13" s="20"/>
      <c r="ESR13" s="20"/>
      <c r="ESS13" s="20"/>
      <c r="EST13" s="20"/>
      <c r="ESU13" s="20"/>
      <c r="ESV13" s="20"/>
      <c r="ESW13" s="20"/>
      <c r="ESX13" s="20"/>
      <c r="ESY13" s="20"/>
      <c r="ESZ13" s="20"/>
      <c r="ETA13" s="20"/>
      <c r="ETB13" s="20"/>
      <c r="ETC13" s="20"/>
      <c r="ETD13" s="20"/>
      <c r="ETE13" s="20"/>
      <c r="ETF13" s="20"/>
      <c r="ETG13" s="20"/>
      <c r="ETH13" s="20"/>
      <c r="ETI13" s="20"/>
      <c r="ETJ13" s="20"/>
      <c r="ETK13" s="20"/>
      <c r="ETL13" s="20"/>
      <c r="ETM13" s="20"/>
      <c r="ETN13" s="20"/>
      <c r="ETO13" s="20"/>
      <c r="ETP13" s="20"/>
      <c r="ETQ13" s="20"/>
      <c r="ETR13" s="20"/>
      <c r="ETS13" s="20"/>
      <c r="ETT13" s="20"/>
      <c r="ETU13" s="20"/>
      <c r="ETV13" s="20"/>
      <c r="ETW13" s="20"/>
      <c r="ETX13" s="20"/>
      <c r="ETY13" s="20"/>
      <c r="ETZ13" s="20"/>
      <c r="EUA13" s="20"/>
      <c r="EUB13" s="20"/>
      <c r="EUC13" s="20"/>
      <c r="EUD13" s="20"/>
      <c r="EUE13" s="20"/>
      <c r="EUF13" s="20"/>
      <c r="EUG13" s="20"/>
      <c r="EUH13" s="20"/>
      <c r="EUI13" s="20"/>
      <c r="EUJ13" s="20"/>
      <c r="EUK13" s="20"/>
      <c r="EUL13" s="20"/>
      <c r="EUM13" s="20"/>
      <c r="EUN13" s="20"/>
      <c r="EUO13" s="20"/>
      <c r="EUP13" s="20"/>
      <c r="EUQ13" s="20"/>
      <c r="EUR13" s="20"/>
      <c r="EUS13" s="20"/>
      <c r="EUT13" s="20"/>
      <c r="EUU13" s="20"/>
      <c r="EUV13" s="20"/>
      <c r="EUW13" s="20"/>
      <c r="EUX13" s="20"/>
      <c r="EUY13" s="20"/>
      <c r="EUZ13" s="20"/>
      <c r="EVA13" s="20"/>
      <c r="EVB13" s="20"/>
      <c r="EVC13" s="20"/>
      <c r="EVD13" s="20"/>
      <c r="EVE13" s="20"/>
      <c r="EVF13" s="20"/>
      <c r="EVG13" s="20"/>
      <c r="EVH13" s="20"/>
      <c r="EVI13" s="20"/>
      <c r="EVJ13" s="20"/>
      <c r="EVK13" s="20"/>
      <c r="EVL13" s="20"/>
      <c r="EVM13" s="20"/>
      <c r="EVN13" s="20"/>
      <c r="EVO13" s="20"/>
      <c r="EVP13" s="20"/>
      <c r="EVQ13" s="20"/>
      <c r="EVR13" s="20"/>
      <c r="EVS13" s="20"/>
      <c r="EVT13" s="20"/>
      <c r="EVU13" s="20"/>
      <c r="EVV13" s="20"/>
      <c r="EVW13" s="20"/>
      <c r="EVX13" s="20"/>
      <c r="EVY13" s="20"/>
      <c r="EVZ13" s="20"/>
      <c r="EWA13" s="20"/>
      <c r="EWB13" s="20"/>
      <c r="EWC13" s="20"/>
      <c r="EWD13" s="20"/>
      <c r="EWE13" s="20"/>
      <c r="EWF13" s="20"/>
      <c r="EWG13" s="20"/>
      <c r="EWH13" s="20"/>
      <c r="EWI13" s="20"/>
      <c r="EWJ13" s="20"/>
      <c r="EWK13" s="20"/>
      <c r="EWL13" s="20"/>
      <c r="EWM13" s="20"/>
      <c r="EWN13" s="20"/>
      <c r="EWO13" s="20"/>
      <c r="EWP13" s="20"/>
      <c r="EWQ13" s="20"/>
      <c r="EWR13" s="20"/>
      <c r="EWS13" s="20"/>
      <c r="EWT13" s="20"/>
      <c r="EWU13" s="20"/>
      <c r="EWV13" s="20"/>
      <c r="EWW13" s="20"/>
      <c r="EWX13" s="20"/>
      <c r="EWY13" s="20"/>
      <c r="EWZ13" s="20"/>
      <c r="EXA13" s="20"/>
      <c r="EXB13" s="20"/>
      <c r="EXC13" s="20"/>
      <c r="EXD13" s="20"/>
      <c r="EXE13" s="20"/>
      <c r="EXF13" s="20"/>
      <c r="EXG13" s="20"/>
      <c r="EXH13" s="20"/>
      <c r="EXI13" s="20"/>
      <c r="EXJ13" s="20"/>
      <c r="EXK13" s="20"/>
      <c r="EXL13" s="20"/>
      <c r="EXM13" s="20"/>
      <c r="EXN13" s="20"/>
      <c r="EXO13" s="20"/>
      <c r="EXP13" s="20"/>
      <c r="EXQ13" s="20"/>
      <c r="EXR13" s="20"/>
      <c r="EXS13" s="20"/>
      <c r="EXT13" s="20"/>
      <c r="EXU13" s="20"/>
      <c r="EXV13" s="20"/>
      <c r="EXW13" s="20"/>
      <c r="EXX13" s="20"/>
      <c r="EXY13" s="20"/>
      <c r="EXZ13" s="20"/>
      <c r="EYA13" s="20"/>
      <c r="EYB13" s="20"/>
      <c r="EYC13" s="20"/>
      <c r="EYD13" s="20"/>
      <c r="EYE13" s="20"/>
      <c r="EYF13" s="20"/>
      <c r="EYG13" s="20"/>
      <c r="EYH13" s="20"/>
      <c r="EYI13" s="20"/>
      <c r="EYJ13" s="20"/>
      <c r="EYK13" s="20"/>
      <c r="EYL13" s="20"/>
      <c r="EYM13" s="20"/>
      <c r="EYN13" s="20"/>
      <c r="EYO13" s="20"/>
      <c r="EYP13" s="20"/>
      <c r="EYQ13" s="20"/>
      <c r="EYR13" s="20"/>
      <c r="EYS13" s="20"/>
      <c r="EYT13" s="20"/>
      <c r="EYU13" s="20"/>
      <c r="EYV13" s="20"/>
      <c r="EYW13" s="20"/>
      <c r="EYX13" s="20"/>
      <c r="EYY13" s="20"/>
      <c r="EYZ13" s="20"/>
      <c r="EZA13" s="20"/>
      <c r="EZB13" s="20"/>
      <c r="EZC13" s="20"/>
      <c r="EZD13" s="20"/>
      <c r="EZE13" s="20"/>
      <c r="EZF13" s="20"/>
      <c r="EZG13" s="20"/>
      <c r="EZH13" s="20"/>
      <c r="EZI13" s="20"/>
      <c r="EZJ13" s="20"/>
      <c r="EZK13" s="20"/>
      <c r="EZL13" s="20"/>
      <c r="EZM13" s="20"/>
      <c r="EZN13" s="20"/>
      <c r="EZO13" s="20"/>
      <c r="EZP13" s="20"/>
      <c r="EZQ13" s="20"/>
      <c r="EZR13" s="20"/>
      <c r="EZS13" s="20"/>
      <c r="EZT13" s="20"/>
      <c r="EZU13" s="20"/>
      <c r="EZV13" s="20"/>
      <c r="EZW13" s="20"/>
      <c r="EZX13" s="20"/>
      <c r="EZY13" s="20"/>
      <c r="EZZ13" s="20"/>
      <c r="FAA13" s="20"/>
      <c r="FAB13" s="20"/>
      <c r="FAC13" s="20"/>
      <c r="FAD13" s="20"/>
      <c r="FAE13" s="20"/>
      <c r="FAF13" s="20"/>
      <c r="FAG13" s="20"/>
      <c r="FAH13" s="20"/>
      <c r="FAI13" s="20"/>
      <c r="FAJ13" s="20"/>
      <c r="FAK13" s="20"/>
      <c r="FAL13" s="20"/>
      <c r="FAM13" s="20"/>
      <c r="FAN13" s="20"/>
      <c r="FAO13" s="20"/>
      <c r="FAP13" s="20"/>
      <c r="FAQ13" s="20"/>
      <c r="FAR13" s="20"/>
      <c r="FAS13" s="20"/>
      <c r="FAT13" s="20"/>
      <c r="FAU13" s="20"/>
      <c r="FAV13" s="20"/>
      <c r="FAW13" s="20"/>
      <c r="FAX13" s="20"/>
      <c r="FAY13" s="20"/>
      <c r="FAZ13" s="20"/>
      <c r="FBA13" s="20"/>
      <c r="FBB13" s="20"/>
      <c r="FBC13" s="20"/>
      <c r="FBD13" s="20"/>
      <c r="FBE13" s="20"/>
      <c r="FBF13" s="20"/>
      <c r="FBG13" s="20"/>
      <c r="FBH13" s="20"/>
      <c r="FBI13" s="20"/>
      <c r="FBJ13" s="20"/>
      <c r="FBK13" s="20"/>
      <c r="FBL13" s="20"/>
      <c r="FBM13" s="20"/>
      <c r="FBN13" s="20"/>
      <c r="FBO13" s="20"/>
      <c r="FBP13" s="20"/>
      <c r="FBQ13" s="20"/>
      <c r="FBR13" s="20"/>
      <c r="FBS13" s="20"/>
      <c r="FBT13" s="20"/>
      <c r="FBU13" s="20"/>
      <c r="FBV13" s="20"/>
      <c r="FBW13" s="20"/>
      <c r="FBX13" s="20"/>
      <c r="FBY13" s="20"/>
      <c r="FBZ13" s="20"/>
      <c r="FCA13" s="20"/>
      <c r="FCB13" s="20"/>
      <c r="FCC13" s="20"/>
      <c r="FCD13" s="20"/>
      <c r="FCE13" s="20"/>
      <c r="FCF13" s="20"/>
      <c r="FCG13" s="20"/>
      <c r="FCH13" s="20"/>
      <c r="FCI13" s="20"/>
      <c r="FCJ13" s="20"/>
      <c r="FCK13" s="20"/>
      <c r="FCL13" s="20"/>
      <c r="FCM13" s="20"/>
      <c r="FCN13" s="20"/>
      <c r="FCO13" s="20"/>
      <c r="FCP13" s="20"/>
      <c r="FCQ13" s="20"/>
      <c r="FCR13" s="20"/>
      <c r="FCS13" s="20"/>
      <c r="FCT13" s="20"/>
      <c r="FCU13" s="20"/>
      <c r="FCV13" s="20"/>
      <c r="FCW13" s="20"/>
      <c r="FCX13" s="20"/>
      <c r="FCY13" s="20"/>
      <c r="FCZ13" s="20"/>
      <c r="FDA13" s="20"/>
      <c r="FDB13" s="20"/>
      <c r="FDC13" s="20"/>
      <c r="FDD13" s="20"/>
      <c r="FDE13" s="20"/>
      <c r="FDF13" s="20"/>
      <c r="FDG13" s="20"/>
      <c r="FDH13" s="20"/>
      <c r="FDI13" s="20"/>
      <c r="FDJ13" s="20"/>
      <c r="FDK13" s="20"/>
      <c r="FDL13" s="20"/>
      <c r="FDM13" s="20"/>
      <c r="FDN13" s="20"/>
      <c r="FDO13" s="20"/>
      <c r="FDP13" s="20"/>
      <c r="FDQ13" s="20"/>
      <c r="FDR13" s="20"/>
      <c r="FDS13" s="20"/>
      <c r="FDT13" s="20"/>
      <c r="FDU13" s="20"/>
      <c r="FDV13" s="20"/>
      <c r="FDW13" s="20"/>
      <c r="FDX13" s="20"/>
      <c r="FDY13" s="20"/>
      <c r="FDZ13" s="20"/>
      <c r="FEA13" s="20"/>
      <c r="FEB13" s="20"/>
      <c r="FEC13" s="20"/>
      <c r="FED13" s="20"/>
      <c r="FEE13" s="20"/>
      <c r="FEF13" s="20"/>
      <c r="FEG13" s="20"/>
      <c r="FEH13" s="20"/>
      <c r="FEI13" s="20"/>
      <c r="FEJ13" s="20"/>
      <c r="FEK13" s="20"/>
      <c r="FEL13" s="20"/>
      <c r="FEM13" s="20"/>
      <c r="FEN13" s="20"/>
      <c r="FEO13" s="20"/>
      <c r="FEP13" s="20"/>
      <c r="FEQ13" s="20"/>
      <c r="FER13" s="20"/>
      <c r="FES13" s="20"/>
      <c r="FET13" s="20"/>
      <c r="FEU13" s="20"/>
      <c r="FEV13" s="20"/>
      <c r="FEW13" s="20"/>
      <c r="FEX13" s="20"/>
      <c r="FEY13" s="20"/>
      <c r="FEZ13" s="20"/>
      <c r="FFA13" s="20"/>
      <c r="FFB13" s="20"/>
      <c r="FFC13" s="20"/>
      <c r="FFD13" s="20"/>
      <c r="FFE13" s="20"/>
      <c r="FFF13" s="20"/>
      <c r="FFG13" s="20"/>
      <c r="FFH13" s="20"/>
      <c r="FFI13" s="20"/>
      <c r="FFJ13" s="20"/>
      <c r="FFK13" s="20"/>
      <c r="FFL13" s="20"/>
      <c r="FFM13" s="20"/>
      <c r="FFN13" s="20"/>
      <c r="FFO13" s="20"/>
      <c r="FFP13" s="20"/>
      <c r="FFQ13" s="20"/>
      <c r="FFR13" s="20"/>
      <c r="FFS13" s="20"/>
      <c r="FFT13" s="20"/>
      <c r="FFU13" s="20"/>
      <c r="FFV13" s="20"/>
      <c r="FFW13" s="20"/>
      <c r="FFX13" s="20"/>
      <c r="FFY13" s="20"/>
      <c r="FFZ13" s="20"/>
      <c r="FGA13" s="20"/>
      <c r="FGB13" s="20"/>
      <c r="FGC13" s="20"/>
      <c r="FGD13" s="20"/>
      <c r="FGE13" s="20"/>
      <c r="FGF13" s="20"/>
      <c r="FGG13" s="20"/>
      <c r="FGH13" s="20"/>
      <c r="FGI13" s="20"/>
      <c r="FGJ13" s="20"/>
      <c r="FGK13" s="20"/>
      <c r="FGL13" s="20"/>
      <c r="FGM13" s="20"/>
      <c r="FGN13" s="20"/>
      <c r="FGO13" s="20"/>
      <c r="FGP13" s="20"/>
      <c r="FGQ13" s="20"/>
      <c r="FGR13" s="20"/>
      <c r="FGS13" s="20"/>
      <c r="FGT13" s="20"/>
      <c r="FGU13" s="20"/>
      <c r="FGV13" s="20"/>
      <c r="FGW13" s="20"/>
      <c r="FGX13" s="20"/>
      <c r="FGY13" s="20"/>
      <c r="FGZ13" s="20"/>
      <c r="FHA13" s="20"/>
      <c r="FHB13" s="20"/>
      <c r="FHC13" s="20"/>
      <c r="FHD13" s="20"/>
      <c r="FHE13" s="20"/>
      <c r="FHF13" s="20"/>
      <c r="FHG13" s="20"/>
      <c r="FHH13" s="20"/>
      <c r="FHI13" s="20"/>
      <c r="FHJ13" s="20"/>
      <c r="FHK13" s="20"/>
      <c r="FHL13" s="20"/>
      <c r="FHM13" s="20"/>
      <c r="FHN13" s="20"/>
      <c r="FHO13" s="20"/>
      <c r="FHP13" s="20"/>
      <c r="FHQ13" s="20"/>
      <c r="FHR13" s="20"/>
      <c r="FHS13" s="20"/>
      <c r="FHT13" s="20"/>
      <c r="FHU13" s="20"/>
      <c r="FHV13" s="20"/>
      <c r="FHW13" s="20"/>
      <c r="FHX13" s="20"/>
      <c r="FHY13" s="20"/>
      <c r="FHZ13" s="20"/>
      <c r="FIA13" s="20"/>
      <c r="FIB13" s="20"/>
      <c r="FIC13" s="20"/>
      <c r="FID13" s="20"/>
      <c r="FIE13" s="20"/>
      <c r="FIF13" s="20"/>
      <c r="FIG13" s="20"/>
      <c r="FIH13" s="20"/>
      <c r="FII13" s="20"/>
      <c r="FIJ13" s="20"/>
      <c r="FIK13" s="20"/>
      <c r="FIL13" s="20"/>
      <c r="FIM13" s="20"/>
      <c r="FIN13" s="20"/>
      <c r="FIO13" s="20"/>
      <c r="FIP13" s="20"/>
      <c r="FIQ13" s="20"/>
      <c r="FIR13" s="20"/>
      <c r="FIS13" s="20"/>
      <c r="FIT13" s="20"/>
      <c r="FIU13" s="20"/>
      <c r="FIV13" s="20"/>
      <c r="FIW13" s="20"/>
      <c r="FIX13" s="20"/>
      <c r="FIY13" s="20"/>
      <c r="FIZ13" s="20"/>
      <c r="FJA13" s="20"/>
      <c r="FJB13" s="20"/>
      <c r="FJC13" s="20"/>
      <c r="FJD13" s="20"/>
      <c r="FJE13" s="20"/>
      <c r="FJF13" s="20"/>
      <c r="FJG13" s="20"/>
      <c r="FJH13" s="20"/>
      <c r="FJI13" s="20"/>
      <c r="FJJ13" s="20"/>
      <c r="FJK13" s="20"/>
      <c r="FJL13" s="20"/>
      <c r="FJM13" s="20"/>
      <c r="FJN13" s="20"/>
      <c r="FJO13" s="20"/>
      <c r="FJP13" s="20"/>
      <c r="FJQ13" s="20"/>
      <c r="FJR13" s="20"/>
      <c r="FJS13" s="20"/>
      <c r="FJT13" s="20"/>
      <c r="FJU13" s="20"/>
      <c r="FJV13" s="20"/>
      <c r="FJW13" s="20"/>
      <c r="FJX13" s="20"/>
      <c r="FJY13" s="20"/>
      <c r="FJZ13" s="20"/>
      <c r="FKA13" s="20"/>
      <c r="FKB13" s="20"/>
      <c r="FKC13" s="20"/>
      <c r="FKD13" s="20"/>
      <c r="FKE13" s="20"/>
      <c r="FKF13" s="20"/>
      <c r="FKG13" s="20"/>
      <c r="FKH13" s="20"/>
      <c r="FKI13" s="20"/>
      <c r="FKJ13" s="20"/>
      <c r="FKK13" s="20"/>
      <c r="FKL13" s="20"/>
      <c r="FKM13" s="20"/>
      <c r="FKN13" s="20"/>
      <c r="FKO13" s="20"/>
      <c r="FKP13" s="20"/>
      <c r="FKQ13" s="20"/>
      <c r="FKR13" s="20"/>
      <c r="FKS13" s="20"/>
      <c r="FKT13" s="20"/>
      <c r="FKU13" s="20"/>
      <c r="FKV13" s="20"/>
      <c r="FKW13" s="20"/>
      <c r="FKX13" s="20"/>
      <c r="FKY13" s="20"/>
      <c r="FKZ13" s="20"/>
      <c r="FLA13" s="20"/>
      <c r="FLB13" s="20"/>
      <c r="FLC13" s="20"/>
      <c r="FLD13" s="20"/>
      <c r="FLE13" s="20"/>
      <c r="FLF13" s="20"/>
      <c r="FLG13" s="20"/>
      <c r="FLH13" s="20"/>
      <c r="FLI13" s="20"/>
      <c r="FLJ13" s="20"/>
      <c r="FLK13" s="20"/>
      <c r="FLL13" s="20"/>
      <c r="FLM13" s="20"/>
      <c r="FLN13" s="20"/>
      <c r="FLO13" s="20"/>
      <c r="FLP13" s="20"/>
      <c r="FLQ13" s="20"/>
      <c r="FLR13" s="20"/>
      <c r="FLS13" s="20"/>
      <c r="FLT13" s="20"/>
      <c r="FLU13" s="20"/>
      <c r="FLV13" s="20"/>
      <c r="FLW13" s="20"/>
      <c r="FLX13" s="20"/>
      <c r="FLY13" s="20"/>
      <c r="FLZ13" s="20"/>
      <c r="FMA13" s="20"/>
      <c r="FMB13" s="20"/>
      <c r="FMC13" s="20"/>
      <c r="FMD13" s="20"/>
      <c r="FME13" s="20"/>
      <c r="FMF13" s="20"/>
      <c r="FMG13" s="20"/>
      <c r="FMH13" s="20"/>
      <c r="FMI13" s="20"/>
      <c r="FMJ13" s="20"/>
      <c r="FMK13" s="20"/>
      <c r="FML13" s="20"/>
      <c r="FMM13" s="20"/>
      <c r="FMN13" s="20"/>
      <c r="FMO13" s="20"/>
      <c r="FMP13" s="20"/>
      <c r="FMQ13" s="20"/>
      <c r="FMR13" s="20"/>
      <c r="FMS13" s="20"/>
      <c r="FMT13" s="20"/>
      <c r="FMU13" s="20"/>
      <c r="FMV13" s="20"/>
      <c r="FMW13" s="20"/>
      <c r="FMX13" s="20"/>
      <c r="FMY13" s="20"/>
      <c r="FMZ13" s="20"/>
      <c r="FNA13" s="20"/>
      <c r="FNB13" s="20"/>
      <c r="FNC13" s="20"/>
      <c r="FND13" s="20"/>
      <c r="FNE13" s="20"/>
      <c r="FNF13" s="20"/>
      <c r="FNG13" s="20"/>
      <c r="FNH13" s="20"/>
      <c r="FNI13" s="20"/>
      <c r="FNJ13" s="20"/>
      <c r="FNK13" s="20"/>
      <c r="FNL13" s="20"/>
      <c r="FNM13" s="20"/>
      <c r="FNN13" s="20"/>
      <c r="FNO13" s="20"/>
      <c r="FNP13" s="20"/>
      <c r="FNQ13" s="20"/>
      <c r="FNR13" s="20"/>
      <c r="FNS13" s="20"/>
      <c r="FNT13" s="20"/>
      <c r="FNU13" s="20"/>
      <c r="FNV13" s="20"/>
      <c r="FNW13" s="20"/>
      <c r="FNX13" s="20"/>
      <c r="FNY13" s="20"/>
      <c r="FNZ13" s="20"/>
      <c r="FOA13" s="20"/>
      <c r="FOB13" s="20"/>
      <c r="FOC13" s="20"/>
      <c r="FOD13" s="20"/>
      <c r="FOE13" s="20"/>
      <c r="FOF13" s="20"/>
      <c r="FOG13" s="20"/>
      <c r="FOH13" s="20"/>
      <c r="FOI13" s="20"/>
      <c r="FOJ13" s="20"/>
      <c r="FOK13" s="20"/>
      <c r="FOL13" s="20"/>
      <c r="FOM13" s="20"/>
      <c r="FON13" s="20"/>
      <c r="FOO13" s="20"/>
      <c r="FOP13" s="20"/>
      <c r="FOQ13" s="20"/>
      <c r="FOR13" s="20"/>
      <c r="FOS13" s="20"/>
      <c r="FOT13" s="20"/>
      <c r="FOU13" s="20"/>
      <c r="FOV13" s="20"/>
      <c r="FOW13" s="20"/>
      <c r="FOX13" s="20"/>
      <c r="FOY13" s="20"/>
      <c r="FOZ13" s="20"/>
      <c r="FPA13" s="20"/>
      <c r="FPB13" s="20"/>
      <c r="FPC13" s="20"/>
      <c r="FPD13" s="20"/>
      <c r="FPE13" s="20"/>
      <c r="FPF13" s="20"/>
      <c r="FPG13" s="20"/>
      <c r="FPH13" s="20"/>
      <c r="FPI13" s="20"/>
      <c r="FPJ13" s="20"/>
      <c r="FPK13" s="20"/>
      <c r="FPL13" s="20"/>
      <c r="FPM13" s="20"/>
      <c r="FPN13" s="20"/>
      <c r="FPO13" s="20"/>
      <c r="FPP13" s="20"/>
      <c r="FPQ13" s="20"/>
      <c r="FPR13" s="20"/>
      <c r="FPS13" s="20"/>
      <c r="FPT13" s="20"/>
      <c r="FPU13" s="20"/>
      <c r="FPV13" s="20"/>
      <c r="FPW13" s="20"/>
      <c r="FPX13" s="20"/>
      <c r="FPY13" s="20"/>
      <c r="FPZ13" s="20"/>
      <c r="FQA13" s="20"/>
      <c r="FQB13" s="20"/>
      <c r="FQC13" s="20"/>
      <c r="FQD13" s="20"/>
      <c r="FQE13" s="20"/>
      <c r="FQF13" s="20"/>
      <c r="FQG13" s="20"/>
      <c r="FQH13" s="20"/>
      <c r="FQI13" s="20"/>
      <c r="FQJ13" s="20"/>
      <c r="FQK13" s="20"/>
      <c r="FQL13" s="20"/>
      <c r="FQM13" s="20"/>
      <c r="FQN13" s="20"/>
      <c r="FQO13" s="20"/>
      <c r="FQP13" s="20"/>
      <c r="FQQ13" s="20"/>
      <c r="FQR13" s="20"/>
      <c r="FQS13" s="20"/>
      <c r="FQT13" s="20"/>
      <c r="FQU13" s="20"/>
      <c r="FQV13" s="20"/>
      <c r="FQW13" s="20"/>
      <c r="FQX13" s="20"/>
      <c r="FQY13" s="20"/>
      <c r="FQZ13" s="20"/>
      <c r="FRA13" s="20"/>
      <c r="FRB13" s="20"/>
      <c r="FRC13" s="20"/>
      <c r="FRD13" s="20"/>
      <c r="FRE13" s="20"/>
      <c r="FRF13" s="20"/>
      <c r="FRG13" s="20"/>
      <c r="FRH13" s="20"/>
      <c r="FRI13" s="20"/>
      <c r="FRJ13" s="20"/>
      <c r="FRK13" s="20"/>
      <c r="FRL13" s="20"/>
      <c r="FRM13" s="20"/>
      <c r="FRN13" s="20"/>
      <c r="FRO13" s="20"/>
      <c r="FRP13" s="20"/>
      <c r="FRQ13" s="20"/>
      <c r="FRR13" s="20"/>
      <c r="FRS13" s="20"/>
      <c r="FRT13" s="20"/>
      <c r="FRU13" s="20"/>
      <c r="FRV13" s="20"/>
      <c r="FRW13" s="20"/>
      <c r="FRX13" s="20"/>
      <c r="FRY13" s="20"/>
      <c r="FRZ13" s="20"/>
      <c r="FSA13" s="20"/>
      <c r="FSB13" s="20"/>
      <c r="FSC13" s="20"/>
      <c r="FSD13" s="20"/>
      <c r="FSE13" s="20"/>
      <c r="FSF13" s="20"/>
      <c r="FSG13" s="20"/>
      <c r="FSH13" s="20"/>
      <c r="FSI13" s="20"/>
      <c r="FSJ13" s="20"/>
      <c r="FSK13" s="20"/>
      <c r="FSL13" s="20"/>
      <c r="FSM13" s="20"/>
      <c r="FSN13" s="20"/>
      <c r="FSO13" s="20"/>
      <c r="FSP13" s="20"/>
      <c r="FSQ13" s="20"/>
      <c r="FSR13" s="20"/>
      <c r="FSS13" s="20"/>
      <c r="FST13" s="20"/>
      <c r="FSU13" s="20"/>
      <c r="FSV13" s="20"/>
      <c r="FSW13" s="20"/>
      <c r="FSX13" s="20"/>
      <c r="FSY13" s="20"/>
      <c r="FSZ13" s="20"/>
      <c r="FTA13" s="20"/>
      <c r="FTB13" s="20"/>
      <c r="FTC13" s="20"/>
      <c r="FTD13" s="20"/>
      <c r="FTE13" s="20"/>
      <c r="FTF13" s="20"/>
      <c r="FTG13" s="20"/>
      <c r="FTH13" s="20"/>
      <c r="FTI13" s="20"/>
      <c r="FTJ13" s="20"/>
      <c r="FTK13" s="20"/>
      <c r="FTL13" s="20"/>
      <c r="FTM13" s="20"/>
      <c r="FTN13" s="20"/>
      <c r="FTO13" s="20"/>
      <c r="FTP13" s="20"/>
      <c r="FTQ13" s="20"/>
      <c r="FTR13" s="20"/>
      <c r="FTS13" s="20"/>
      <c r="FTT13" s="20"/>
      <c r="FTU13" s="20"/>
      <c r="FTV13" s="20"/>
      <c r="FTW13" s="20"/>
      <c r="FTX13" s="20"/>
      <c r="FTY13" s="20"/>
      <c r="FTZ13" s="20"/>
      <c r="FUA13" s="20"/>
      <c r="FUB13" s="20"/>
      <c r="FUC13" s="20"/>
      <c r="FUD13" s="20"/>
      <c r="FUE13" s="20"/>
      <c r="FUF13" s="20"/>
      <c r="FUG13" s="20"/>
      <c r="FUH13" s="20"/>
      <c r="FUI13" s="20"/>
      <c r="FUJ13" s="20"/>
      <c r="FUK13" s="20"/>
      <c r="FUL13" s="20"/>
      <c r="FUM13" s="20"/>
      <c r="FUN13" s="20"/>
      <c r="FUO13" s="20"/>
      <c r="FUP13" s="20"/>
      <c r="FUQ13" s="20"/>
      <c r="FUR13" s="20"/>
      <c r="FUS13" s="20"/>
      <c r="FUT13" s="20"/>
      <c r="FUU13" s="20"/>
      <c r="FUV13" s="20"/>
      <c r="FUW13" s="20"/>
      <c r="FUX13" s="20"/>
      <c r="FUY13" s="20"/>
      <c r="FUZ13" s="20"/>
      <c r="FVA13" s="20"/>
      <c r="FVB13" s="20"/>
      <c r="FVC13" s="20"/>
      <c r="FVD13" s="20"/>
      <c r="FVE13" s="20"/>
      <c r="FVF13" s="20"/>
      <c r="FVG13" s="20"/>
      <c r="FVH13" s="20"/>
      <c r="FVI13" s="20"/>
      <c r="FVJ13" s="20"/>
      <c r="FVK13" s="20"/>
      <c r="FVL13" s="20"/>
      <c r="FVM13" s="20"/>
      <c r="FVN13" s="20"/>
      <c r="FVO13" s="20"/>
      <c r="FVP13" s="20"/>
      <c r="FVQ13" s="20"/>
      <c r="FVR13" s="20"/>
      <c r="FVS13" s="20"/>
      <c r="FVT13" s="20"/>
      <c r="FVU13" s="20"/>
      <c r="FVV13" s="20"/>
      <c r="FVW13" s="20"/>
      <c r="FVX13" s="20"/>
      <c r="FVY13" s="20"/>
      <c r="FVZ13" s="20"/>
      <c r="FWA13" s="20"/>
      <c r="FWB13" s="20"/>
      <c r="FWC13" s="20"/>
      <c r="FWD13" s="20"/>
      <c r="FWE13" s="20"/>
      <c r="FWF13" s="20"/>
      <c r="FWG13" s="20"/>
      <c r="FWH13" s="20"/>
      <c r="FWI13" s="20"/>
      <c r="FWJ13" s="20"/>
      <c r="FWK13" s="20"/>
      <c r="FWL13" s="20"/>
      <c r="FWM13" s="20"/>
      <c r="FWN13" s="20"/>
      <c r="FWO13" s="20"/>
      <c r="FWP13" s="20"/>
      <c r="FWQ13" s="20"/>
      <c r="FWR13" s="20"/>
      <c r="FWS13" s="20"/>
      <c r="FWT13" s="20"/>
      <c r="FWU13" s="20"/>
      <c r="FWV13" s="20"/>
      <c r="FWW13" s="20"/>
      <c r="FWX13" s="20"/>
      <c r="FWY13" s="20"/>
      <c r="FWZ13" s="20"/>
      <c r="FXA13" s="20"/>
      <c r="FXB13" s="20"/>
      <c r="FXC13" s="20"/>
      <c r="FXD13" s="20"/>
      <c r="FXE13" s="20"/>
      <c r="FXF13" s="20"/>
      <c r="FXG13" s="20"/>
      <c r="FXH13" s="20"/>
      <c r="FXI13" s="20"/>
      <c r="FXJ13" s="20"/>
      <c r="FXK13" s="20"/>
      <c r="FXL13" s="20"/>
      <c r="FXM13" s="20"/>
      <c r="FXN13" s="20"/>
      <c r="FXO13" s="20"/>
      <c r="FXP13" s="20"/>
      <c r="FXQ13" s="20"/>
      <c r="FXR13" s="20"/>
      <c r="FXS13" s="20"/>
      <c r="FXT13" s="20"/>
      <c r="FXU13" s="20"/>
      <c r="FXV13" s="20"/>
      <c r="FXW13" s="20"/>
      <c r="FXX13" s="20"/>
      <c r="FXY13" s="20"/>
      <c r="FXZ13" s="20"/>
      <c r="FYA13" s="20"/>
      <c r="FYB13" s="20"/>
      <c r="FYC13" s="20"/>
      <c r="FYD13" s="20"/>
      <c r="FYE13" s="20"/>
      <c r="FYF13" s="20"/>
      <c r="FYG13" s="20"/>
      <c r="FYH13" s="20"/>
      <c r="FYI13" s="20"/>
      <c r="FYJ13" s="20"/>
      <c r="FYK13" s="20"/>
      <c r="FYL13" s="20"/>
      <c r="FYM13" s="20"/>
      <c r="FYN13" s="20"/>
      <c r="FYO13" s="20"/>
      <c r="FYP13" s="20"/>
      <c r="FYQ13" s="20"/>
      <c r="FYR13" s="20"/>
      <c r="FYS13" s="20"/>
      <c r="FYT13" s="20"/>
      <c r="FYU13" s="20"/>
      <c r="FYV13" s="20"/>
      <c r="FYW13" s="20"/>
      <c r="FYX13" s="20"/>
      <c r="FYY13" s="20"/>
      <c r="FYZ13" s="20"/>
      <c r="FZA13" s="20"/>
      <c r="FZB13" s="20"/>
      <c r="FZC13" s="20"/>
      <c r="FZD13" s="20"/>
      <c r="FZE13" s="20"/>
      <c r="FZF13" s="20"/>
      <c r="FZG13" s="20"/>
      <c r="FZH13" s="20"/>
      <c r="FZI13" s="20"/>
      <c r="FZJ13" s="20"/>
      <c r="FZK13" s="20"/>
      <c r="FZL13" s="20"/>
      <c r="FZM13" s="20"/>
      <c r="FZN13" s="20"/>
      <c r="FZO13" s="20"/>
      <c r="FZP13" s="20"/>
      <c r="FZQ13" s="20"/>
      <c r="FZR13" s="20"/>
      <c r="FZS13" s="20"/>
      <c r="FZT13" s="20"/>
      <c r="FZU13" s="20"/>
      <c r="FZV13" s="20"/>
      <c r="FZW13" s="20"/>
      <c r="FZX13" s="20"/>
      <c r="FZY13" s="20"/>
      <c r="FZZ13" s="20"/>
      <c r="GAA13" s="20"/>
      <c r="GAB13" s="20"/>
      <c r="GAC13" s="20"/>
      <c r="GAD13" s="20"/>
      <c r="GAE13" s="20"/>
      <c r="GAF13" s="20"/>
      <c r="GAG13" s="20"/>
      <c r="GAH13" s="20"/>
      <c r="GAI13" s="20"/>
      <c r="GAJ13" s="20"/>
      <c r="GAK13" s="20"/>
      <c r="GAL13" s="20"/>
      <c r="GAM13" s="20"/>
      <c r="GAN13" s="20"/>
      <c r="GAO13" s="20"/>
      <c r="GAP13" s="20"/>
      <c r="GAQ13" s="20"/>
      <c r="GAR13" s="20"/>
      <c r="GAS13" s="20"/>
      <c r="GAT13" s="20"/>
      <c r="GAU13" s="20"/>
      <c r="GAV13" s="20"/>
      <c r="GAW13" s="20"/>
      <c r="GAX13" s="20"/>
      <c r="GAY13" s="20"/>
      <c r="GAZ13" s="20"/>
      <c r="GBA13" s="20"/>
      <c r="GBB13" s="20"/>
      <c r="GBC13" s="20"/>
      <c r="GBD13" s="20"/>
      <c r="GBE13" s="20"/>
      <c r="GBF13" s="20"/>
      <c r="GBG13" s="20"/>
      <c r="GBH13" s="20"/>
      <c r="GBI13" s="20"/>
      <c r="GBJ13" s="20"/>
      <c r="GBK13" s="20"/>
      <c r="GBL13" s="20"/>
      <c r="GBM13" s="20"/>
      <c r="GBN13" s="20"/>
      <c r="GBO13" s="20"/>
      <c r="GBP13" s="20"/>
      <c r="GBQ13" s="20"/>
      <c r="GBR13" s="20"/>
      <c r="GBS13" s="20"/>
      <c r="GBT13" s="20"/>
      <c r="GBU13" s="20"/>
      <c r="GBV13" s="20"/>
      <c r="GBW13" s="20"/>
      <c r="GBX13" s="20"/>
      <c r="GBY13" s="20"/>
      <c r="GBZ13" s="20"/>
      <c r="GCA13" s="20"/>
      <c r="GCB13" s="20"/>
      <c r="GCC13" s="20"/>
      <c r="GCD13" s="20"/>
      <c r="GCE13" s="20"/>
      <c r="GCF13" s="20"/>
      <c r="GCG13" s="20"/>
      <c r="GCH13" s="20"/>
      <c r="GCI13" s="20"/>
      <c r="GCJ13" s="20"/>
      <c r="GCK13" s="20"/>
      <c r="GCL13" s="20"/>
      <c r="GCM13" s="20"/>
      <c r="GCN13" s="20"/>
      <c r="GCO13" s="20"/>
      <c r="GCP13" s="20"/>
      <c r="GCQ13" s="20"/>
      <c r="GCR13" s="20"/>
      <c r="GCS13" s="20"/>
      <c r="GCT13" s="20"/>
      <c r="GCU13" s="20"/>
      <c r="GCV13" s="20"/>
      <c r="GCW13" s="20"/>
      <c r="GCX13" s="20"/>
      <c r="GCY13" s="20"/>
      <c r="GCZ13" s="20"/>
      <c r="GDA13" s="20"/>
      <c r="GDB13" s="20"/>
      <c r="GDC13" s="20"/>
      <c r="GDD13" s="20"/>
      <c r="GDE13" s="20"/>
      <c r="GDF13" s="20"/>
      <c r="GDG13" s="20"/>
      <c r="GDH13" s="20"/>
      <c r="GDI13" s="20"/>
      <c r="GDJ13" s="20"/>
      <c r="GDK13" s="20"/>
      <c r="GDL13" s="20"/>
      <c r="GDM13" s="20"/>
      <c r="GDN13" s="20"/>
      <c r="GDO13" s="20"/>
      <c r="GDP13" s="20"/>
      <c r="GDQ13" s="20"/>
      <c r="GDR13" s="20"/>
      <c r="GDS13" s="20"/>
      <c r="GDT13" s="20"/>
      <c r="GDU13" s="20"/>
      <c r="GDV13" s="20"/>
      <c r="GDW13" s="20"/>
      <c r="GDX13" s="20"/>
      <c r="GDY13" s="20"/>
      <c r="GDZ13" s="20"/>
      <c r="GEA13" s="20"/>
      <c r="GEB13" s="20"/>
      <c r="GEC13" s="20"/>
      <c r="GED13" s="20"/>
      <c r="GEE13" s="20"/>
      <c r="GEF13" s="20"/>
      <c r="GEG13" s="20"/>
      <c r="GEH13" s="20"/>
      <c r="GEI13" s="20"/>
      <c r="GEJ13" s="20"/>
      <c r="GEK13" s="20"/>
      <c r="GEL13" s="20"/>
      <c r="GEM13" s="20"/>
      <c r="GEN13" s="20"/>
      <c r="GEO13" s="20"/>
      <c r="GEP13" s="20"/>
      <c r="GEQ13" s="20"/>
      <c r="GER13" s="20"/>
      <c r="GES13" s="20"/>
      <c r="GET13" s="20"/>
      <c r="GEU13" s="20"/>
      <c r="GEV13" s="20"/>
      <c r="GEW13" s="20"/>
      <c r="GEX13" s="20"/>
      <c r="GEY13" s="20"/>
      <c r="GEZ13" s="20"/>
      <c r="GFA13" s="20"/>
      <c r="GFB13" s="20"/>
      <c r="GFC13" s="20"/>
      <c r="GFD13" s="20"/>
      <c r="GFE13" s="20"/>
      <c r="GFF13" s="20"/>
      <c r="GFG13" s="20"/>
      <c r="GFH13" s="20"/>
      <c r="GFI13" s="20"/>
      <c r="GFJ13" s="20"/>
      <c r="GFK13" s="20"/>
      <c r="GFL13" s="20"/>
      <c r="GFM13" s="20"/>
      <c r="GFN13" s="20"/>
      <c r="GFO13" s="20"/>
      <c r="GFP13" s="20"/>
      <c r="GFQ13" s="20"/>
      <c r="GFR13" s="20"/>
      <c r="GFS13" s="20"/>
      <c r="GFT13" s="20"/>
      <c r="GFU13" s="20"/>
      <c r="GFV13" s="20"/>
      <c r="GFW13" s="20"/>
      <c r="GFX13" s="20"/>
      <c r="GFY13" s="20"/>
      <c r="GFZ13" s="20"/>
      <c r="GGA13" s="20"/>
      <c r="GGB13" s="20"/>
      <c r="GGC13" s="20"/>
      <c r="GGD13" s="20"/>
      <c r="GGE13" s="20"/>
      <c r="GGF13" s="20"/>
      <c r="GGG13" s="20"/>
      <c r="GGH13" s="20"/>
      <c r="GGI13" s="20"/>
      <c r="GGJ13" s="20"/>
      <c r="GGK13" s="20"/>
      <c r="GGL13" s="20"/>
      <c r="GGM13" s="20"/>
      <c r="GGN13" s="20"/>
      <c r="GGO13" s="20"/>
      <c r="GGP13" s="20"/>
      <c r="GGQ13" s="20"/>
      <c r="GGR13" s="20"/>
      <c r="GGS13" s="20"/>
      <c r="GGT13" s="20"/>
      <c r="GGU13" s="20"/>
      <c r="GGV13" s="20"/>
      <c r="GGW13" s="20"/>
      <c r="GGX13" s="20"/>
      <c r="GGY13" s="20"/>
      <c r="GGZ13" s="20"/>
      <c r="GHA13" s="20"/>
      <c r="GHB13" s="20"/>
      <c r="GHC13" s="20"/>
      <c r="GHD13" s="20"/>
      <c r="GHE13" s="20"/>
      <c r="GHF13" s="20"/>
      <c r="GHG13" s="20"/>
      <c r="GHH13" s="20"/>
      <c r="GHI13" s="20"/>
      <c r="GHJ13" s="20"/>
      <c r="GHK13" s="20"/>
      <c r="GHL13" s="20"/>
      <c r="GHM13" s="20"/>
      <c r="GHN13" s="20"/>
      <c r="GHO13" s="20"/>
      <c r="GHP13" s="20"/>
      <c r="GHQ13" s="20"/>
      <c r="GHR13" s="20"/>
      <c r="GHS13" s="20"/>
      <c r="GHT13" s="20"/>
      <c r="GHU13" s="20"/>
      <c r="GHV13" s="20"/>
      <c r="GHW13" s="20"/>
      <c r="GHX13" s="20"/>
      <c r="GHY13" s="20"/>
      <c r="GHZ13" s="20"/>
      <c r="GIA13" s="20"/>
      <c r="GIB13" s="20"/>
      <c r="GIC13" s="20"/>
      <c r="GID13" s="20"/>
      <c r="GIE13" s="20"/>
      <c r="GIF13" s="20"/>
      <c r="GIG13" s="20"/>
      <c r="GIH13" s="20"/>
      <c r="GII13" s="20"/>
      <c r="GIJ13" s="20"/>
      <c r="GIK13" s="20"/>
      <c r="GIL13" s="20"/>
      <c r="GIM13" s="20"/>
      <c r="GIN13" s="20"/>
      <c r="GIO13" s="20"/>
      <c r="GIP13" s="20"/>
      <c r="GIQ13" s="20"/>
      <c r="GIR13" s="20"/>
      <c r="GIS13" s="20"/>
      <c r="GIT13" s="20"/>
      <c r="GIU13" s="20"/>
      <c r="GIV13" s="20"/>
      <c r="GIW13" s="20"/>
      <c r="GIX13" s="20"/>
      <c r="GIY13" s="20"/>
      <c r="GIZ13" s="20"/>
      <c r="GJA13" s="20"/>
      <c r="GJB13" s="20"/>
      <c r="GJC13" s="20"/>
      <c r="GJD13" s="20"/>
      <c r="GJE13" s="20"/>
      <c r="GJF13" s="20"/>
      <c r="GJG13" s="20"/>
      <c r="GJH13" s="20"/>
      <c r="GJI13" s="20"/>
      <c r="GJJ13" s="20"/>
      <c r="GJK13" s="20"/>
      <c r="GJL13" s="20"/>
      <c r="GJM13" s="20"/>
      <c r="GJN13" s="20"/>
      <c r="GJO13" s="20"/>
      <c r="GJP13" s="20"/>
      <c r="GJQ13" s="20"/>
      <c r="GJR13" s="20"/>
      <c r="GJS13" s="20"/>
      <c r="GJT13" s="20"/>
      <c r="GJU13" s="20"/>
      <c r="GJV13" s="20"/>
      <c r="GJW13" s="20"/>
      <c r="GJX13" s="20"/>
      <c r="GJY13" s="20"/>
      <c r="GJZ13" s="20"/>
      <c r="GKA13" s="20"/>
      <c r="GKB13" s="20"/>
      <c r="GKC13" s="20"/>
      <c r="GKD13" s="20"/>
      <c r="GKE13" s="20"/>
      <c r="GKF13" s="20"/>
      <c r="GKG13" s="20"/>
      <c r="GKH13" s="20"/>
      <c r="GKI13" s="20"/>
      <c r="GKJ13" s="20"/>
      <c r="GKK13" s="20"/>
      <c r="GKL13" s="20"/>
      <c r="GKM13" s="20"/>
      <c r="GKN13" s="20"/>
      <c r="GKO13" s="20"/>
      <c r="GKP13" s="20"/>
      <c r="GKQ13" s="20"/>
      <c r="GKR13" s="20"/>
      <c r="GKS13" s="20"/>
      <c r="GKT13" s="20"/>
      <c r="GKU13" s="20"/>
      <c r="GKV13" s="20"/>
      <c r="GKW13" s="20"/>
      <c r="GKX13" s="20"/>
      <c r="GKY13" s="20"/>
      <c r="GKZ13" s="20"/>
      <c r="GLA13" s="20"/>
      <c r="GLB13" s="20"/>
      <c r="GLC13" s="20"/>
      <c r="GLD13" s="20"/>
      <c r="GLE13" s="20"/>
      <c r="GLF13" s="20"/>
      <c r="GLG13" s="20"/>
      <c r="GLH13" s="20"/>
      <c r="GLI13" s="20"/>
      <c r="GLJ13" s="20"/>
      <c r="GLK13" s="20"/>
      <c r="GLL13" s="20"/>
      <c r="GLM13" s="20"/>
      <c r="GLN13" s="20"/>
      <c r="GLO13" s="20"/>
      <c r="GLP13" s="20"/>
      <c r="GLQ13" s="20"/>
      <c r="GLR13" s="20"/>
      <c r="GLS13" s="20"/>
      <c r="GLT13" s="20"/>
      <c r="GLU13" s="20"/>
      <c r="GLV13" s="20"/>
      <c r="GLW13" s="20"/>
      <c r="GLX13" s="20"/>
      <c r="GLY13" s="20"/>
      <c r="GLZ13" s="20"/>
      <c r="GMA13" s="20"/>
      <c r="GMB13" s="20"/>
      <c r="GMC13" s="20"/>
      <c r="GMD13" s="20"/>
      <c r="GME13" s="20"/>
      <c r="GMF13" s="20"/>
      <c r="GMG13" s="20"/>
      <c r="GMH13" s="20"/>
      <c r="GMI13" s="20"/>
      <c r="GMJ13" s="20"/>
      <c r="GMK13" s="20"/>
      <c r="GML13" s="20"/>
      <c r="GMM13" s="20"/>
      <c r="GMN13" s="20"/>
      <c r="GMO13" s="20"/>
      <c r="GMP13" s="20"/>
      <c r="GMQ13" s="20"/>
      <c r="GMR13" s="20"/>
      <c r="GMS13" s="20"/>
      <c r="GMT13" s="20"/>
      <c r="GMU13" s="20"/>
      <c r="GMV13" s="20"/>
      <c r="GMW13" s="20"/>
      <c r="GMX13" s="20"/>
      <c r="GMY13" s="20"/>
      <c r="GMZ13" s="20"/>
      <c r="GNA13" s="20"/>
      <c r="GNB13" s="20"/>
      <c r="GNC13" s="20"/>
      <c r="GND13" s="20"/>
      <c r="GNE13" s="20"/>
      <c r="GNF13" s="20"/>
      <c r="GNG13" s="20"/>
      <c r="GNH13" s="20"/>
      <c r="GNI13" s="20"/>
      <c r="GNJ13" s="20"/>
      <c r="GNK13" s="20"/>
      <c r="GNL13" s="20"/>
      <c r="GNM13" s="20"/>
      <c r="GNN13" s="20"/>
      <c r="GNO13" s="20"/>
      <c r="GNP13" s="20"/>
      <c r="GNQ13" s="20"/>
      <c r="GNR13" s="20"/>
      <c r="GNS13" s="20"/>
      <c r="GNT13" s="20"/>
      <c r="GNU13" s="20"/>
      <c r="GNV13" s="20"/>
      <c r="GNW13" s="20"/>
      <c r="GNX13" s="20"/>
      <c r="GNY13" s="20"/>
      <c r="GNZ13" s="20"/>
      <c r="GOA13" s="20"/>
      <c r="GOB13" s="20"/>
      <c r="GOC13" s="20"/>
      <c r="GOD13" s="20"/>
      <c r="GOE13" s="20"/>
      <c r="GOF13" s="20"/>
      <c r="GOG13" s="20"/>
      <c r="GOH13" s="20"/>
      <c r="GOI13" s="20"/>
      <c r="GOJ13" s="20"/>
      <c r="GOK13" s="20"/>
      <c r="GOL13" s="20"/>
      <c r="GOM13" s="20"/>
      <c r="GON13" s="20"/>
      <c r="GOO13" s="20"/>
      <c r="GOP13" s="20"/>
      <c r="GOQ13" s="20"/>
      <c r="GOR13" s="20"/>
      <c r="GOS13" s="20"/>
      <c r="GOT13" s="20"/>
      <c r="GOU13" s="20"/>
      <c r="GOV13" s="20"/>
      <c r="GOW13" s="20"/>
      <c r="GOX13" s="20"/>
      <c r="GOY13" s="20"/>
      <c r="GOZ13" s="20"/>
      <c r="GPA13" s="20"/>
      <c r="GPB13" s="20"/>
      <c r="GPC13" s="20"/>
      <c r="GPD13" s="20"/>
      <c r="GPE13" s="20"/>
      <c r="GPF13" s="20"/>
      <c r="GPG13" s="20"/>
      <c r="GPH13" s="20"/>
      <c r="GPI13" s="20"/>
      <c r="GPJ13" s="20"/>
      <c r="GPK13" s="20"/>
      <c r="GPL13" s="20"/>
      <c r="GPM13" s="20"/>
      <c r="GPN13" s="20"/>
      <c r="GPO13" s="20"/>
      <c r="GPP13" s="20"/>
      <c r="GPQ13" s="20"/>
      <c r="GPR13" s="20"/>
      <c r="GPS13" s="20"/>
      <c r="GPT13" s="20"/>
      <c r="GPU13" s="20"/>
      <c r="GPV13" s="20"/>
      <c r="GPW13" s="20"/>
      <c r="GPX13" s="20"/>
      <c r="GPY13" s="20"/>
      <c r="GPZ13" s="20"/>
      <c r="GQA13" s="20"/>
      <c r="GQB13" s="20"/>
      <c r="GQC13" s="20"/>
      <c r="GQD13" s="20"/>
      <c r="GQE13" s="20"/>
      <c r="GQF13" s="20"/>
      <c r="GQG13" s="20"/>
      <c r="GQH13" s="20"/>
      <c r="GQI13" s="20"/>
      <c r="GQJ13" s="20"/>
      <c r="GQK13" s="20"/>
      <c r="GQL13" s="20"/>
      <c r="GQM13" s="20"/>
      <c r="GQN13" s="20"/>
      <c r="GQO13" s="20"/>
      <c r="GQP13" s="20"/>
      <c r="GQQ13" s="20"/>
      <c r="GQR13" s="20"/>
      <c r="GQS13" s="20"/>
      <c r="GQT13" s="20"/>
      <c r="GQU13" s="20"/>
      <c r="GQV13" s="20"/>
      <c r="GQW13" s="20"/>
      <c r="GQX13" s="20"/>
      <c r="GQY13" s="20"/>
      <c r="GQZ13" s="20"/>
      <c r="GRA13" s="20"/>
      <c r="GRB13" s="20"/>
      <c r="GRC13" s="20"/>
      <c r="GRD13" s="20"/>
      <c r="GRE13" s="20"/>
      <c r="GRF13" s="20"/>
      <c r="GRG13" s="20"/>
      <c r="GRH13" s="20"/>
      <c r="GRI13" s="20"/>
      <c r="GRJ13" s="20"/>
      <c r="GRK13" s="20"/>
      <c r="GRL13" s="20"/>
      <c r="GRM13" s="20"/>
      <c r="GRN13" s="20"/>
      <c r="GRO13" s="20"/>
      <c r="GRP13" s="20"/>
      <c r="GRQ13" s="20"/>
      <c r="GRR13" s="20"/>
      <c r="GRS13" s="20"/>
      <c r="GRT13" s="20"/>
      <c r="GRU13" s="20"/>
      <c r="GRV13" s="20"/>
      <c r="GRW13" s="20"/>
      <c r="GRX13" s="20"/>
      <c r="GRY13" s="20"/>
      <c r="GRZ13" s="20"/>
      <c r="GSA13" s="20"/>
      <c r="GSB13" s="20"/>
      <c r="GSC13" s="20"/>
      <c r="GSD13" s="20"/>
      <c r="GSE13" s="20"/>
      <c r="GSF13" s="20"/>
      <c r="GSG13" s="20"/>
      <c r="GSH13" s="20"/>
      <c r="GSI13" s="20"/>
      <c r="GSJ13" s="20"/>
      <c r="GSK13" s="20"/>
      <c r="GSL13" s="20"/>
      <c r="GSM13" s="20"/>
      <c r="GSN13" s="20"/>
      <c r="GSO13" s="20"/>
      <c r="GSP13" s="20"/>
      <c r="GSQ13" s="20"/>
      <c r="GSR13" s="20"/>
      <c r="GSS13" s="20"/>
      <c r="GST13" s="20"/>
      <c r="GSU13" s="20"/>
      <c r="GSV13" s="20"/>
      <c r="GSW13" s="20"/>
      <c r="GSX13" s="20"/>
      <c r="GSY13" s="20"/>
      <c r="GSZ13" s="20"/>
      <c r="GTA13" s="20"/>
      <c r="GTB13" s="20"/>
      <c r="GTC13" s="20"/>
      <c r="GTD13" s="20"/>
      <c r="GTE13" s="20"/>
      <c r="GTF13" s="20"/>
      <c r="GTG13" s="20"/>
      <c r="GTH13" s="20"/>
      <c r="GTI13" s="20"/>
      <c r="GTJ13" s="20"/>
      <c r="GTK13" s="20"/>
      <c r="GTL13" s="20"/>
      <c r="GTM13" s="20"/>
      <c r="GTN13" s="20"/>
      <c r="GTO13" s="20"/>
      <c r="GTP13" s="20"/>
      <c r="GTQ13" s="20"/>
      <c r="GTR13" s="20"/>
      <c r="GTS13" s="20"/>
      <c r="GTT13" s="20"/>
      <c r="GTU13" s="20"/>
      <c r="GTV13" s="20"/>
      <c r="GTW13" s="20"/>
      <c r="GTX13" s="20"/>
      <c r="GTY13" s="20"/>
      <c r="GTZ13" s="20"/>
      <c r="GUA13" s="20"/>
      <c r="GUB13" s="20"/>
      <c r="GUC13" s="20"/>
      <c r="GUD13" s="20"/>
      <c r="GUE13" s="20"/>
      <c r="GUF13" s="20"/>
      <c r="GUG13" s="20"/>
      <c r="GUH13" s="20"/>
      <c r="GUI13" s="20"/>
      <c r="GUJ13" s="20"/>
      <c r="GUK13" s="20"/>
      <c r="GUL13" s="20"/>
      <c r="GUM13" s="20"/>
      <c r="GUN13" s="20"/>
      <c r="GUO13" s="20"/>
      <c r="GUP13" s="20"/>
      <c r="GUQ13" s="20"/>
      <c r="GUR13" s="20"/>
      <c r="GUS13" s="20"/>
      <c r="GUT13" s="20"/>
      <c r="GUU13" s="20"/>
      <c r="GUV13" s="20"/>
      <c r="GUW13" s="20"/>
      <c r="GUX13" s="20"/>
      <c r="GUY13" s="20"/>
      <c r="GUZ13" s="20"/>
      <c r="GVA13" s="20"/>
      <c r="GVB13" s="20"/>
      <c r="GVC13" s="20"/>
      <c r="GVD13" s="20"/>
      <c r="GVE13" s="20"/>
      <c r="GVF13" s="20"/>
      <c r="GVG13" s="20"/>
      <c r="GVH13" s="20"/>
      <c r="GVI13" s="20"/>
      <c r="GVJ13" s="20"/>
      <c r="GVK13" s="20"/>
      <c r="GVL13" s="20"/>
      <c r="GVM13" s="20"/>
      <c r="GVN13" s="20"/>
      <c r="GVO13" s="20"/>
      <c r="GVP13" s="20"/>
      <c r="GVQ13" s="20"/>
      <c r="GVR13" s="20"/>
      <c r="GVS13" s="20"/>
      <c r="GVT13" s="20"/>
      <c r="GVU13" s="20"/>
      <c r="GVV13" s="20"/>
      <c r="GVW13" s="20"/>
      <c r="GVX13" s="20"/>
      <c r="GVY13" s="20"/>
      <c r="GVZ13" s="20"/>
      <c r="GWA13" s="20"/>
      <c r="GWB13" s="20"/>
      <c r="GWC13" s="20"/>
      <c r="GWD13" s="20"/>
      <c r="GWE13" s="20"/>
      <c r="GWF13" s="20"/>
      <c r="GWG13" s="20"/>
      <c r="GWH13" s="20"/>
      <c r="GWI13" s="20"/>
      <c r="GWJ13" s="20"/>
      <c r="GWK13" s="20"/>
      <c r="GWL13" s="20"/>
      <c r="GWM13" s="20"/>
      <c r="GWN13" s="20"/>
      <c r="GWO13" s="20"/>
      <c r="GWP13" s="20"/>
      <c r="GWQ13" s="20"/>
      <c r="GWR13" s="20"/>
      <c r="GWS13" s="20"/>
      <c r="GWT13" s="20"/>
      <c r="GWU13" s="20"/>
      <c r="GWV13" s="20"/>
      <c r="GWW13" s="20"/>
      <c r="GWX13" s="20"/>
      <c r="GWY13" s="20"/>
      <c r="GWZ13" s="20"/>
      <c r="GXA13" s="20"/>
      <c r="GXB13" s="20"/>
      <c r="GXC13" s="20"/>
      <c r="GXD13" s="20"/>
      <c r="GXE13" s="20"/>
      <c r="GXF13" s="20"/>
      <c r="GXG13" s="20"/>
      <c r="GXH13" s="20"/>
      <c r="GXI13" s="20"/>
      <c r="GXJ13" s="20"/>
      <c r="GXK13" s="20"/>
      <c r="GXL13" s="20"/>
      <c r="GXM13" s="20"/>
      <c r="GXN13" s="20"/>
      <c r="GXO13" s="20"/>
      <c r="GXP13" s="20"/>
      <c r="GXQ13" s="20"/>
      <c r="GXR13" s="20"/>
      <c r="GXS13" s="20"/>
      <c r="GXT13" s="20"/>
      <c r="GXU13" s="20"/>
      <c r="GXV13" s="20"/>
      <c r="GXW13" s="20"/>
      <c r="GXX13" s="20"/>
      <c r="GXY13" s="20"/>
      <c r="GXZ13" s="20"/>
      <c r="GYA13" s="20"/>
      <c r="GYB13" s="20"/>
      <c r="GYC13" s="20"/>
      <c r="GYD13" s="20"/>
      <c r="GYE13" s="20"/>
      <c r="GYF13" s="20"/>
      <c r="GYG13" s="20"/>
      <c r="GYH13" s="20"/>
      <c r="GYI13" s="20"/>
      <c r="GYJ13" s="20"/>
      <c r="GYK13" s="20"/>
      <c r="GYL13" s="20"/>
      <c r="GYM13" s="20"/>
      <c r="GYN13" s="20"/>
      <c r="GYO13" s="20"/>
      <c r="GYP13" s="20"/>
      <c r="GYQ13" s="20"/>
      <c r="GYR13" s="20"/>
      <c r="GYS13" s="20"/>
      <c r="GYT13" s="20"/>
      <c r="GYU13" s="20"/>
      <c r="GYV13" s="20"/>
      <c r="GYW13" s="20"/>
      <c r="GYX13" s="20"/>
      <c r="GYY13" s="20"/>
      <c r="GYZ13" s="20"/>
      <c r="GZA13" s="20"/>
      <c r="GZB13" s="20"/>
      <c r="GZC13" s="20"/>
      <c r="GZD13" s="20"/>
      <c r="GZE13" s="20"/>
      <c r="GZF13" s="20"/>
      <c r="GZG13" s="20"/>
      <c r="GZH13" s="20"/>
      <c r="GZI13" s="20"/>
      <c r="GZJ13" s="20"/>
      <c r="GZK13" s="20"/>
      <c r="GZL13" s="20"/>
      <c r="GZM13" s="20"/>
      <c r="GZN13" s="20"/>
      <c r="GZO13" s="20"/>
      <c r="GZP13" s="20"/>
      <c r="GZQ13" s="20"/>
      <c r="GZR13" s="20"/>
      <c r="GZS13" s="20"/>
      <c r="GZT13" s="20"/>
      <c r="GZU13" s="20"/>
      <c r="GZV13" s="20"/>
      <c r="GZW13" s="20"/>
      <c r="GZX13" s="20"/>
      <c r="GZY13" s="20"/>
      <c r="GZZ13" s="20"/>
      <c r="HAA13" s="20"/>
      <c r="HAB13" s="20"/>
      <c r="HAC13" s="20"/>
      <c r="HAD13" s="20"/>
      <c r="HAE13" s="20"/>
      <c r="HAF13" s="20"/>
      <c r="HAG13" s="20"/>
      <c r="HAH13" s="20"/>
      <c r="HAI13" s="20"/>
      <c r="HAJ13" s="20"/>
      <c r="HAK13" s="20"/>
      <c r="HAL13" s="20"/>
      <c r="HAM13" s="20"/>
      <c r="HAN13" s="20"/>
      <c r="HAO13" s="20"/>
      <c r="HAP13" s="20"/>
      <c r="HAQ13" s="20"/>
      <c r="HAR13" s="20"/>
      <c r="HAS13" s="20"/>
      <c r="HAT13" s="20"/>
      <c r="HAU13" s="20"/>
      <c r="HAV13" s="20"/>
      <c r="HAW13" s="20"/>
      <c r="HAX13" s="20"/>
      <c r="HAY13" s="20"/>
      <c r="HAZ13" s="20"/>
      <c r="HBA13" s="20"/>
      <c r="HBB13" s="20"/>
      <c r="HBC13" s="20"/>
      <c r="HBD13" s="20"/>
      <c r="HBE13" s="20"/>
      <c r="HBF13" s="20"/>
      <c r="HBG13" s="20"/>
      <c r="HBH13" s="20"/>
      <c r="HBI13" s="20"/>
      <c r="HBJ13" s="20"/>
      <c r="HBK13" s="20"/>
      <c r="HBL13" s="20"/>
      <c r="HBM13" s="20"/>
      <c r="HBN13" s="20"/>
      <c r="HBO13" s="20"/>
      <c r="HBP13" s="20"/>
      <c r="HBQ13" s="20"/>
      <c r="HBR13" s="20"/>
      <c r="HBS13" s="20"/>
      <c r="HBT13" s="20"/>
      <c r="HBU13" s="20"/>
      <c r="HBV13" s="20"/>
      <c r="HBW13" s="20"/>
      <c r="HBX13" s="20"/>
      <c r="HBY13" s="20"/>
      <c r="HBZ13" s="20"/>
      <c r="HCA13" s="20"/>
      <c r="HCB13" s="20"/>
      <c r="HCC13" s="20"/>
      <c r="HCD13" s="20"/>
      <c r="HCE13" s="20"/>
      <c r="HCF13" s="20"/>
      <c r="HCG13" s="20"/>
      <c r="HCH13" s="20"/>
      <c r="HCI13" s="20"/>
      <c r="HCJ13" s="20"/>
      <c r="HCK13" s="20"/>
      <c r="HCL13" s="20"/>
      <c r="HCM13" s="20"/>
      <c r="HCN13" s="20"/>
      <c r="HCO13" s="20"/>
      <c r="HCP13" s="20"/>
      <c r="HCQ13" s="20"/>
      <c r="HCR13" s="20"/>
      <c r="HCS13" s="20"/>
      <c r="HCT13" s="20"/>
      <c r="HCU13" s="20"/>
      <c r="HCV13" s="20"/>
      <c r="HCW13" s="20"/>
      <c r="HCX13" s="20"/>
      <c r="HCY13" s="20"/>
      <c r="HCZ13" s="20"/>
      <c r="HDA13" s="20"/>
      <c r="HDB13" s="20"/>
      <c r="HDC13" s="20"/>
      <c r="HDD13" s="20"/>
      <c r="HDE13" s="20"/>
      <c r="HDF13" s="20"/>
      <c r="HDG13" s="20"/>
      <c r="HDH13" s="20"/>
      <c r="HDI13" s="20"/>
      <c r="HDJ13" s="20"/>
      <c r="HDK13" s="20"/>
      <c r="HDL13" s="20"/>
      <c r="HDM13" s="20"/>
      <c r="HDN13" s="20"/>
      <c r="HDO13" s="20"/>
      <c r="HDP13" s="20"/>
      <c r="HDQ13" s="20"/>
      <c r="HDR13" s="20"/>
      <c r="HDS13" s="20"/>
      <c r="HDT13" s="20"/>
      <c r="HDU13" s="20"/>
      <c r="HDV13" s="20"/>
      <c r="HDW13" s="20"/>
      <c r="HDX13" s="20"/>
      <c r="HDY13" s="20"/>
      <c r="HDZ13" s="20"/>
      <c r="HEA13" s="20"/>
      <c r="HEB13" s="20"/>
      <c r="HEC13" s="20"/>
      <c r="HED13" s="20"/>
      <c r="HEE13" s="20"/>
      <c r="HEF13" s="20"/>
      <c r="HEG13" s="20"/>
      <c r="HEH13" s="20"/>
      <c r="HEI13" s="20"/>
      <c r="HEJ13" s="20"/>
      <c r="HEK13" s="20"/>
      <c r="HEL13" s="20"/>
      <c r="HEM13" s="20"/>
      <c r="HEN13" s="20"/>
      <c r="HEO13" s="20"/>
      <c r="HEP13" s="20"/>
      <c r="HEQ13" s="20"/>
      <c r="HER13" s="20"/>
      <c r="HES13" s="20"/>
      <c r="HET13" s="20"/>
      <c r="HEU13" s="20"/>
      <c r="HEV13" s="20"/>
      <c r="HEW13" s="20"/>
      <c r="HEX13" s="20"/>
      <c r="HEY13" s="20"/>
      <c r="HEZ13" s="20"/>
      <c r="HFA13" s="20"/>
      <c r="HFB13" s="20"/>
      <c r="HFC13" s="20"/>
      <c r="HFD13" s="20"/>
      <c r="HFE13" s="20"/>
      <c r="HFF13" s="20"/>
      <c r="HFG13" s="20"/>
      <c r="HFH13" s="20"/>
      <c r="HFI13" s="20"/>
      <c r="HFJ13" s="20"/>
      <c r="HFK13" s="20"/>
      <c r="HFL13" s="20"/>
      <c r="HFM13" s="20"/>
      <c r="HFN13" s="20"/>
      <c r="HFO13" s="20"/>
      <c r="HFP13" s="20"/>
      <c r="HFQ13" s="20"/>
      <c r="HFR13" s="20"/>
      <c r="HFS13" s="20"/>
      <c r="HFT13" s="20"/>
      <c r="HFU13" s="20"/>
      <c r="HFV13" s="20"/>
      <c r="HFW13" s="20"/>
      <c r="HFX13" s="20"/>
      <c r="HFY13" s="20"/>
      <c r="HFZ13" s="20"/>
      <c r="HGA13" s="20"/>
      <c r="HGB13" s="20"/>
      <c r="HGC13" s="20"/>
      <c r="HGD13" s="20"/>
      <c r="HGE13" s="20"/>
      <c r="HGF13" s="20"/>
      <c r="HGG13" s="20"/>
      <c r="HGH13" s="20"/>
      <c r="HGI13" s="20"/>
      <c r="HGJ13" s="20"/>
      <c r="HGK13" s="20"/>
      <c r="HGL13" s="20"/>
      <c r="HGM13" s="20"/>
      <c r="HGN13" s="20"/>
      <c r="HGO13" s="20"/>
      <c r="HGP13" s="20"/>
      <c r="HGQ13" s="20"/>
      <c r="HGR13" s="20"/>
      <c r="HGS13" s="20"/>
      <c r="HGT13" s="20"/>
      <c r="HGU13" s="20"/>
      <c r="HGV13" s="20"/>
      <c r="HGW13" s="20"/>
      <c r="HGX13" s="20"/>
      <c r="HGY13" s="20"/>
      <c r="HGZ13" s="20"/>
      <c r="HHA13" s="20"/>
      <c r="HHB13" s="20"/>
      <c r="HHC13" s="20"/>
      <c r="HHD13" s="20"/>
      <c r="HHE13" s="20"/>
      <c r="HHF13" s="20"/>
      <c r="HHG13" s="20"/>
      <c r="HHH13" s="20"/>
      <c r="HHI13" s="20"/>
      <c r="HHJ13" s="20"/>
      <c r="HHK13" s="20"/>
      <c r="HHL13" s="20"/>
      <c r="HHM13" s="20"/>
      <c r="HHN13" s="20"/>
      <c r="HHO13" s="20"/>
      <c r="HHP13" s="20"/>
      <c r="HHQ13" s="20"/>
      <c r="HHR13" s="20"/>
      <c r="HHS13" s="20"/>
      <c r="HHT13" s="20"/>
      <c r="HHU13" s="20"/>
      <c r="HHV13" s="20"/>
      <c r="HHW13" s="20"/>
      <c r="HHX13" s="20"/>
      <c r="HHY13" s="20"/>
      <c r="HHZ13" s="20"/>
      <c r="HIA13" s="20"/>
      <c r="HIB13" s="20"/>
      <c r="HIC13" s="20"/>
      <c r="HID13" s="20"/>
      <c r="HIE13" s="20"/>
      <c r="HIF13" s="20"/>
      <c r="HIG13" s="20"/>
      <c r="HIH13" s="20"/>
      <c r="HII13" s="20"/>
      <c r="HIJ13" s="20"/>
      <c r="HIK13" s="20"/>
      <c r="HIL13" s="20"/>
      <c r="HIM13" s="20"/>
      <c r="HIN13" s="20"/>
      <c r="HIO13" s="20"/>
      <c r="HIP13" s="20"/>
      <c r="HIQ13" s="20"/>
      <c r="HIR13" s="20"/>
      <c r="HIS13" s="20"/>
      <c r="HIT13" s="20"/>
      <c r="HIU13" s="20"/>
      <c r="HIV13" s="20"/>
      <c r="HIW13" s="20"/>
      <c r="HIX13" s="20"/>
      <c r="HIY13" s="20"/>
      <c r="HIZ13" s="20"/>
      <c r="HJA13" s="20"/>
      <c r="HJB13" s="20"/>
      <c r="HJC13" s="20"/>
      <c r="HJD13" s="20"/>
      <c r="HJE13" s="20"/>
      <c r="HJF13" s="20"/>
      <c r="HJG13" s="20"/>
      <c r="HJH13" s="20"/>
      <c r="HJI13" s="20"/>
      <c r="HJJ13" s="20"/>
      <c r="HJK13" s="20"/>
      <c r="HJL13" s="20"/>
      <c r="HJM13" s="20"/>
      <c r="HJN13" s="20"/>
      <c r="HJO13" s="20"/>
      <c r="HJP13" s="20"/>
      <c r="HJQ13" s="20"/>
      <c r="HJR13" s="20"/>
      <c r="HJS13" s="20"/>
      <c r="HJT13" s="20"/>
      <c r="HJU13" s="20"/>
      <c r="HJV13" s="20"/>
      <c r="HJW13" s="20"/>
      <c r="HJX13" s="20"/>
      <c r="HJY13" s="20"/>
      <c r="HJZ13" s="20"/>
      <c r="HKA13" s="20"/>
      <c r="HKB13" s="20"/>
      <c r="HKC13" s="20"/>
      <c r="HKD13" s="20"/>
      <c r="HKE13" s="20"/>
      <c r="HKF13" s="20"/>
      <c r="HKG13" s="20"/>
      <c r="HKH13" s="20"/>
      <c r="HKI13" s="20"/>
      <c r="HKJ13" s="20"/>
      <c r="HKK13" s="20"/>
      <c r="HKL13" s="20"/>
      <c r="HKM13" s="20"/>
      <c r="HKN13" s="20"/>
      <c r="HKO13" s="20"/>
      <c r="HKP13" s="20"/>
      <c r="HKQ13" s="20"/>
      <c r="HKR13" s="20"/>
      <c r="HKS13" s="20"/>
      <c r="HKT13" s="20"/>
      <c r="HKU13" s="20"/>
      <c r="HKV13" s="20"/>
      <c r="HKW13" s="20"/>
      <c r="HKX13" s="20"/>
      <c r="HKY13" s="20"/>
      <c r="HKZ13" s="20"/>
      <c r="HLA13" s="20"/>
      <c r="HLB13" s="20"/>
      <c r="HLC13" s="20"/>
      <c r="HLD13" s="20"/>
      <c r="HLE13" s="20"/>
      <c r="HLF13" s="20"/>
      <c r="HLG13" s="20"/>
      <c r="HLH13" s="20"/>
      <c r="HLI13" s="20"/>
      <c r="HLJ13" s="20"/>
      <c r="HLK13" s="20"/>
      <c r="HLL13" s="20"/>
      <c r="HLM13" s="20"/>
      <c r="HLN13" s="20"/>
      <c r="HLO13" s="20"/>
      <c r="HLP13" s="20"/>
      <c r="HLQ13" s="20"/>
      <c r="HLR13" s="20"/>
      <c r="HLS13" s="20"/>
      <c r="HLT13" s="20"/>
      <c r="HLU13" s="20"/>
      <c r="HLV13" s="20"/>
      <c r="HLW13" s="20"/>
      <c r="HLX13" s="20"/>
      <c r="HLY13" s="20"/>
      <c r="HLZ13" s="20"/>
      <c r="HMA13" s="20"/>
      <c r="HMB13" s="20"/>
      <c r="HMC13" s="20"/>
      <c r="HMD13" s="20"/>
      <c r="HME13" s="20"/>
      <c r="HMF13" s="20"/>
      <c r="HMG13" s="20"/>
      <c r="HMH13" s="20"/>
      <c r="HMI13" s="20"/>
      <c r="HMJ13" s="20"/>
      <c r="HMK13" s="20"/>
      <c r="HML13" s="20"/>
      <c r="HMM13" s="20"/>
      <c r="HMN13" s="20"/>
      <c r="HMO13" s="20"/>
      <c r="HMP13" s="20"/>
      <c r="HMQ13" s="20"/>
      <c r="HMR13" s="20"/>
      <c r="HMS13" s="20"/>
      <c r="HMT13" s="20"/>
      <c r="HMU13" s="20"/>
      <c r="HMV13" s="20"/>
      <c r="HMW13" s="20"/>
      <c r="HMX13" s="20"/>
      <c r="HMY13" s="20"/>
      <c r="HMZ13" s="20"/>
      <c r="HNA13" s="20"/>
      <c r="HNB13" s="20"/>
      <c r="HNC13" s="20"/>
      <c r="HND13" s="20"/>
      <c r="HNE13" s="20"/>
      <c r="HNF13" s="20"/>
      <c r="HNG13" s="20"/>
      <c r="HNH13" s="20"/>
      <c r="HNI13" s="20"/>
      <c r="HNJ13" s="20"/>
      <c r="HNK13" s="20"/>
      <c r="HNL13" s="20"/>
      <c r="HNM13" s="20"/>
      <c r="HNN13" s="20"/>
      <c r="HNO13" s="20"/>
      <c r="HNP13" s="20"/>
      <c r="HNQ13" s="20"/>
      <c r="HNR13" s="20"/>
      <c r="HNS13" s="20"/>
      <c r="HNT13" s="20"/>
      <c r="HNU13" s="20"/>
      <c r="HNV13" s="20"/>
      <c r="HNW13" s="20"/>
      <c r="HNX13" s="20"/>
      <c r="HNY13" s="20"/>
      <c r="HNZ13" s="20"/>
      <c r="HOA13" s="20"/>
      <c r="HOB13" s="20"/>
      <c r="HOC13" s="20"/>
      <c r="HOD13" s="20"/>
      <c r="HOE13" s="20"/>
      <c r="HOF13" s="20"/>
      <c r="HOG13" s="20"/>
      <c r="HOH13" s="20"/>
      <c r="HOI13" s="20"/>
      <c r="HOJ13" s="20"/>
      <c r="HOK13" s="20"/>
      <c r="HOL13" s="20"/>
      <c r="HOM13" s="20"/>
      <c r="HON13" s="20"/>
      <c r="HOO13" s="20"/>
      <c r="HOP13" s="20"/>
      <c r="HOQ13" s="20"/>
      <c r="HOR13" s="20"/>
      <c r="HOS13" s="20"/>
      <c r="HOT13" s="20"/>
      <c r="HOU13" s="20"/>
      <c r="HOV13" s="20"/>
      <c r="HOW13" s="20"/>
      <c r="HOX13" s="20"/>
      <c r="HOY13" s="20"/>
      <c r="HOZ13" s="20"/>
      <c r="HPA13" s="20"/>
      <c r="HPB13" s="20"/>
      <c r="HPC13" s="20"/>
      <c r="HPD13" s="20"/>
      <c r="HPE13" s="20"/>
      <c r="HPF13" s="20"/>
      <c r="HPG13" s="20"/>
      <c r="HPH13" s="20"/>
      <c r="HPI13" s="20"/>
      <c r="HPJ13" s="20"/>
      <c r="HPK13" s="20"/>
      <c r="HPL13" s="20"/>
      <c r="HPM13" s="20"/>
      <c r="HPN13" s="20"/>
      <c r="HPO13" s="20"/>
      <c r="HPP13" s="20"/>
      <c r="HPQ13" s="20"/>
      <c r="HPR13" s="20"/>
      <c r="HPS13" s="20"/>
      <c r="HPT13" s="20"/>
      <c r="HPU13" s="20"/>
      <c r="HPV13" s="20"/>
      <c r="HPW13" s="20"/>
      <c r="HPX13" s="20"/>
      <c r="HPY13" s="20"/>
      <c r="HPZ13" s="20"/>
      <c r="HQA13" s="20"/>
      <c r="HQB13" s="20"/>
      <c r="HQC13" s="20"/>
      <c r="HQD13" s="20"/>
      <c r="HQE13" s="20"/>
      <c r="HQF13" s="20"/>
      <c r="HQG13" s="20"/>
      <c r="HQH13" s="20"/>
      <c r="HQI13" s="20"/>
      <c r="HQJ13" s="20"/>
      <c r="HQK13" s="20"/>
      <c r="HQL13" s="20"/>
      <c r="HQM13" s="20"/>
      <c r="HQN13" s="20"/>
      <c r="HQO13" s="20"/>
      <c r="HQP13" s="20"/>
      <c r="HQQ13" s="20"/>
      <c r="HQR13" s="20"/>
      <c r="HQS13" s="20"/>
      <c r="HQT13" s="20"/>
      <c r="HQU13" s="20"/>
      <c r="HQV13" s="20"/>
      <c r="HQW13" s="20"/>
      <c r="HQX13" s="20"/>
      <c r="HQY13" s="20"/>
      <c r="HQZ13" s="20"/>
      <c r="HRA13" s="20"/>
      <c r="HRB13" s="20"/>
      <c r="HRC13" s="20"/>
      <c r="HRD13" s="20"/>
      <c r="HRE13" s="20"/>
      <c r="HRF13" s="20"/>
      <c r="HRG13" s="20"/>
      <c r="HRH13" s="20"/>
      <c r="HRI13" s="20"/>
      <c r="HRJ13" s="20"/>
      <c r="HRK13" s="20"/>
      <c r="HRL13" s="20"/>
      <c r="HRM13" s="20"/>
      <c r="HRN13" s="20"/>
      <c r="HRO13" s="20"/>
      <c r="HRP13" s="20"/>
      <c r="HRQ13" s="20"/>
      <c r="HRR13" s="20"/>
      <c r="HRS13" s="20"/>
      <c r="HRT13" s="20"/>
      <c r="HRU13" s="20"/>
      <c r="HRV13" s="20"/>
      <c r="HRW13" s="20"/>
      <c r="HRX13" s="20"/>
      <c r="HRY13" s="20"/>
      <c r="HRZ13" s="20"/>
      <c r="HSA13" s="20"/>
      <c r="HSB13" s="20"/>
      <c r="HSC13" s="20"/>
      <c r="HSD13" s="20"/>
      <c r="HSE13" s="20"/>
      <c r="HSF13" s="20"/>
      <c r="HSG13" s="20"/>
      <c r="HSH13" s="20"/>
      <c r="HSI13" s="20"/>
      <c r="HSJ13" s="20"/>
      <c r="HSK13" s="20"/>
      <c r="HSL13" s="20"/>
      <c r="HSM13" s="20"/>
      <c r="HSN13" s="20"/>
      <c r="HSO13" s="20"/>
      <c r="HSP13" s="20"/>
      <c r="HSQ13" s="20"/>
      <c r="HSR13" s="20"/>
      <c r="HSS13" s="20"/>
      <c r="HST13" s="20"/>
      <c r="HSU13" s="20"/>
      <c r="HSV13" s="20"/>
      <c r="HSW13" s="20"/>
      <c r="HSX13" s="20"/>
      <c r="HSY13" s="20"/>
      <c r="HSZ13" s="20"/>
      <c r="HTA13" s="20"/>
      <c r="HTB13" s="20"/>
      <c r="HTC13" s="20"/>
      <c r="HTD13" s="20"/>
      <c r="HTE13" s="20"/>
      <c r="HTF13" s="20"/>
      <c r="HTG13" s="20"/>
      <c r="HTH13" s="20"/>
      <c r="HTI13" s="20"/>
      <c r="HTJ13" s="20"/>
      <c r="HTK13" s="20"/>
      <c r="HTL13" s="20"/>
      <c r="HTM13" s="20"/>
      <c r="HTN13" s="20"/>
      <c r="HTO13" s="20"/>
      <c r="HTP13" s="20"/>
      <c r="HTQ13" s="20"/>
      <c r="HTR13" s="20"/>
      <c r="HTS13" s="20"/>
      <c r="HTT13" s="20"/>
      <c r="HTU13" s="20"/>
      <c r="HTV13" s="20"/>
      <c r="HTW13" s="20"/>
      <c r="HTX13" s="20"/>
      <c r="HTY13" s="20"/>
      <c r="HTZ13" s="20"/>
      <c r="HUA13" s="20"/>
      <c r="HUB13" s="20"/>
      <c r="HUC13" s="20"/>
      <c r="HUD13" s="20"/>
      <c r="HUE13" s="20"/>
      <c r="HUF13" s="20"/>
      <c r="HUG13" s="20"/>
      <c r="HUH13" s="20"/>
      <c r="HUI13" s="20"/>
      <c r="HUJ13" s="20"/>
      <c r="HUK13" s="20"/>
      <c r="HUL13" s="20"/>
      <c r="HUM13" s="20"/>
      <c r="HUN13" s="20"/>
      <c r="HUO13" s="20"/>
      <c r="HUP13" s="20"/>
      <c r="HUQ13" s="20"/>
      <c r="HUR13" s="20"/>
      <c r="HUS13" s="20"/>
      <c r="HUT13" s="20"/>
      <c r="HUU13" s="20"/>
      <c r="HUV13" s="20"/>
      <c r="HUW13" s="20"/>
      <c r="HUX13" s="20"/>
      <c r="HUY13" s="20"/>
      <c r="HUZ13" s="20"/>
      <c r="HVA13" s="20"/>
      <c r="HVB13" s="20"/>
      <c r="HVC13" s="20"/>
      <c r="HVD13" s="20"/>
      <c r="HVE13" s="20"/>
      <c r="HVF13" s="20"/>
      <c r="HVG13" s="20"/>
      <c r="HVH13" s="20"/>
      <c r="HVI13" s="20"/>
      <c r="HVJ13" s="20"/>
      <c r="HVK13" s="20"/>
      <c r="HVL13" s="20"/>
      <c r="HVM13" s="20"/>
      <c r="HVN13" s="20"/>
      <c r="HVO13" s="20"/>
      <c r="HVP13" s="20"/>
      <c r="HVQ13" s="20"/>
      <c r="HVR13" s="20"/>
      <c r="HVS13" s="20"/>
      <c r="HVT13" s="20"/>
      <c r="HVU13" s="20"/>
      <c r="HVV13" s="20"/>
      <c r="HVW13" s="20"/>
      <c r="HVX13" s="20"/>
      <c r="HVY13" s="20"/>
      <c r="HVZ13" s="20"/>
      <c r="HWA13" s="20"/>
      <c r="HWB13" s="20"/>
      <c r="HWC13" s="20"/>
      <c r="HWD13" s="20"/>
      <c r="HWE13" s="20"/>
      <c r="HWF13" s="20"/>
      <c r="HWG13" s="20"/>
      <c r="HWH13" s="20"/>
      <c r="HWI13" s="20"/>
      <c r="HWJ13" s="20"/>
      <c r="HWK13" s="20"/>
      <c r="HWL13" s="20"/>
      <c r="HWM13" s="20"/>
      <c r="HWN13" s="20"/>
      <c r="HWO13" s="20"/>
      <c r="HWP13" s="20"/>
      <c r="HWQ13" s="20"/>
      <c r="HWR13" s="20"/>
      <c r="HWS13" s="20"/>
      <c r="HWT13" s="20"/>
      <c r="HWU13" s="20"/>
      <c r="HWV13" s="20"/>
      <c r="HWW13" s="20"/>
      <c r="HWX13" s="20"/>
      <c r="HWY13" s="20"/>
      <c r="HWZ13" s="20"/>
      <c r="HXA13" s="20"/>
      <c r="HXB13" s="20"/>
      <c r="HXC13" s="20"/>
      <c r="HXD13" s="20"/>
      <c r="HXE13" s="20"/>
      <c r="HXF13" s="20"/>
      <c r="HXG13" s="20"/>
      <c r="HXH13" s="20"/>
      <c r="HXI13" s="20"/>
      <c r="HXJ13" s="20"/>
      <c r="HXK13" s="20"/>
      <c r="HXL13" s="20"/>
      <c r="HXM13" s="20"/>
      <c r="HXN13" s="20"/>
      <c r="HXO13" s="20"/>
      <c r="HXP13" s="20"/>
      <c r="HXQ13" s="20"/>
      <c r="HXR13" s="20"/>
      <c r="HXS13" s="20"/>
      <c r="HXT13" s="20"/>
      <c r="HXU13" s="20"/>
      <c r="HXV13" s="20"/>
      <c r="HXW13" s="20"/>
      <c r="HXX13" s="20"/>
      <c r="HXY13" s="20"/>
      <c r="HXZ13" s="20"/>
      <c r="HYA13" s="20"/>
      <c r="HYB13" s="20"/>
      <c r="HYC13" s="20"/>
      <c r="HYD13" s="20"/>
      <c r="HYE13" s="20"/>
      <c r="HYF13" s="20"/>
      <c r="HYG13" s="20"/>
      <c r="HYH13" s="20"/>
      <c r="HYI13" s="20"/>
      <c r="HYJ13" s="20"/>
      <c r="HYK13" s="20"/>
      <c r="HYL13" s="20"/>
      <c r="HYM13" s="20"/>
      <c r="HYN13" s="20"/>
      <c r="HYO13" s="20"/>
      <c r="HYP13" s="20"/>
      <c r="HYQ13" s="20"/>
      <c r="HYR13" s="20"/>
      <c r="HYS13" s="20"/>
      <c r="HYT13" s="20"/>
      <c r="HYU13" s="20"/>
      <c r="HYV13" s="20"/>
      <c r="HYW13" s="20"/>
      <c r="HYX13" s="20"/>
      <c r="HYY13" s="20"/>
      <c r="HYZ13" s="20"/>
      <c r="HZA13" s="20"/>
      <c r="HZB13" s="20"/>
      <c r="HZC13" s="20"/>
      <c r="HZD13" s="20"/>
      <c r="HZE13" s="20"/>
      <c r="HZF13" s="20"/>
      <c r="HZG13" s="20"/>
      <c r="HZH13" s="20"/>
      <c r="HZI13" s="20"/>
      <c r="HZJ13" s="20"/>
      <c r="HZK13" s="20"/>
      <c r="HZL13" s="20"/>
      <c r="HZM13" s="20"/>
      <c r="HZN13" s="20"/>
      <c r="HZO13" s="20"/>
      <c r="HZP13" s="20"/>
      <c r="HZQ13" s="20"/>
      <c r="HZR13" s="20"/>
      <c r="HZS13" s="20"/>
      <c r="HZT13" s="20"/>
      <c r="HZU13" s="20"/>
      <c r="HZV13" s="20"/>
      <c r="HZW13" s="20"/>
      <c r="HZX13" s="20"/>
      <c r="HZY13" s="20"/>
      <c r="HZZ13" s="20"/>
      <c r="IAA13" s="20"/>
      <c r="IAB13" s="20"/>
      <c r="IAC13" s="20"/>
      <c r="IAD13" s="20"/>
      <c r="IAE13" s="20"/>
      <c r="IAF13" s="20"/>
      <c r="IAG13" s="20"/>
      <c r="IAH13" s="20"/>
      <c r="IAI13" s="20"/>
      <c r="IAJ13" s="20"/>
      <c r="IAK13" s="20"/>
      <c r="IAL13" s="20"/>
      <c r="IAM13" s="20"/>
      <c r="IAN13" s="20"/>
      <c r="IAO13" s="20"/>
      <c r="IAP13" s="20"/>
      <c r="IAQ13" s="20"/>
      <c r="IAR13" s="20"/>
      <c r="IAS13" s="20"/>
      <c r="IAT13" s="20"/>
      <c r="IAU13" s="20"/>
      <c r="IAV13" s="20"/>
      <c r="IAW13" s="20"/>
      <c r="IAX13" s="20"/>
      <c r="IAY13" s="20"/>
      <c r="IAZ13" s="20"/>
      <c r="IBA13" s="20"/>
      <c r="IBB13" s="20"/>
      <c r="IBC13" s="20"/>
      <c r="IBD13" s="20"/>
      <c r="IBE13" s="20"/>
      <c r="IBF13" s="20"/>
      <c r="IBG13" s="20"/>
      <c r="IBH13" s="20"/>
      <c r="IBI13" s="20"/>
      <c r="IBJ13" s="20"/>
      <c r="IBK13" s="20"/>
      <c r="IBL13" s="20"/>
      <c r="IBM13" s="20"/>
      <c r="IBN13" s="20"/>
      <c r="IBO13" s="20"/>
      <c r="IBP13" s="20"/>
      <c r="IBQ13" s="20"/>
      <c r="IBR13" s="20"/>
      <c r="IBS13" s="20"/>
      <c r="IBT13" s="20"/>
      <c r="IBU13" s="20"/>
      <c r="IBV13" s="20"/>
      <c r="IBW13" s="20"/>
      <c r="IBX13" s="20"/>
      <c r="IBY13" s="20"/>
      <c r="IBZ13" s="20"/>
      <c r="ICA13" s="20"/>
      <c r="ICB13" s="20"/>
      <c r="ICC13" s="20"/>
      <c r="ICD13" s="20"/>
      <c r="ICE13" s="20"/>
      <c r="ICF13" s="20"/>
      <c r="ICG13" s="20"/>
      <c r="ICH13" s="20"/>
      <c r="ICI13" s="20"/>
      <c r="ICJ13" s="20"/>
      <c r="ICK13" s="20"/>
      <c r="ICL13" s="20"/>
      <c r="ICM13" s="20"/>
      <c r="ICN13" s="20"/>
      <c r="ICO13" s="20"/>
      <c r="ICP13" s="20"/>
      <c r="ICQ13" s="20"/>
      <c r="ICR13" s="20"/>
      <c r="ICS13" s="20"/>
      <c r="ICT13" s="20"/>
      <c r="ICU13" s="20"/>
      <c r="ICV13" s="20"/>
      <c r="ICW13" s="20"/>
      <c r="ICX13" s="20"/>
      <c r="ICY13" s="20"/>
      <c r="ICZ13" s="20"/>
      <c r="IDA13" s="20"/>
      <c r="IDB13" s="20"/>
      <c r="IDC13" s="20"/>
      <c r="IDD13" s="20"/>
      <c r="IDE13" s="20"/>
      <c r="IDF13" s="20"/>
      <c r="IDG13" s="20"/>
      <c r="IDH13" s="20"/>
      <c r="IDI13" s="20"/>
      <c r="IDJ13" s="20"/>
      <c r="IDK13" s="20"/>
      <c r="IDL13" s="20"/>
      <c r="IDM13" s="20"/>
      <c r="IDN13" s="20"/>
      <c r="IDO13" s="20"/>
      <c r="IDP13" s="20"/>
      <c r="IDQ13" s="20"/>
      <c r="IDR13" s="20"/>
      <c r="IDS13" s="20"/>
      <c r="IDT13" s="20"/>
      <c r="IDU13" s="20"/>
      <c r="IDV13" s="20"/>
      <c r="IDW13" s="20"/>
      <c r="IDX13" s="20"/>
      <c r="IDY13" s="20"/>
      <c r="IDZ13" s="20"/>
      <c r="IEA13" s="20"/>
      <c r="IEB13" s="20"/>
      <c r="IEC13" s="20"/>
      <c r="IED13" s="20"/>
      <c r="IEE13" s="20"/>
      <c r="IEF13" s="20"/>
      <c r="IEG13" s="20"/>
      <c r="IEH13" s="20"/>
      <c r="IEI13" s="20"/>
      <c r="IEJ13" s="20"/>
      <c r="IEK13" s="20"/>
      <c r="IEL13" s="20"/>
      <c r="IEM13" s="20"/>
      <c r="IEN13" s="20"/>
      <c r="IEO13" s="20"/>
      <c r="IEP13" s="20"/>
      <c r="IEQ13" s="20"/>
      <c r="IER13" s="20"/>
      <c r="IES13" s="20"/>
      <c r="IET13" s="20"/>
      <c r="IEU13" s="20"/>
      <c r="IEV13" s="20"/>
      <c r="IEW13" s="20"/>
      <c r="IEX13" s="20"/>
      <c r="IEY13" s="20"/>
      <c r="IEZ13" s="20"/>
      <c r="IFA13" s="20"/>
      <c r="IFB13" s="20"/>
      <c r="IFC13" s="20"/>
      <c r="IFD13" s="20"/>
      <c r="IFE13" s="20"/>
      <c r="IFF13" s="20"/>
      <c r="IFG13" s="20"/>
      <c r="IFH13" s="20"/>
      <c r="IFI13" s="20"/>
      <c r="IFJ13" s="20"/>
      <c r="IFK13" s="20"/>
      <c r="IFL13" s="20"/>
      <c r="IFM13" s="20"/>
      <c r="IFN13" s="20"/>
      <c r="IFO13" s="20"/>
      <c r="IFP13" s="20"/>
      <c r="IFQ13" s="20"/>
      <c r="IFR13" s="20"/>
      <c r="IFS13" s="20"/>
      <c r="IFT13" s="20"/>
      <c r="IFU13" s="20"/>
      <c r="IFV13" s="20"/>
      <c r="IFW13" s="20"/>
      <c r="IFX13" s="20"/>
      <c r="IFY13" s="20"/>
      <c r="IFZ13" s="20"/>
      <c r="IGA13" s="20"/>
      <c r="IGB13" s="20"/>
      <c r="IGC13" s="20"/>
      <c r="IGD13" s="20"/>
      <c r="IGE13" s="20"/>
      <c r="IGF13" s="20"/>
      <c r="IGG13" s="20"/>
      <c r="IGH13" s="20"/>
      <c r="IGI13" s="20"/>
      <c r="IGJ13" s="20"/>
      <c r="IGK13" s="20"/>
      <c r="IGL13" s="20"/>
      <c r="IGM13" s="20"/>
      <c r="IGN13" s="20"/>
      <c r="IGO13" s="20"/>
      <c r="IGP13" s="20"/>
      <c r="IGQ13" s="20"/>
      <c r="IGR13" s="20"/>
      <c r="IGS13" s="20"/>
      <c r="IGT13" s="20"/>
      <c r="IGU13" s="20"/>
      <c r="IGV13" s="20"/>
      <c r="IGW13" s="20"/>
      <c r="IGX13" s="20"/>
      <c r="IGY13" s="20"/>
      <c r="IGZ13" s="20"/>
      <c r="IHA13" s="20"/>
      <c r="IHB13" s="20"/>
      <c r="IHC13" s="20"/>
      <c r="IHD13" s="20"/>
      <c r="IHE13" s="20"/>
      <c r="IHF13" s="20"/>
      <c r="IHG13" s="20"/>
      <c r="IHH13" s="20"/>
      <c r="IHI13" s="20"/>
      <c r="IHJ13" s="20"/>
      <c r="IHK13" s="20"/>
      <c r="IHL13" s="20"/>
      <c r="IHM13" s="20"/>
      <c r="IHN13" s="20"/>
      <c r="IHO13" s="20"/>
      <c r="IHP13" s="20"/>
      <c r="IHQ13" s="20"/>
      <c r="IHR13" s="20"/>
      <c r="IHS13" s="20"/>
      <c r="IHT13" s="20"/>
      <c r="IHU13" s="20"/>
      <c r="IHV13" s="20"/>
      <c r="IHW13" s="20"/>
      <c r="IHX13" s="20"/>
      <c r="IHY13" s="20"/>
      <c r="IHZ13" s="20"/>
      <c r="IIA13" s="20"/>
      <c r="IIB13" s="20"/>
      <c r="IIC13" s="20"/>
      <c r="IID13" s="20"/>
      <c r="IIE13" s="20"/>
      <c r="IIF13" s="20"/>
      <c r="IIG13" s="20"/>
      <c r="IIH13" s="20"/>
      <c r="III13" s="20"/>
      <c r="IIJ13" s="20"/>
      <c r="IIK13" s="20"/>
      <c r="IIL13" s="20"/>
      <c r="IIM13" s="20"/>
      <c r="IIN13" s="20"/>
      <c r="IIO13" s="20"/>
      <c r="IIP13" s="20"/>
      <c r="IIQ13" s="20"/>
      <c r="IIR13" s="20"/>
      <c r="IIS13" s="20"/>
      <c r="IIT13" s="20"/>
      <c r="IIU13" s="20"/>
      <c r="IIV13" s="20"/>
      <c r="IIW13" s="20"/>
      <c r="IIX13" s="20"/>
      <c r="IIY13" s="20"/>
      <c r="IIZ13" s="20"/>
      <c r="IJA13" s="20"/>
      <c r="IJB13" s="20"/>
      <c r="IJC13" s="20"/>
      <c r="IJD13" s="20"/>
      <c r="IJE13" s="20"/>
      <c r="IJF13" s="20"/>
      <c r="IJG13" s="20"/>
      <c r="IJH13" s="20"/>
      <c r="IJI13" s="20"/>
      <c r="IJJ13" s="20"/>
      <c r="IJK13" s="20"/>
      <c r="IJL13" s="20"/>
      <c r="IJM13" s="20"/>
      <c r="IJN13" s="20"/>
      <c r="IJO13" s="20"/>
      <c r="IJP13" s="20"/>
      <c r="IJQ13" s="20"/>
      <c r="IJR13" s="20"/>
      <c r="IJS13" s="20"/>
      <c r="IJT13" s="20"/>
      <c r="IJU13" s="20"/>
      <c r="IJV13" s="20"/>
      <c r="IJW13" s="20"/>
      <c r="IJX13" s="20"/>
      <c r="IJY13" s="20"/>
      <c r="IJZ13" s="20"/>
      <c r="IKA13" s="20"/>
      <c r="IKB13" s="20"/>
      <c r="IKC13" s="20"/>
      <c r="IKD13" s="20"/>
      <c r="IKE13" s="20"/>
      <c r="IKF13" s="20"/>
      <c r="IKG13" s="20"/>
      <c r="IKH13" s="20"/>
      <c r="IKI13" s="20"/>
      <c r="IKJ13" s="20"/>
      <c r="IKK13" s="20"/>
      <c r="IKL13" s="20"/>
      <c r="IKM13" s="20"/>
      <c r="IKN13" s="20"/>
      <c r="IKO13" s="20"/>
      <c r="IKP13" s="20"/>
      <c r="IKQ13" s="20"/>
      <c r="IKR13" s="20"/>
      <c r="IKS13" s="20"/>
      <c r="IKT13" s="20"/>
      <c r="IKU13" s="20"/>
      <c r="IKV13" s="20"/>
      <c r="IKW13" s="20"/>
      <c r="IKX13" s="20"/>
      <c r="IKY13" s="20"/>
      <c r="IKZ13" s="20"/>
      <c r="ILA13" s="20"/>
      <c r="ILB13" s="20"/>
      <c r="ILC13" s="20"/>
      <c r="ILD13" s="20"/>
      <c r="ILE13" s="20"/>
      <c r="ILF13" s="20"/>
      <c r="ILG13" s="20"/>
      <c r="ILH13" s="20"/>
      <c r="ILI13" s="20"/>
      <c r="ILJ13" s="20"/>
      <c r="ILK13" s="20"/>
      <c r="ILL13" s="20"/>
      <c r="ILM13" s="20"/>
      <c r="ILN13" s="20"/>
      <c r="ILO13" s="20"/>
      <c r="ILP13" s="20"/>
      <c r="ILQ13" s="20"/>
      <c r="ILR13" s="20"/>
      <c r="ILS13" s="20"/>
      <c r="ILT13" s="20"/>
      <c r="ILU13" s="20"/>
      <c r="ILV13" s="20"/>
      <c r="ILW13" s="20"/>
      <c r="ILX13" s="20"/>
      <c r="ILY13" s="20"/>
      <c r="ILZ13" s="20"/>
      <c r="IMA13" s="20"/>
      <c r="IMB13" s="20"/>
      <c r="IMC13" s="20"/>
      <c r="IMD13" s="20"/>
      <c r="IME13" s="20"/>
      <c r="IMF13" s="20"/>
      <c r="IMG13" s="20"/>
      <c r="IMH13" s="20"/>
      <c r="IMI13" s="20"/>
      <c r="IMJ13" s="20"/>
      <c r="IMK13" s="20"/>
      <c r="IML13" s="20"/>
      <c r="IMM13" s="20"/>
      <c r="IMN13" s="20"/>
      <c r="IMO13" s="20"/>
      <c r="IMP13" s="20"/>
      <c r="IMQ13" s="20"/>
      <c r="IMR13" s="20"/>
      <c r="IMS13" s="20"/>
      <c r="IMT13" s="20"/>
      <c r="IMU13" s="20"/>
      <c r="IMV13" s="20"/>
      <c r="IMW13" s="20"/>
      <c r="IMX13" s="20"/>
      <c r="IMY13" s="20"/>
      <c r="IMZ13" s="20"/>
      <c r="INA13" s="20"/>
      <c r="INB13" s="20"/>
      <c r="INC13" s="20"/>
      <c r="IND13" s="20"/>
      <c r="INE13" s="20"/>
      <c r="INF13" s="20"/>
      <c r="ING13" s="20"/>
      <c r="INH13" s="20"/>
      <c r="INI13" s="20"/>
      <c r="INJ13" s="20"/>
      <c r="INK13" s="20"/>
      <c r="INL13" s="20"/>
      <c r="INM13" s="20"/>
      <c r="INN13" s="20"/>
      <c r="INO13" s="20"/>
      <c r="INP13" s="20"/>
      <c r="INQ13" s="20"/>
      <c r="INR13" s="20"/>
      <c r="INS13" s="20"/>
      <c r="INT13" s="20"/>
      <c r="INU13" s="20"/>
      <c r="INV13" s="20"/>
      <c r="INW13" s="20"/>
      <c r="INX13" s="20"/>
      <c r="INY13" s="20"/>
      <c r="INZ13" s="20"/>
      <c r="IOA13" s="20"/>
      <c r="IOB13" s="20"/>
      <c r="IOC13" s="20"/>
      <c r="IOD13" s="20"/>
      <c r="IOE13" s="20"/>
      <c r="IOF13" s="20"/>
      <c r="IOG13" s="20"/>
      <c r="IOH13" s="20"/>
      <c r="IOI13" s="20"/>
      <c r="IOJ13" s="20"/>
      <c r="IOK13" s="20"/>
      <c r="IOL13" s="20"/>
      <c r="IOM13" s="20"/>
      <c r="ION13" s="20"/>
      <c r="IOO13" s="20"/>
      <c r="IOP13" s="20"/>
      <c r="IOQ13" s="20"/>
      <c r="IOR13" s="20"/>
      <c r="IOS13" s="20"/>
      <c r="IOT13" s="20"/>
      <c r="IOU13" s="20"/>
      <c r="IOV13" s="20"/>
      <c r="IOW13" s="20"/>
      <c r="IOX13" s="20"/>
      <c r="IOY13" s="20"/>
      <c r="IOZ13" s="20"/>
      <c r="IPA13" s="20"/>
      <c r="IPB13" s="20"/>
      <c r="IPC13" s="20"/>
      <c r="IPD13" s="20"/>
      <c r="IPE13" s="20"/>
      <c r="IPF13" s="20"/>
      <c r="IPG13" s="20"/>
      <c r="IPH13" s="20"/>
      <c r="IPI13" s="20"/>
      <c r="IPJ13" s="20"/>
      <c r="IPK13" s="20"/>
      <c r="IPL13" s="20"/>
      <c r="IPM13" s="20"/>
      <c r="IPN13" s="20"/>
      <c r="IPO13" s="20"/>
      <c r="IPP13" s="20"/>
      <c r="IPQ13" s="20"/>
      <c r="IPR13" s="20"/>
      <c r="IPS13" s="20"/>
      <c r="IPT13" s="20"/>
      <c r="IPU13" s="20"/>
      <c r="IPV13" s="20"/>
      <c r="IPW13" s="20"/>
      <c r="IPX13" s="20"/>
      <c r="IPY13" s="20"/>
      <c r="IPZ13" s="20"/>
      <c r="IQA13" s="20"/>
      <c r="IQB13" s="20"/>
      <c r="IQC13" s="20"/>
      <c r="IQD13" s="20"/>
      <c r="IQE13" s="20"/>
      <c r="IQF13" s="20"/>
      <c r="IQG13" s="20"/>
      <c r="IQH13" s="20"/>
      <c r="IQI13" s="20"/>
      <c r="IQJ13" s="20"/>
      <c r="IQK13" s="20"/>
      <c r="IQL13" s="20"/>
      <c r="IQM13" s="20"/>
      <c r="IQN13" s="20"/>
      <c r="IQO13" s="20"/>
      <c r="IQP13" s="20"/>
      <c r="IQQ13" s="20"/>
      <c r="IQR13" s="20"/>
      <c r="IQS13" s="20"/>
      <c r="IQT13" s="20"/>
      <c r="IQU13" s="20"/>
      <c r="IQV13" s="20"/>
      <c r="IQW13" s="20"/>
      <c r="IQX13" s="20"/>
      <c r="IQY13" s="20"/>
      <c r="IQZ13" s="20"/>
      <c r="IRA13" s="20"/>
      <c r="IRB13" s="20"/>
      <c r="IRC13" s="20"/>
      <c r="IRD13" s="20"/>
      <c r="IRE13" s="20"/>
      <c r="IRF13" s="20"/>
      <c r="IRG13" s="20"/>
      <c r="IRH13" s="20"/>
      <c r="IRI13" s="20"/>
      <c r="IRJ13" s="20"/>
      <c r="IRK13" s="20"/>
      <c r="IRL13" s="20"/>
      <c r="IRM13" s="20"/>
      <c r="IRN13" s="20"/>
      <c r="IRO13" s="20"/>
      <c r="IRP13" s="20"/>
      <c r="IRQ13" s="20"/>
      <c r="IRR13" s="20"/>
      <c r="IRS13" s="20"/>
      <c r="IRT13" s="20"/>
      <c r="IRU13" s="20"/>
      <c r="IRV13" s="20"/>
      <c r="IRW13" s="20"/>
      <c r="IRX13" s="20"/>
      <c r="IRY13" s="20"/>
      <c r="IRZ13" s="20"/>
      <c r="ISA13" s="20"/>
      <c r="ISB13" s="20"/>
      <c r="ISC13" s="20"/>
      <c r="ISD13" s="20"/>
      <c r="ISE13" s="20"/>
      <c r="ISF13" s="20"/>
      <c r="ISG13" s="20"/>
      <c r="ISH13" s="20"/>
      <c r="ISI13" s="20"/>
      <c r="ISJ13" s="20"/>
      <c r="ISK13" s="20"/>
      <c r="ISL13" s="20"/>
      <c r="ISM13" s="20"/>
      <c r="ISN13" s="20"/>
      <c r="ISO13" s="20"/>
      <c r="ISP13" s="20"/>
      <c r="ISQ13" s="20"/>
      <c r="ISR13" s="20"/>
      <c r="ISS13" s="20"/>
      <c r="IST13" s="20"/>
      <c r="ISU13" s="20"/>
      <c r="ISV13" s="20"/>
      <c r="ISW13" s="20"/>
      <c r="ISX13" s="20"/>
      <c r="ISY13" s="20"/>
      <c r="ISZ13" s="20"/>
      <c r="ITA13" s="20"/>
      <c r="ITB13" s="20"/>
      <c r="ITC13" s="20"/>
      <c r="ITD13" s="20"/>
      <c r="ITE13" s="20"/>
      <c r="ITF13" s="20"/>
      <c r="ITG13" s="20"/>
      <c r="ITH13" s="20"/>
      <c r="ITI13" s="20"/>
      <c r="ITJ13" s="20"/>
      <c r="ITK13" s="20"/>
      <c r="ITL13" s="20"/>
      <c r="ITM13" s="20"/>
      <c r="ITN13" s="20"/>
      <c r="ITO13" s="20"/>
      <c r="ITP13" s="20"/>
      <c r="ITQ13" s="20"/>
      <c r="ITR13" s="20"/>
      <c r="ITS13" s="20"/>
      <c r="ITT13" s="20"/>
      <c r="ITU13" s="20"/>
      <c r="ITV13" s="20"/>
      <c r="ITW13" s="20"/>
      <c r="ITX13" s="20"/>
      <c r="ITY13" s="20"/>
      <c r="ITZ13" s="20"/>
      <c r="IUA13" s="20"/>
      <c r="IUB13" s="20"/>
      <c r="IUC13" s="20"/>
      <c r="IUD13" s="20"/>
      <c r="IUE13" s="20"/>
      <c r="IUF13" s="20"/>
      <c r="IUG13" s="20"/>
      <c r="IUH13" s="20"/>
      <c r="IUI13" s="20"/>
      <c r="IUJ13" s="20"/>
      <c r="IUK13" s="20"/>
      <c r="IUL13" s="20"/>
      <c r="IUM13" s="20"/>
      <c r="IUN13" s="20"/>
      <c r="IUO13" s="20"/>
      <c r="IUP13" s="20"/>
      <c r="IUQ13" s="20"/>
      <c r="IUR13" s="20"/>
      <c r="IUS13" s="20"/>
      <c r="IUT13" s="20"/>
      <c r="IUU13" s="20"/>
      <c r="IUV13" s="20"/>
      <c r="IUW13" s="20"/>
      <c r="IUX13" s="20"/>
      <c r="IUY13" s="20"/>
      <c r="IUZ13" s="20"/>
      <c r="IVA13" s="20"/>
      <c r="IVB13" s="20"/>
      <c r="IVC13" s="20"/>
      <c r="IVD13" s="20"/>
      <c r="IVE13" s="20"/>
      <c r="IVF13" s="20"/>
      <c r="IVG13" s="20"/>
      <c r="IVH13" s="20"/>
      <c r="IVI13" s="20"/>
      <c r="IVJ13" s="20"/>
      <c r="IVK13" s="20"/>
      <c r="IVL13" s="20"/>
      <c r="IVM13" s="20"/>
      <c r="IVN13" s="20"/>
      <c r="IVO13" s="20"/>
      <c r="IVP13" s="20"/>
      <c r="IVQ13" s="20"/>
      <c r="IVR13" s="20"/>
      <c r="IVS13" s="20"/>
      <c r="IVT13" s="20"/>
      <c r="IVU13" s="20"/>
      <c r="IVV13" s="20"/>
      <c r="IVW13" s="20"/>
      <c r="IVX13" s="20"/>
      <c r="IVY13" s="20"/>
      <c r="IVZ13" s="20"/>
      <c r="IWA13" s="20"/>
      <c r="IWB13" s="20"/>
      <c r="IWC13" s="20"/>
      <c r="IWD13" s="20"/>
      <c r="IWE13" s="20"/>
      <c r="IWF13" s="20"/>
      <c r="IWG13" s="20"/>
      <c r="IWH13" s="20"/>
      <c r="IWI13" s="20"/>
      <c r="IWJ13" s="20"/>
      <c r="IWK13" s="20"/>
      <c r="IWL13" s="20"/>
      <c r="IWM13" s="20"/>
      <c r="IWN13" s="20"/>
      <c r="IWO13" s="20"/>
      <c r="IWP13" s="20"/>
      <c r="IWQ13" s="20"/>
      <c r="IWR13" s="20"/>
      <c r="IWS13" s="20"/>
      <c r="IWT13" s="20"/>
      <c r="IWU13" s="20"/>
      <c r="IWV13" s="20"/>
      <c r="IWW13" s="20"/>
      <c r="IWX13" s="20"/>
      <c r="IWY13" s="20"/>
      <c r="IWZ13" s="20"/>
      <c r="IXA13" s="20"/>
      <c r="IXB13" s="20"/>
      <c r="IXC13" s="20"/>
      <c r="IXD13" s="20"/>
      <c r="IXE13" s="20"/>
      <c r="IXF13" s="20"/>
      <c r="IXG13" s="20"/>
      <c r="IXH13" s="20"/>
      <c r="IXI13" s="20"/>
      <c r="IXJ13" s="20"/>
      <c r="IXK13" s="20"/>
      <c r="IXL13" s="20"/>
      <c r="IXM13" s="20"/>
      <c r="IXN13" s="20"/>
      <c r="IXO13" s="20"/>
      <c r="IXP13" s="20"/>
      <c r="IXQ13" s="20"/>
      <c r="IXR13" s="20"/>
      <c r="IXS13" s="20"/>
      <c r="IXT13" s="20"/>
      <c r="IXU13" s="20"/>
      <c r="IXV13" s="20"/>
      <c r="IXW13" s="20"/>
      <c r="IXX13" s="20"/>
      <c r="IXY13" s="20"/>
      <c r="IXZ13" s="20"/>
      <c r="IYA13" s="20"/>
      <c r="IYB13" s="20"/>
      <c r="IYC13" s="20"/>
      <c r="IYD13" s="20"/>
      <c r="IYE13" s="20"/>
      <c r="IYF13" s="20"/>
      <c r="IYG13" s="20"/>
      <c r="IYH13" s="20"/>
      <c r="IYI13" s="20"/>
      <c r="IYJ13" s="20"/>
      <c r="IYK13" s="20"/>
      <c r="IYL13" s="20"/>
      <c r="IYM13" s="20"/>
      <c r="IYN13" s="20"/>
      <c r="IYO13" s="20"/>
      <c r="IYP13" s="20"/>
      <c r="IYQ13" s="20"/>
      <c r="IYR13" s="20"/>
      <c r="IYS13" s="20"/>
      <c r="IYT13" s="20"/>
      <c r="IYU13" s="20"/>
      <c r="IYV13" s="20"/>
      <c r="IYW13" s="20"/>
      <c r="IYX13" s="20"/>
      <c r="IYY13" s="20"/>
      <c r="IYZ13" s="20"/>
      <c r="IZA13" s="20"/>
      <c r="IZB13" s="20"/>
      <c r="IZC13" s="20"/>
      <c r="IZD13" s="20"/>
      <c r="IZE13" s="20"/>
      <c r="IZF13" s="20"/>
      <c r="IZG13" s="20"/>
      <c r="IZH13" s="20"/>
      <c r="IZI13" s="20"/>
      <c r="IZJ13" s="20"/>
      <c r="IZK13" s="20"/>
      <c r="IZL13" s="20"/>
      <c r="IZM13" s="20"/>
      <c r="IZN13" s="20"/>
      <c r="IZO13" s="20"/>
      <c r="IZP13" s="20"/>
      <c r="IZQ13" s="20"/>
      <c r="IZR13" s="20"/>
      <c r="IZS13" s="20"/>
      <c r="IZT13" s="20"/>
      <c r="IZU13" s="20"/>
      <c r="IZV13" s="20"/>
      <c r="IZW13" s="20"/>
      <c r="IZX13" s="20"/>
      <c r="IZY13" s="20"/>
      <c r="IZZ13" s="20"/>
      <c r="JAA13" s="20"/>
      <c r="JAB13" s="20"/>
      <c r="JAC13" s="20"/>
      <c r="JAD13" s="20"/>
      <c r="JAE13" s="20"/>
      <c r="JAF13" s="20"/>
      <c r="JAG13" s="20"/>
      <c r="JAH13" s="20"/>
      <c r="JAI13" s="20"/>
      <c r="JAJ13" s="20"/>
      <c r="JAK13" s="20"/>
      <c r="JAL13" s="20"/>
      <c r="JAM13" s="20"/>
      <c r="JAN13" s="20"/>
      <c r="JAO13" s="20"/>
      <c r="JAP13" s="20"/>
      <c r="JAQ13" s="20"/>
      <c r="JAR13" s="20"/>
      <c r="JAS13" s="20"/>
      <c r="JAT13" s="20"/>
      <c r="JAU13" s="20"/>
      <c r="JAV13" s="20"/>
      <c r="JAW13" s="20"/>
      <c r="JAX13" s="20"/>
      <c r="JAY13" s="20"/>
      <c r="JAZ13" s="20"/>
      <c r="JBA13" s="20"/>
      <c r="JBB13" s="20"/>
      <c r="JBC13" s="20"/>
      <c r="JBD13" s="20"/>
      <c r="JBE13" s="20"/>
      <c r="JBF13" s="20"/>
      <c r="JBG13" s="20"/>
      <c r="JBH13" s="20"/>
      <c r="JBI13" s="20"/>
      <c r="JBJ13" s="20"/>
      <c r="JBK13" s="20"/>
      <c r="JBL13" s="20"/>
      <c r="JBM13" s="20"/>
      <c r="JBN13" s="20"/>
      <c r="JBO13" s="20"/>
      <c r="JBP13" s="20"/>
      <c r="JBQ13" s="20"/>
      <c r="JBR13" s="20"/>
      <c r="JBS13" s="20"/>
      <c r="JBT13" s="20"/>
      <c r="JBU13" s="20"/>
      <c r="JBV13" s="20"/>
      <c r="JBW13" s="20"/>
      <c r="JBX13" s="20"/>
      <c r="JBY13" s="20"/>
      <c r="JBZ13" s="20"/>
      <c r="JCA13" s="20"/>
      <c r="JCB13" s="20"/>
      <c r="JCC13" s="20"/>
      <c r="JCD13" s="20"/>
      <c r="JCE13" s="20"/>
      <c r="JCF13" s="20"/>
      <c r="JCG13" s="20"/>
      <c r="JCH13" s="20"/>
      <c r="JCI13" s="20"/>
      <c r="JCJ13" s="20"/>
      <c r="JCK13" s="20"/>
      <c r="JCL13" s="20"/>
      <c r="JCM13" s="20"/>
      <c r="JCN13" s="20"/>
      <c r="JCO13" s="20"/>
      <c r="JCP13" s="20"/>
      <c r="JCQ13" s="20"/>
      <c r="JCR13" s="20"/>
      <c r="JCS13" s="20"/>
      <c r="JCT13" s="20"/>
      <c r="JCU13" s="20"/>
      <c r="JCV13" s="20"/>
      <c r="JCW13" s="20"/>
      <c r="JCX13" s="20"/>
      <c r="JCY13" s="20"/>
      <c r="JCZ13" s="20"/>
      <c r="JDA13" s="20"/>
      <c r="JDB13" s="20"/>
      <c r="JDC13" s="20"/>
      <c r="JDD13" s="20"/>
      <c r="JDE13" s="20"/>
      <c r="JDF13" s="20"/>
      <c r="JDG13" s="20"/>
      <c r="JDH13" s="20"/>
      <c r="JDI13" s="20"/>
      <c r="JDJ13" s="20"/>
      <c r="JDK13" s="20"/>
      <c r="JDL13" s="20"/>
      <c r="JDM13" s="20"/>
      <c r="JDN13" s="20"/>
      <c r="JDO13" s="20"/>
      <c r="JDP13" s="20"/>
      <c r="JDQ13" s="20"/>
      <c r="JDR13" s="20"/>
      <c r="JDS13" s="20"/>
      <c r="JDT13" s="20"/>
      <c r="JDU13" s="20"/>
      <c r="JDV13" s="20"/>
      <c r="JDW13" s="20"/>
      <c r="JDX13" s="20"/>
      <c r="JDY13" s="20"/>
      <c r="JDZ13" s="20"/>
      <c r="JEA13" s="20"/>
      <c r="JEB13" s="20"/>
      <c r="JEC13" s="20"/>
      <c r="JED13" s="20"/>
      <c r="JEE13" s="20"/>
      <c r="JEF13" s="20"/>
      <c r="JEG13" s="20"/>
      <c r="JEH13" s="20"/>
      <c r="JEI13" s="20"/>
      <c r="JEJ13" s="20"/>
      <c r="JEK13" s="20"/>
      <c r="JEL13" s="20"/>
      <c r="JEM13" s="20"/>
      <c r="JEN13" s="20"/>
      <c r="JEO13" s="20"/>
      <c r="JEP13" s="20"/>
      <c r="JEQ13" s="20"/>
      <c r="JER13" s="20"/>
      <c r="JES13" s="20"/>
      <c r="JET13" s="20"/>
      <c r="JEU13" s="20"/>
      <c r="JEV13" s="20"/>
      <c r="JEW13" s="20"/>
      <c r="JEX13" s="20"/>
      <c r="JEY13" s="20"/>
      <c r="JEZ13" s="20"/>
      <c r="JFA13" s="20"/>
      <c r="JFB13" s="20"/>
      <c r="JFC13" s="20"/>
      <c r="JFD13" s="20"/>
      <c r="JFE13" s="20"/>
      <c r="JFF13" s="20"/>
      <c r="JFG13" s="20"/>
      <c r="JFH13" s="20"/>
      <c r="JFI13" s="20"/>
      <c r="JFJ13" s="20"/>
      <c r="JFK13" s="20"/>
      <c r="JFL13" s="20"/>
      <c r="JFM13" s="20"/>
      <c r="JFN13" s="20"/>
      <c r="JFO13" s="20"/>
      <c r="JFP13" s="20"/>
      <c r="JFQ13" s="20"/>
      <c r="JFR13" s="20"/>
      <c r="JFS13" s="20"/>
      <c r="JFT13" s="20"/>
      <c r="JFU13" s="20"/>
      <c r="JFV13" s="20"/>
      <c r="JFW13" s="20"/>
      <c r="JFX13" s="20"/>
      <c r="JFY13" s="20"/>
      <c r="JFZ13" s="20"/>
      <c r="JGA13" s="20"/>
      <c r="JGB13" s="20"/>
      <c r="JGC13" s="20"/>
      <c r="JGD13" s="20"/>
      <c r="JGE13" s="20"/>
      <c r="JGF13" s="20"/>
      <c r="JGG13" s="20"/>
      <c r="JGH13" s="20"/>
      <c r="JGI13" s="20"/>
      <c r="JGJ13" s="20"/>
      <c r="JGK13" s="20"/>
      <c r="JGL13" s="20"/>
      <c r="JGM13" s="20"/>
      <c r="JGN13" s="20"/>
      <c r="JGO13" s="20"/>
      <c r="JGP13" s="20"/>
      <c r="JGQ13" s="20"/>
      <c r="JGR13" s="20"/>
      <c r="JGS13" s="20"/>
      <c r="JGT13" s="20"/>
      <c r="JGU13" s="20"/>
      <c r="JGV13" s="20"/>
      <c r="JGW13" s="20"/>
      <c r="JGX13" s="20"/>
      <c r="JGY13" s="20"/>
      <c r="JGZ13" s="20"/>
      <c r="JHA13" s="20"/>
      <c r="JHB13" s="20"/>
      <c r="JHC13" s="20"/>
      <c r="JHD13" s="20"/>
      <c r="JHE13" s="20"/>
      <c r="JHF13" s="20"/>
      <c r="JHG13" s="20"/>
      <c r="JHH13" s="20"/>
      <c r="JHI13" s="20"/>
      <c r="JHJ13" s="20"/>
      <c r="JHK13" s="20"/>
      <c r="JHL13" s="20"/>
      <c r="JHM13" s="20"/>
      <c r="JHN13" s="20"/>
      <c r="JHO13" s="20"/>
      <c r="JHP13" s="20"/>
      <c r="JHQ13" s="20"/>
      <c r="JHR13" s="20"/>
      <c r="JHS13" s="20"/>
      <c r="JHT13" s="20"/>
      <c r="JHU13" s="20"/>
      <c r="JHV13" s="20"/>
      <c r="JHW13" s="20"/>
      <c r="JHX13" s="20"/>
      <c r="JHY13" s="20"/>
      <c r="JHZ13" s="20"/>
      <c r="JIA13" s="20"/>
      <c r="JIB13" s="20"/>
      <c r="JIC13" s="20"/>
      <c r="JID13" s="20"/>
      <c r="JIE13" s="20"/>
      <c r="JIF13" s="20"/>
      <c r="JIG13" s="20"/>
      <c r="JIH13" s="20"/>
      <c r="JII13" s="20"/>
      <c r="JIJ13" s="20"/>
      <c r="JIK13" s="20"/>
      <c r="JIL13" s="20"/>
      <c r="JIM13" s="20"/>
      <c r="JIN13" s="20"/>
      <c r="JIO13" s="20"/>
      <c r="JIP13" s="20"/>
      <c r="JIQ13" s="20"/>
      <c r="JIR13" s="20"/>
      <c r="JIS13" s="20"/>
      <c r="JIT13" s="20"/>
      <c r="JIU13" s="20"/>
      <c r="JIV13" s="20"/>
      <c r="JIW13" s="20"/>
      <c r="JIX13" s="20"/>
      <c r="JIY13" s="20"/>
      <c r="JIZ13" s="20"/>
      <c r="JJA13" s="20"/>
      <c r="JJB13" s="20"/>
      <c r="JJC13" s="20"/>
      <c r="JJD13" s="20"/>
      <c r="JJE13" s="20"/>
      <c r="JJF13" s="20"/>
      <c r="JJG13" s="20"/>
      <c r="JJH13" s="20"/>
      <c r="JJI13" s="20"/>
      <c r="JJJ13" s="20"/>
      <c r="JJK13" s="20"/>
      <c r="JJL13" s="20"/>
      <c r="JJM13" s="20"/>
      <c r="JJN13" s="20"/>
      <c r="JJO13" s="20"/>
      <c r="JJP13" s="20"/>
      <c r="JJQ13" s="20"/>
      <c r="JJR13" s="20"/>
      <c r="JJS13" s="20"/>
      <c r="JJT13" s="20"/>
      <c r="JJU13" s="20"/>
      <c r="JJV13" s="20"/>
      <c r="JJW13" s="20"/>
      <c r="JJX13" s="20"/>
      <c r="JJY13" s="20"/>
      <c r="JJZ13" s="20"/>
      <c r="JKA13" s="20"/>
      <c r="JKB13" s="20"/>
      <c r="JKC13" s="20"/>
      <c r="JKD13" s="20"/>
      <c r="JKE13" s="20"/>
      <c r="JKF13" s="20"/>
      <c r="JKG13" s="20"/>
      <c r="JKH13" s="20"/>
      <c r="JKI13" s="20"/>
      <c r="JKJ13" s="20"/>
      <c r="JKK13" s="20"/>
      <c r="JKL13" s="20"/>
      <c r="JKM13" s="20"/>
      <c r="JKN13" s="20"/>
      <c r="JKO13" s="20"/>
      <c r="JKP13" s="20"/>
      <c r="JKQ13" s="20"/>
      <c r="JKR13" s="20"/>
      <c r="JKS13" s="20"/>
      <c r="JKT13" s="20"/>
      <c r="JKU13" s="20"/>
      <c r="JKV13" s="20"/>
      <c r="JKW13" s="20"/>
      <c r="JKX13" s="20"/>
      <c r="JKY13" s="20"/>
      <c r="JKZ13" s="20"/>
      <c r="JLA13" s="20"/>
      <c r="JLB13" s="20"/>
      <c r="JLC13" s="20"/>
      <c r="JLD13" s="20"/>
      <c r="JLE13" s="20"/>
      <c r="JLF13" s="20"/>
      <c r="JLG13" s="20"/>
      <c r="JLH13" s="20"/>
      <c r="JLI13" s="20"/>
      <c r="JLJ13" s="20"/>
      <c r="JLK13" s="20"/>
      <c r="JLL13" s="20"/>
      <c r="JLM13" s="20"/>
      <c r="JLN13" s="20"/>
      <c r="JLO13" s="20"/>
      <c r="JLP13" s="20"/>
      <c r="JLQ13" s="20"/>
      <c r="JLR13" s="20"/>
      <c r="JLS13" s="20"/>
      <c r="JLT13" s="20"/>
      <c r="JLU13" s="20"/>
      <c r="JLV13" s="20"/>
      <c r="JLW13" s="20"/>
      <c r="JLX13" s="20"/>
      <c r="JLY13" s="20"/>
      <c r="JLZ13" s="20"/>
      <c r="JMA13" s="20"/>
      <c r="JMB13" s="20"/>
      <c r="JMC13" s="20"/>
      <c r="JMD13" s="20"/>
      <c r="JME13" s="20"/>
      <c r="JMF13" s="20"/>
      <c r="JMG13" s="20"/>
      <c r="JMH13" s="20"/>
      <c r="JMI13" s="20"/>
      <c r="JMJ13" s="20"/>
      <c r="JMK13" s="20"/>
      <c r="JML13" s="20"/>
      <c r="JMM13" s="20"/>
      <c r="JMN13" s="20"/>
      <c r="JMO13" s="20"/>
      <c r="JMP13" s="20"/>
      <c r="JMQ13" s="20"/>
      <c r="JMR13" s="20"/>
      <c r="JMS13" s="20"/>
      <c r="JMT13" s="20"/>
      <c r="JMU13" s="20"/>
      <c r="JMV13" s="20"/>
      <c r="JMW13" s="20"/>
      <c r="JMX13" s="20"/>
      <c r="JMY13" s="20"/>
      <c r="JMZ13" s="20"/>
      <c r="JNA13" s="20"/>
      <c r="JNB13" s="20"/>
      <c r="JNC13" s="20"/>
      <c r="JND13" s="20"/>
      <c r="JNE13" s="20"/>
      <c r="JNF13" s="20"/>
      <c r="JNG13" s="20"/>
      <c r="JNH13" s="20"/>
      <c r="JNI13" s="20"/>
      <c r="JNJ13" s="20"/>
      <c r="JNK13" s="20"/>
      <c r="JNL13" s="20"/>
      <c r="JNM13" s="20"/>
      <c r="JNN13" s="20"/>
      <c r="JNO13" s="20"/>
      <c r="JNP13" s="20"/>
      <c r="JNQ13" s="20"/>
      <c r="JNR13" s="20"/>
      <c r="JNS13" s="20"/>
      <c r="JNT13" s="20"/>
      <c r="JNU13" s="20"/>
      <c r="JNV13" s="20"/>
      <c r="JNW13" s="20"/>
      <c r="JNX13" s="20"/>
      <c r="JNY13" s="20"/>
      <c r="JNZ13" s="20"/>
      <c r="JOA13" s="20"/>
      <c r="JOB13" s="20"/>
      <c r="JOC13" s="20"/>
      <c r="JOD13" s="20"/>
      <c r="JOE13" s="20"/>
      <c r="JOF13" s="20"/>
      <c r="JOG13" s="20"/>
      <c r="JOH13" s="20"/>
      <c r="JOI13" s="20"/>
      <c r="JOJ13" s="20"/>
      <c r="JOK13" s="20"/>
      <c r="JOL13" s="20"/>
      <c r="JOM13" s="20"/>
      <c r="JON13" s="20"/>
      <c r="JOO13" s="20"/>
      <c r="JOP13" s="20"/>
      <c r="JOQ13" s="20"/>
      <c r="JOR13" s="20"/>
      <c r="JOS13" s="20"/>
      <c r="JOT13" s="20"/>
      <c r="JOU13" s="20"/>
      <c r="JOV13" s="20"/>
      <c r="JOW13" s="20"/>
      <c r="JOX13" s="20"/>
      <c r="JOY13" s="20"/>
      <c r="JOZ13" s="20"/>
      <c r="JPA13" s="20"/>
      <c r="JPB13" s="20"/>
      <c r="JPC13" s="20"/>
      <c r="JPD13" s="20"/>
      <c r="JPE13" s="20"/>
      <c r="JPF13" s="20"/>
      <c r="JPG13" s="20"/>
      <c r="JPH13" s="20"/>
      <c r="JPI13" s="20"/>
      <c r="JPJ13" s="20"/>
      <c r="JPK13" s="20"/>
      <c r="JPL13" s="20"/>
      <c r="JPM13" s="20"/>
      <c r="JPN13" s="20"/>
      <c r="JPO13" s="20"/>
      <c r="JPP13" s="20"/>
      <c r="JPQ13" s="20"/>
      <c r="JPR13" s="20"/>
      <c r="JPS13" s="20"/>
      <c r="JPT13" s="20"/>
      <c r="JPU13" s="20"/>
      <c r="JPV13" s="20"/>
      <c r="JPW13" s="20"/>
      <c r="JPX13" s="20"/>
      <c r="JPY13" s="20"/>
      <c r="JPZ13" s="20"/>
      <c r="JQA13" s="20"/>
      <c r="JQB13" s="20"/>
      <c r="JQC13" s="20"/>
      <c r="JQD13" s="20"/>
      <c r="JQE13" s="20"/>
      <c r="JQF13" s="20"/>
      <c r="JQG13" s="20"/>
      <c r="JQH13" s="20"/>
      <c r="JQI13" s="20"/>
      <c r="JQJ13" s="20"/>
      <c r="JQK13" s="20"/>
      <c r="JQL13" s="20"/>
      <c r="JQM13" s="20"/>
      <c r="JQN13" s="20"/>
      <c r="JQO13" s="20"/>
      <c r="JQP13" s="20"/>
      <c r="JQQ13" s="20"/>
      <c r="JQR13" s="20"/>
      <c r="JQS13" s="20"/>
      <c r="JQT13" s="20"/>
      <c r="JQU13" s="20"/>
      <c r="JQV13" s="20"/>
      <c r="JQW13" s="20"/>
      <c r="JQX13" s="20"/>
      <c r="JQY13" s="20"/>
      <c r="JQZ13" s="20"/>
      <c r="JRA13" s="20"/>
      <c r="JRB13" s="20"/>
      <c r="JRC13" s="20"/>
      <c r="JRD13" s="20"/>
      <c r="JRE13" s="20"/>
      <c r="JRF13" s="20"/>
      <c r="JRG13" s="20"/>
      <c r="JRH13" s="20"/>
      <c r="JRI13" s="20"/>
      <c r="JRJ13" s="20"/>
      <c r="JRK13" s="20"/>
      <c r="JRL13" s="20"/>
      <c r="JRM13" s="20"/>
      <c r="JRN13" s="20"/>
      <c r="JRO13" s="20"/>
      <c r="JRP13" s="20"/>
      <c r="JRQ13" s="20"/>
      <c r="JRR13" s="20"/>
      <c r="JRS13" s="20"/>
      <c r="JRT13" s="20"/>
      <c r="JRU13" s="20"/>
      <c r="JRV13" s="20"/>
      <c r="JRW13" s="20"/>
      <c r="JRX13" s="20"/>
      <c r="JRY13" s="20"/>
      <c r="JRZ13" s="20"/>
      <c r="JSA13" s="20"/>
      <c r="JSB13" s="20"/>
      <c r="JSC13" s="20"/>
      <c r="JSD13" s="20"/>
      <c r="JSE13" s="20"/>
      <c r="JSF13" s="20"/>
      <c r="JSG13" s="20"/>
      <c r="JSH13" s="20"/>
      <c r="JSI13" s="20"/>
      <c r="JSJ13" s="20"/>
      <c r="JSK13" s="20"/>
      <c r="JSL13" s="20"/>
      <c r="JSM13" s="20"/>
      <c r="JSN13" s="20"/>
      <c r="JSO13" s="20"/>
      <c r="JSP13" s="20"/>
      <c r="JSQ13" s="20"/>
      <c r="JSR13" s="20"/>
      <c r="JSS13" s="20"/>
      <c r="JST13" s="20"/>
      <c r="JSU13" s="20"/>
      <c r="JSV13" s="20"/>
      <c r="JSW13" s="20"/>
      <c r="JSX13" s="20"/>
      <c r="JSY13" s="20"/>
      <c r="JSZ13" s="20"/>
      <c r="JTA13" s="20"/>
      <c r="JTB13" s="20"/>
      <c r="JTC13" s="20"/>
      <c r="JTD13" s="20"/>
      <c r="JTE13" s="20"/>
      <c r="JTF13" s="20"/>
      <c r="JTG13" s="20"/>
      <c r="JTH13" s="20"/>
      <c r="JTI13" s="20"/>
      <c r="JTJ13" s="20"/>
      <c r="JTK13" s="20"/>
      <c r="JTL13" s="20"/>
      <c r="JTM13" s="20"/>
      <c r="JTN13" s="20"/>
      <c r="JTO13" s="20"/>
      <c r="JTP13" s="20"/>
      <c r="JTQ13" s="20"/>
      <c r="JTR13" s="20"/>
      <c r="JTS13" s="20"/>
      <c r="JTT13" s="20"/>
      <c r="JTU13" s="20"/>
      <c r="JTV13" s="20"/>
      <c r="JTW13" s="20"/>
      <c r="JTX13" s="20"/>
      <c r="JTY13" s="20"/>
      <c r="JTZ13" s="20"/>
      <c r="JUA13" s="20"/>
      <c r="JUB13" s="20"/>
      <c r="JUC13" s="20"/>
      <c r="JUD13" s="20"/>
      <c r="JUE13" s="20"/>
      <c r="JUF13" s="20"/>
      <c r="JUG13" s="20"/>
      <c r="JUH13" s="20"/>
      <c r="JUI13" s="20"/>
      <c r="JUJ13" s="20"/>
      <c r="JUK13" s="20"/>
      <c r="JUL13" s="20"/>
      <c r="JUM13" s="20"/>
      <c r="JUN13" s="20"/>
      <c r="JUO13" s="20"/>
      <c r="JUP13" s="20"/>
      <c r="JUQ13" s="20"/>
      <c r="JUR13" s="20"/>
      <c r="JUS13" s="20"/>
      <c r="JUT13" s="20"/>
      <c r="JUU13" s="20"/>
      <c r="JUV13" s="20"/>
      <c r="JUW13" s="20"/>
      <c r="JUX13" s="20"/>
      <c r="JUY13" s="20"/>
      <c r="JUZ13" s="20"/>
      <c r="JVA13" s="20"/>
      <c r="JVB13" s="20"/>
      <c r="JVC13" s="20"/>
      <c r="JVD13" s="20"/>
      <c r="JVE13" s="20"/>
      <c r="JVF13" s="20"/>
      <c r="JVG13" s="20"/>
      <c r="JVH13" s="20"/>
      <c r="JVI13" s="20"/>
      <c r="JVJ13" s="20"/>
      <c r="JVK13" s="20"/>
      <c r="JVL13" s="20"/>
      <c r="JVM13" s="20"/>
      <c r="JVN13" s="20"/>
      <c r="JVO13" s="20"/>
      <c r="JVP13" s="20"/>
      <c r="JVQ13" s="20"/>
      <c r="JVR13" s="20"/>
      <c r="JVS13" s="20"/>
      <c r="JVT13" s="20"/>
      <c r="JVU13" s="20"/>
      <c r="JVV13" s="20"/>
      <c r="JVW13" s="20"/>
      <c r="JVX13" s="20"/>
      <c r="JVY13" s="20"/>
      <c r="JVZ13" s="20"/>
      <c r="JWA13" s="20"/>
      <c r="JWB13" s="20"/>
      <c r="JWC13" s="20"/>
      <c r="JWD13" s="20"/>
      <c r="JWE13" s="20"/>
      <c r="JWF13" s="20"/>
      <c r="JWG13" s="20"/>
      <c r="JWH13" s="20"/>
      <c r="JWI13" s="20"/>
      <c r="JWJ13" s="20"/>
      <c r="JWK13" s="20"/>
      <c r="JWL13" s="20"/>
      <c r="JWM13" s="20"/>
      <c r="JWN13" s="20"/>
      <c r="JWO13" s="20"/>
      <c r="JWP13" s="20"/>
      <c r="JWQ13" s="20"/>
      <c r="JWR13" s="20"/>
      <c r="JWS13" s="20"/>
      <c r="JWT13" s="20"/>
      <c r="JWU13" s="20"/>
      <c r="JWV13" s="20"/>
      <c r="JWW13" s="20"/>
      <c r="JWX13" s="20"/>
      <c r="JWY13" s="20"/>
      <c r="JWZ13" s="20"/>
      <c r="JXA13" s="20"/>
      <c r="JXB13" s="20"/>
      <c r="JXC13" s="20"/>
      <c r="JXD13" s="20"/>
      <c r="JXE13" s="20"/>
      <c r="JXF13" s="20"/>
      <c r="JXG13" s="20"/>
      <c r="JXH13" s="20"/>
      <c r="JXI13" s="20"/>
      <c r="JXJ13" s="20"/>
      <c r="JXK13" s="20"/>
      <c r="JXL13" s="20"/>
      <c r="JXM13" s="20"/>
      <c r="JXN13" s="20"/>
      <c r="JXO13" s="20"/>
      <c r="JXP13" s="20"/>
      <c r="JXQ13" s="20"/>
      <c r="JXR13" s="20"/>
      <c r="JXS13" s="20"/>
      <c r="JXT13" s="20"/>
      <c r="JXU13" s="20"/>
      <c r="JXV13" s="20"/>
      <c r="JXW13" s="20"/>
      <c r="JXX13" s="20"/>
      <c r="JXY13" s="20"/>
      <c r="JXZ13" s="20"/>
      <c r="JYA13" s="20"/>
      <c r="JYB13" s="20"/>
      <c r="JYC13" s="20"/>
      <c r="JYD13" s="20"/>
      <c r="JYE13" s="20"/>
      <c r="JYF13" s="20"/>
      <c r="JYG13" s="20"/>
      <c r="JYH13" s="20"/>
      <c r="JYI13" s="20"/>
      <c r="JYJ13" s="20"/>
      <c r="JYK13" s="20"/>
      <c r="JYL13" s="20"/>
      <c r="JYM13" s="20"/>
      <c r="JYN13" s="20"/>
      <c r="JYO13" s="20"/>
      <c r="JYP13" s="20"/>
      <c r="JYQ13" s="20"/>
      <c r="JYR13" s="20"/>
      <c r="JYS13" s="20"/>
      <c r="JYT13" s="20"/>
      <c r="JYU13" s="20"/>
      <c r="JYV13" s="20"/>
      <c r="JYW13" s="20"/>
      <c r="JYX13" s="20"/>
      <c r="JYY13" s="20"/>
      <c r="JYZ13" s="20"/>
      <c r="JZA13" s="20"/>
      <c r="JZB13" s="20"/>
      <c r="JZC13" s="20"/>
      <c r="JZD13" s="20"/>
      <c r="JZE13" s="20"/>
      <c r="JZF13" s="20"/>
      <c r="JZG13" s="20"/>
      <c r="JZH13" s="20"/>
      <c r="JZI13" s="20"/>
      <c r="JZJ13" s="20"/>
      <c r="JZK13" s="20"/>
      <c r="JZL13" s="20"/>
      <c r="JZM13" s="20"/>
      <c r="JZN13" s="20"/>
      <c r="JZO13" s="20"/>
      <c r="JZP13" s="20"/>
      <c r="JZQ13" s="20"/>
      <c r="JZR13" s="20"/>
      <c r="JZS13" s="20"/>
      <c r="JZT13" s="20"/>
      <c r="JZU13" s="20"/>
      <c r="JZV13" s="20"/>
      <c r="JZW13" s="20"/>
      <c r="JZX13" s="20"/>
      <c r="JZY13" s="20"/>
      <c r="JZZ13" s="20"/>
      <c r="KAA13" s="20"/>
      <c r="KAB13" s="20"/>
      <c r="KAC13" s="20"/>
      <c r="KAD13" s="20"/>
      <c r="KAE13" s="20"/>
      <c r="KAF13" s="20"/>
      <c r="KAG13" s="20"/>
      <c r="KAH13" s="20"/>
      <c r="KAI13" s="20"/>
      <c r="KAJ13" s="20"/>
      <c r="KAK13" s="20"/>
      <c r="KAL13" s="20"/>
      <c r="KAM13" s="20"/>
      <c r="KAN13" s="20"/>
      <c r="KAO13" s="20"/>
      <c r="KAP13" s="20"/>
      <c r="KAQ13" s="20"/>
      <c r="KAR13" s="20"/>
      <c r="KAS13" s="20"/>
      <c r="KAT13" s="20"/>
      <c r="KAU13" s="20"/>
      <c r="KAV13" s="20"/>
      <c r="KAW13" s="20"/>
      <c r="KAX13" s="20"/>
      <c r="KAY13" s="20"/>
      <c r="KAZ13" s="20"/>
      <c r="KBA13" s="20"/>
      <c r="KBB13" s="20"/>
      <c r="KBC13" s="20"/>
      <c r="KBD13" s="20"/>
      <c r="KBE13" s="20"/>
      <c r="KBF13" s="20"/>
      <c r="KBG13" s="20"/>
      <c r="KBH13" s="20"/>
      <c r="KBI13" s="20"/>
      <c r="KBJ13" s="20"/>
      <c r="KBK13" s="20"/>
      <c r="KBL13" s="20"/>
      <c r="KBM13" s="20"/>
      <c r="KBN13" s="20"/>
      <c r="KBO13" s="20"/>
      <c r="KBP13" s="20"/>
      <c r="KBQ13" s="20"/>
      <c r="KBR13" s="20"/>
      <c r="KBS13" s="20"/>
      <c r="KBT13" s="20"/>
      <c r="KBU13" s="20"/>
      <c r="KBV13" s="20"/>
      <c r="KBW13" s="20"/>
      <c r="KBX13" s="20"/>
      <c r="KBY13" s="20"/>
      <c r="KBZ13" s="20"/>
      <c r="KCA13" s="20"/>
      <c r="KCB13" s="20"/>
      <c r="KCC13" s="20"/>
      <c r="KCD13" s="20"/>
      <c r="KCE13" s="20"/>
      <c r="KCF13" s="20"/>
      <c r="KCG13" s="20"/>
      <c r="KCH13" s="20"/>
      <c r="KCI13" s="20"/>
      <c r="KCJ13" s="20"/>
      <c r="KCK13" s="20"/>
      <c r="KCL13" s="20"/>
      <c r="KCM13" s="20"/>
      <c r="KCN13" s="20"/>
      <c r="KCO13" s="20"/>
      <c r="KCP13" s="20"/>
      <c r="KCQ13" s="20"/>
      <c r="KCR13" s="20"/>
      <c r="KCS13" s="20"/>
      <c r="KCT13" s="20"/>
      <c r="KCU13" s="20"/>
      <c r="KCV13" s="20"/>
      <c r="KCW13" s="20"/>
      <c r="KCX13" s="20"/>
      <c r="KCY13" s="20"/>
      <c r="KCZ13" s="20"/>
      <c r="KDA13" s="20"/>
      <c r="KDB13" s="20"/>
      <c r="KDC13" s="20"/>
      <c r="KDD13" s="20"/>
      <c r="KDE13" s="20"/>
      <c r="KDF13" s="20"/>
      <c r="KDG13" s="20"/>
      <c r="KDH13" s="20"/>
      <c r="KDI13" s="20"/>
      <c r="KDJ13" s="20"/>
      <c r="KDK13" s="20"/>
      <c r="KDL13" s="20"/>
      <c r="KDM13" s="20"/>
      <c r="KDN13" s="20"/>
      <c r="KDO13" s="20"/>
      <c r="KDP13" s="20"/>
      <c r="KDQ13" s="20"/>
      <c r="KDR13" s="20"/>
      <c r="KDS13" s="20"/>
      <c r="KDT13" s="20"/>
      <c r="KDU13" s="20"/>
      <c r="KDV13" s="20"/>
      <c r="KDW13" s="20"/>
      <c r="KDX13" s="20"/>
      <c r="KDY13" s="20"/>
      <c r="KDZ13" s="20"/>
      <c r="KEA13" s="20"/>
      <c r="KEB13" s="20"/>
      <c r="KEC13" s="20"/>
      <c r="KED13" s="20"/>
      <c r="KEE13" s="20"/>
      <c r="KEF13" s="20"/>
      <c r="KEG13" s="20"/>
      <c r="KEH13" s="20"/>
      <c r="KEI13" s="20"/>
      <c r="KEJ13" s="20"/>
      <c r="KEK13" s="20"/>
      <c r="KEL13" s="20"/>
      <c r="KEM13" s="20"/>
      <c r="KEN13" s="20"/>
      <c r="KEO13" s="20"/>
      <c r="KEP13" s="20"/>
      <c r="KEQ13" s="20"/>
      <c r="KER13" s="20"/>
      <c r="KES13" s="20"/>
      <c r="KET13" s="20"/>
      <c r="KEU13" s="20"/>
      <c r="KEV13" s="20"/>
      <c r="KEW13" s="20"/>
      <c r="KEX13" s="20"/>
      <c r="KEY13" s="20"/>
      <c r="KEZ13" s="20"/>
      <c r="KFA13" s="20"/>
      <c r="KFB13" s="20"/>
      <c r="KFC13" s="20"/>
      <c r="KFD13" s="20"/>
      <c r="KFE13" s="20"/>
      <c r="KFF13" s="20"/>
      <c r="KFG13" s="20"/>
      <c r="KFH13" s="20"/>
      <c r="KFI13" s="20"/>
      <c r="KFJ13" s="20"/>
      <c r="KFK13" s="20"/>
      <c r="KFL13" s="20"/>
      <c r="KFM13" s="20"/>
      <c r="KFN13" s="20"/>
      <c r="KFO13" s="20"/>
      <c r="KFP13" s="20"/>
      <c r="KFQ13" s="20"/>
      <c r="KFR13" s="20"/>
      <c r="KFS13" s="20"/>
      <c r="KFT13" s="20"/>
      <c r="KFU13" s="20"/>
      <c r="KFV13" s="20"/>
      <c r="KFW13" s="20"/>
      <c r="KFX13" s="20"/>
      <c r="KFY13" s="20"/>
      <c r="KFZ13" s="20"/>
      <c r="KGA13" s="20"/>
      <c r="KGB13" s="20"/>
      <c r="KGC13" s="20"/>
      <c r="KGD13" s="20"/>
      <c r="KGE13" s="20"/>
      <c r="KGF13" s="20"/>
      <c r="KGG13" s="20"/>
      <c r="KGH13" s="20"/>
      <c r="KGI13" s="20"/>
      <c r="KGJ13" s="20"/>
      <c r="KGK13" s="20"/>
      <c r="KGL13" s="20"/>
      <c r="KGM13" s="20"/>
      <c r="KGN13" s="20"/>
      <c r="KGO13" s="20"/>
      <c r="KGP13" s="20"/>
      <c r="KGQ13" s="20"/>
      <c r="KGR13" s="20"/>
      <c r="KGS13" s="20"/>
      <c r="KGT13" s="20"/>
      <c r="KGU13" s="20"/>
      <c r="KGV13" s="20"/>
      <c r="KGW13" s="20"/>
      <c r="KGX13" s="20"/>
      <c r="KGY13" s="20"/>
      <c r="KGZ13" s="20"/>
      <c r="KHA13" s="20"/>
      <c r="KHB13" s="20"/>
      <c r="KHC13" s="20"/>
      <c r="KHD13" s="20"/>
      <c r="KHE13" s="20"/>
      <c r="KHF13" s="20"/>
      <c r="KHG13" s="20"/>
      <c r="KHH13" s="20"/>
      <c r="KHI13" s="20"/>
      <c r="KHJ13" s="20"/>
      <c r="KHK13" s="20"/>
      <c r="KHL13" s="20"/>
      <c r="KHM13" s="20"/>
      <c r="KHN13" s="20"/>
      <c r="KHO13" s="20"/>
      <c r="KHP13" s="20"/>
      <c r="KHQ13" s="20"/>
      <c r="KHR13" s="20"/>
      <c r="KHS13" s="20"/>
      <c r="KHT13" s="20"/>
      <c r="KHU13" s="20"/>
      <c r="KHV13" s="20"/>
      <c r="KHW13" s="20"/>
      <c r="KHX13" s="20"/>
      <c r="KHY13" s="20"/>
      <c r="KHZ13" s="20"/>
      <c r="KIA13" s="20"/>
      <c r="KIB13" s="20"/>
      <c r="KIC13" s="20"/>
      <c r="KID13" s="20"/>
      <c r="KIE13" s="20"/>
      <c r="KIF13" s="20"/>
      <c r="KIG13" s="20"/>
      <c r="KIH13" s="20"/>
      <c r="KII13" s="20"/>
      <c r="KIJ13" s="20"/>
      <c r="KIK13" s="20"/>
      <c r="KIL13" s="20"/>
      <c r="KIM13" s="20"/>
      <c r="KIN13" s="20"/>
      <c r="KIO13" s="20"/>
      <c r="KIP13" s="20"/>
      <c r="KIQ13" s="20"/>
      <c r="KIR13" s="20"/>
      <c r="KIS13" s="20"/>
      <c r="KIT13" s="20"/>
      <c r="KIU13" s="20"/>
      <c r="KIV13" s="20"/>
      <c r="KIW13" s="20"/>
      <c r="KIX13" s="20"/>
      <c r="KIY13" s="20"/>
      <c r="KIZ13" s="20"/>
      <c r="KJA13" s="20"/>
      <c r="KJB13" s="20"/>
      <c r="KJC13" s="20"/>
      <c r="KJD13" s="20"/>
      <c r="KJE13" s="20"/>
      <c r="KJF13" s="20"/>
      <c r="KJG13" s="20"/>
      <c r="KJH13" s="20"/>
      <c r="KJI13" s="20"/>
      <c r="KJJ13" s="20"/>
      <c r="KJK13" s="20"/>
      <c r="KJL13" s="20"/>
      <c r="KJM13" s="20"/>
      <c r="KJN13" s="20"/>
      <c r="KJO13" s="20"/>
      <c r="KJP13" s="20"/>
      <c r="KJQ13" s="20"/>
      <c r="KJR13" s="20"/>
      <c r="KJS13" s="20"/>
      <c r="KJT13" s="20"/>
      <c r="KJU13" s="20"/>
      <c r="KJV13" s="20"/>
      <c r="KJW13" s="20"/>
      <c r="KJX13" s="20"/>
      <c r="KJY13" s="20"/>
      <c r="KJZ13" s="20"/>
      <c r="KKA13" s="20"/>
      <c r="KKB13" s="20"/>
      <c r="KKC13" s="20"/>
      <c r="KKD13" s="20"/>
      <c r="KKE13" s="20"/>
      <c r="KKF13" s="20"/>
      <c r="KKG13" s="20"/>
      <c r="KKH13" s="20"/>
      <c r="KKI13" s="20"/>
      <c r="KKJ13" s="20"/>
      <c r="KKK13" s="20"/>
      <c r="KKL13" s="20"/>
      <c r="KKM13" s="20"/>
      <c r="KKN13" s="20"/>
      <c r="KKO13" s="20"/>
      <c r="KKP13" s="20"/>
      <c r="KKQ13" s="20"/>
      <c r="KKR13" s="20"/>
      <c r="KKS13" s="20"/>
      <c r="KKT13" s="20"/>
      <c r="KKU13" s="20"/>
      <c r="KKV13" s="20"/>
      <c r="KKW13" s="20"/>
      <c r="KKX13" s="20"/>
      <c r="KKY13" s="20"/>
      <c r="KKZ13" s="20"/>
      <c r="KLA13" s="20"/>
      <c r="KLB13" s="20"/>
      <c r="KLC13" s="20"/>
      <c r="KLD13" s="20"/>
      <c r="KLE13" s="20"/>
      <c r="KLF13" s="20"/>
      <c r="KLG13" s="20"/>
      <c r="KLH13" s="20"/>
      <c r="KLI13" s="20"/>
      <c r="KLJ13" s="20"/>
      <c r="KLK13" s="20"/>
      <c r="KLL13" s="20"/>
      <c r="KLM13" s="20"/>
      <c r="KLN13" s="20"/>
      <c r="KLO13" s="20"/>
      <c r="KLP13" s="20"/>
      <c r="KLQ13" s="20"/>
      <c r="KLR13" s="20"/>
      <c r="KLS13" s="20"/>
      <c r="KLT13" s="20"/>
      <c r="KLU13" s="20"/>
      <c r="KLV13" s="20"/>
      <c r="KLW13" s="20"/>
      <c r="KLX13" s="20"/>
      <c r="KLY13" s="20"/>
      <c r="KLZ13" s="20"/>
      <c r="KMA13" s="20"/>
      <c r="KMB13" s="20"/>
      <c r="KMC13" s="20"/>
      <c r="KMD13" s="20"/>
      <c r="KME13" s="20"/>
      <c r="KMF13" s="20"/>
      <c r="KMG13" s="20"/>
      <c r="KMH13" s="20"/>
      <c r="KMI13" s="20"/>
      <c r="KMJ13" s="20"/>
      <c r="KMK13" s="20"/>
      <c r="KML13" s="20"/>
      <c r="KMM13" s="20"/>
      <c r="KMN13" s="20"/>
      <c r="KMO13" s="20"/>
      <c r="KMP13" s="20"/>
      <c r="KMQ13" s="20"/>
      <c r="KMR13" s="20"/>
      <c r="KMS13" s="20"/>
      <c r="KMT13" s="20"/>
      <c r="KMU13" s="20"/>
      <c r="KMV13" s="20"/>
      <c r="KMW13" s="20"/>
      <c r="KMX13" s="20"/>
      <c r="KMY13" s="20"/>
      <c r="KMZ13" s="20"/>
      <c r="KNA13" s="20"/>
      <c r="KNB13" s="20"/>
      <c r="KNC13" s="20"/>
      <c r="KND13" s="20"/>
      <c r="KNE13" s="20"/>
      <c r="KNF13" s="20"/>
      <c r="KNG13" s="20"/>
      <c r="KNH13" s="20"/>
      <c r="KNI13" s="20"/>
      <c r="KNJ13" s="20"/>
      <c r="KNK13" s="20"/>
      <c r="KNL13" s="20"/>
      <c r="KNM13" s="20"/>
      <c r="KNN13" s="20"/>
      <c r="KNO13" s="20"/>
      <c r="KNP13" s="20"/>
      <c r="KNQ13" s="20"/>
      <c r="KNR13" s="20"/>
      <c r="KNS13" s="20"/>
      <c r="KNT13" s="20"/>
      <c r="KNU13" s="20"/>
      <c r="KNV13" s="20"/>
      <c r="KNW13" s="20"/>
      <c r="KNX13" s="20"/>
      <c r="KNY13" s="20"/>
      <c r="KNZ13" s="20"/>
      <c r="KOA13" s="20"/>
      <c r="KOB13" s="20"/>
      <c r="KOC13" s="20"/>
      <c r="KOD13" s="20"/>
      <c r="KOE13" s="20"/>
      <c r="KOF13" s="20"/>
      <c r="KOG13" s="20"/>
      <c r="KOH13" s="20"/>
      <c r="KOI13" s="20"/>
      <c r="KOJ13" s="20"/>
      <c r="KOK13" s="20"/>
      <c r="KOL13" s="20"/>
      <c r="KOM13" s="20"/>
      <c r="KON13" s="20"/>
      <c r="KOO13" s="20"/>
      <c r="KOP13" s="20"/>
      <c r="KOQ13" s="20"/>
      <c r="KOR13" s="20"/>
      <c r="KOS13" s="20"/>
      <c r="KOT13" s="20"/>
      <c r="KOU13" s="20"/>
      <c r="KOV13" s="20"/>
      <c r="KOW13" s="20"/>
      <c r="KOX13" s="20"/>
      <c r="KOY13" s="20"/>
      <c r="KOZ13" s="20"/>
      <c r="KPA13" s="20"/>
      <c r="KPB13" s="20"/>
      <c r="KPC13" s="20"/>
      <c r="KPD13" s="20"/>
      <c r="KPE13" s="20"/>
      <c r="KPF13" s="20"/>
      <c r="KPG13" s="20"/>
      <c r="KPH13" s="20"/>
      <c r="KPI13" s="20"/>
      <c r="KPJ13" s="20"/>
      <c r="KPK13" s="20"/>
      <c r="KPL13" s="20"/>
      <c r="KPM13" s="20"/>
      <c r="KPN13" s="20"/>
      <c r="KPO13" s="20"/>
      <c r="KPP13" s="20"/>
      <c r="KPQ13" s="20"/>
      <c r="KPR13" s="20"/>
      <c r="KPS13" s="20"/>
      <c r="KPT13" s="20"/>
      <c r="KPU13" s="20"/>
      <c r="KPV13" s="20"/>
      <c r="KPW13" s="20"/>
      <c r="KPX13" s="20"/>
      <c r="KPY13" s="20"/>
      <c r="KPZ13" s="20"/>
      <c r="KQA13" s="20"/>
      <c r="KQB13" s="20"/>
      <c r="KQC13" s="20"/>
      <c r="KQD13" s="20"/>
      <c r="KQE13" s="20"/>
      <c r="KQF13" s="20"/>
      <c r="KQG13" s="20"/>
      <c r="KQH13" s="20"/>
      <c r="KQI13" s="20"/>
      <c r="KQJ13" s="20"/>
      <c r="KQK13" s="20"/>
      <c r="KQL13" s="20"/>
      <c r="KQM13" s="20"/>
      <c r="KQN13" s="20"/>
      <c r="KQO13" s="20"/>
      <c r="KQP13" s="20"/>
      <c r="KQQ13" s="20"/>
      <c r="KQR13" s="20"/>
      <c r="KQS13" s="20"/>
      <c r="KQT13" s="20"/>
      <c r="KQU13" s="20"/>
      <c r="KQV13" s="20"/>
      <c r="KQW13" s="20"/>
      <c r="KQX13" s="20"/>
      <c r="KQY13" s="20"/>
      <c r="KQZ13" s="20"/>
      <c r="KRA13" s="20"/>
      <c r="KRB13" s="20"/>
      <c r="KRC13" s="20"/>
      <c r="KRD13" s="20"/>
      <c r="KRE13" s="20"/>
      <c r="KRF13" s="20"/>
      <c r="KRG13" s="20"/>
      <c r="KRH13" s="20"/>
      <c r="KRI13" s="20"/>
      <c r="KRJ13" s="20"/>
      <c r="KRK13" s="20"/>
      <c r="KRL13" s="20"/>
      <c r="KRM13" s="20"/>
      <c r="KRN13" s="20"/>
      <c r="KRO13" s="20"/>
      <c r="KRP13" s="20"/>
      <c r="KRQ13" s="20"/>
      <c r="KRR13" s="20"/>
      <c r="KRS13" s="20"/>
      <c r="KRT13" s="20"/>
      <c r="KRU13" s="20"/>
      <c r="KRV13" s="20"/>
      <c r="KRW13" s="20"/>
      <c r="KRX13" s="20"/>
      <c r="KRY13" s="20"/>
      <c r="KRZ13" s="20"/>
      <c r="KSA13" s="20"/>
      <c r="KSB13" s="20"/>
      <c r="KSC13" s="20"/>
      <c r="KSD13" s="20"/>
      <c r="KSE13" s="20"/>
      <c r="KSF13" s="20"/>
      <c r="KSG13" s="20"/>
      <c r="KSH13" s="20"/>
      <c r="KSI13" s="20"/>
      <c r="KSJ13" s="20"/>
      <c r="KSK13" s="20"/>
      <c r="KSL13" s="20"/>
      <c r="KSM13" s="20"/>
      <c r="KSN13" s="20"/>
      <c r="KSO13" s="20"/>
      <c r="KSP13" s="20"/>
      <c r="KSQ13" s="20"/>
      <c r="KSR13" s="20"/>
      <c r="KSS13" s="20"/>
      <c r="KST13" s="20"/>
      <c r="KSU13" s="20"/>
      <c r="KSV13" s="20"/>
      <c r="KSW13" s="20"/>
      <c r="KSX13" s="20"/>
      <c r="KSY13" s="20"/>
      <c r="KSZ13" s="20"/>
      <c r="KTA13" s="20"/>
      <c r="KTB13" s="20"/>
      <c r="KTC13" s="20"/>
      <c r="KTD13" s="20"/>
      <c r="KTE13" s="20"/>
      <c r="KTF13" s="20"/>
      <c r="KTG13" s="20"/>
      <c r="KTH13" s="20"/>
      <c r="KTI13" s="20"/>
      <c r="KTJ13" s="20"/>
      <c r="KTK13" s="20"/>
      <c r="KTL13" s="20"/>
      <c r="KTM13" s="20"/>
      <c r="KTN13" s="20"/>
      <c r="KTO13" s="20"/>
      <c r="KTP13" s="20"/>
      <c r="KTQ13" s="20"/>
      <c r="KTR13" s="20"/>
      <c r="KTS13" s="20"/>
      <c r="KTT13" s="20"/>
      <c r="KTU13" s="20"/>
      <c r="KTV13" s="20"/>
      <c r="KTW13" s="20"/>
      <c r="KTX13" s="20"/>
      <c r="KTY13" s="20"/>
      <c r="KTZ13" s="20"/>
      <c r="KUA13" s="20"/>
      <c r="KUB13" s="20"/>
      <c r="KUC13" s="20"/>
      <c r="KUD13" s="20"/>
      <c r="KUE13" s="20"/>
      <c r="KUF13" s="20"/>
      <c r="KUG13" s="20"/>
      <c r="KUH13" s="20"/>
      <c r="KUI13" s="20"/>
      <c r="KUJ13" s="20"/>
      <c r="KUK13" s="20"/>
      <c r="KUL13" s="20"/>
      <c r="KUM13" s="20"/>
      <c r="KUN13" s="20"/>
      <c r="KUO13" s="20"/>
      <c r="KUP13" s="20"/>
      <c r="KUQ13" s="20"/>
      <c r="KUR13" s="20"/>
      <c r="KUS13" s="20"/>
      <c r="KUT13" s="20"/>
      <c r="KUU13" s="20"/>
      <c r="KUV13" s="20"/>
      <c r="KUW13" s="20"/>
      <c r="KUX13" s="20"/>
      <c r="KUY13" s="20"/>
      <c r="KUZ13" s="20"/>
      <c r="KVA13" s="20"/>
      <c r="KVB13" s="20"/>
      <c r="KVC13" s="20"/>
      <c r="KVD13" s="20"/>
      <c r="KVE13" s="20"/>
      <c r="KVF13" s="20"/>
      <c r="KVG13" s="20"/>
      <c r="KVH13" s="20"/>
      <c r="KVI13" s="20"/>
      <c r="KVJ13" s="20"/>
      <c r="KVK13" s="20"/>
      <c r="KVL13" s="20"/>
      <c r="KVM13" s="20"/>
      <c r="KVN13" s="20"/>
      <c r="KVO13" s="20"/>
      <c r="KVP13" s="20"/>
      <c r="KVQ13" s="20"/>
      <c r="KVR13" s="20"/>
      <c r="KVS13" s="20"/>
      <c r="KVT13" s="20"/>
      <c r="KVU13" s="20"/>
      <c r="KVV13" s="20"/>
      <c r="KVW13" s="20"/>
      <c r="KVX13" s="20"/>
      <c r="KVY13" s="20"/>
      <c r="KVZ13" s="20"/>
      <c r="KWA13" s="20"/>
      <c r="KWB13" s="20"/>
      <c r="KWC13" s="20"/>
      <c r="KWD13" s="20"/>
      <c r="KWE13" s="20"/>
      <c r="KWF13" s="20"/>
      <c r="KWG13" s="20"/>
      <c r="KWH13" s="20"/>
      <c r="KWI13" s="20"/>
      <c r="KWJ13" s="20"/>
      <c r="KWK13" s="20"/>
      <c r="KWL13" s="20"/>
      <c r="KWM13" s="20"/>
      <c r="KWN13" s="20"/>
      <c r="KWO13" s="20"/>
      <c r="KWP13" s="20"/>
      <c r="KWQ13" s="20"/>
      <c r="KWR13" s="20"/>
      <c r="KWS13" s="20"/>
      <c r="KWT13" s="20"/>
      <c r="KWU13" s="20"/>
      <c r="KWV13" s="20"/>
      <c r="KWW13" s="20"/>
      <c r="KWX13" s="20"/>
      <c r="KWY13" s="20"/>
      <c r="KWZ13" s="20"/>
      <c r="KXA13" s="20"/>
      <c r="KXB13" s="20"/>
      <c r="KXC13" s="20"/>
      <c r="KXD13" s="20"/>
      <c r="KXE13" s="20"/>
      <c r="KXF13" s="20"/>
      <c r="KXG13" s="20"/>
      <c r="KXH13" s="20"/>
      <c r="KXI13" s="20"/>
      <c r="KXJ13" s="20"/>
      <c r="KXK13" s="20"/>
      <c r="KXL13" s="20"/>
      <c r="KXM13" s="20"/>
      <c r="KXN13" s="20"/>
      <c r="KXO13" s="20"/>
      <c r="KXP13" s="20"/>
      <c r="KXQ13" s="20"/>
      <c r="KXR13" s="20"/>
      <c r="KXS13" s="20"/>
      <c r="KXT13" s="20"/>
      <c r="KXU13" s="20"/>
      <c r="KXV13" s="20"/>
      <c r="KXW13" s="20"/>
      <c r="KXX13" s="20"/>
      <c r="KXY13" s="20"/>
      <c r="KXZ13" s="20"/>
      <c r="KYA13" s="20"/>
      <c r="KYB13" s="20"/>
      <c r="KYC13" s="20"/>
      <c r="KYD13" s="20"/>
      <c r="KYE13" s="20"/>
      <c r="KYF13" s="20"/>
      <c r="KYG13" s="20"/>
      <c r="KYH13" s="20"/>
      <c r="KYI13" s="20"/>
      <c r="KYJ13" s="20"/>
      <c r="KYK13" s="20"/>
      <c r="KYL13" s="20"/>
      <c r="KYM13" s="20"/>
      <c r="KYN13" s="20"/>
      <c r="KYO13" s="20"/>
      <c r="KYP13" s="20"/>
      <c r="KYQ13" s="20"/>
      <c r="KYR13" s="20"/>
      <c r="KYS13" s="20"/>
      <c r="KYT13" s="20"/>
      <c r="KYU13" s="20"/>
      <c r="KYV13" s="20"/>
      <c r="KYW13" s="20"/>
      <c r="KYX13" s="20"/>
      <c r="KYY13" s="20"/>
      <c r="KYZ13" s="20"/>
      <c r="KZA13" s="20"/>
      <c r="KZB13" s="20"/>
      <c r="KZC13" s="20"/>
      <c r="KZD13" s="20"/>
      <c r="KZE13" s="20"/>
      <c r="KZF13" s="20"/>
      <c r="KZG13" s="20"/>
      <c r="KZH13" s="20"/>
      <c r="KZI13" s="20"/>
      <c r="KZJ13" s="20"/>
      <c r="KZK13" s="20"/>
      <c r="KZL13" s="20"/>
      <c r="KZM13" s="20"/>
      <c r="KZN13" s="20"/>
      <c r="KZO13" s="20"/>
      <c r="KZP13" s="20"/>
      <c r="KZQ13" s="20"/>
      <c r="KZR13" s="20"/>
      <c r="KZS13" s="20"/>
      <c r="KZT13" s="20"/>
      <c r="KZU13" s="20"/>
      <c r="KZV13" s="20"/>
      <c r="KZW13" s="20"/>
      <c r="KZX13" s="20"/>
      <c r="KZY13" s="20"/>
      <c r="KZZ13" s="20"/>
      <c r="LAA13" s="20"/>
      <c r="LAB13" s="20"/>
      <c r="LAC13" s="20"/>
      <c r="LAD13" s="20"/>
      <c r="LAE13" s="20"/>
      <c r="LAF13" s="20"/>
      <c r="LAG13" s="20"/>
      <c r="LAH13" s="20"/>
      <c r="LAI13" s="20"/>
      <c r="LAJ13" s="20"/>
      <c r="LAK13" s="20"/>
      <c r="LAL13" s="20"/>
      <c r="LAM13" s="20"/>
      <c r="LAN13" s="20"/>
      <c r="LAO13" s="20"/>
      <c r="LAP13" s="20"/>
      <c r="LAQ13" s="20"/>
      <c r="LAR13" s="20"/>
      <c r="LAS13" s="20"/>
      <c r="LAT13" s="20"/>
      <c r="LAU13" s="20"/>
      <c r="LAV13" s="20"/>
      <c r="LAW13" s="20"/>
      <c r="LAX13" s="20"/>
      <c r="LAY13" s="20"/>
      <c r="LAZ13" s="20"/>
      <c r="LBA13" s="20"/>
      <c r="LBB13" s="20"/>
      <c r="LBC13" s="20"/>
      <c r="LBD13" s="20"/>
      <c r="LBE13" s="20"/>
      <c r="LBF13" s="20"/>
      <c r="LBG13" s="20"/>
      <c r="LBH13" s="20"/>
      <c r="LBI13" s="20"/>
      <c r="LBJ13" s="20"/>
      <c r="LBK13" s="20"/>
      <c r="LBL13" s="20"/>
      <c r="LBM13" s="20"/>
      <c r="LBN13" s="20"/>
      <c r="LBO13" s="20"/>
      <c r="LBP13" s="20"/>
      <c r="LBQ13" s="20"/>
      <c r="LBR13" s="20"/>
      <c r="LBS13" s="20"/>
      <c r="LBT13" s="20"/>
      <c r="LBU13" s="20"/>
      <c r="LBV13" s="20"/>
      <c r="LBW13" s="20"/>
      <c r="LBX13" s="20"/>
      <c r="LBY13" s="20"/>
      <c r="LBZ13" s="20"/>
      <c r="LCA13" s="20"/>
      <c r="LCB13" s="20"/>
      <c r="LCC13" s="20"/>
      <c r="LCD13" s="20"/>
      <c r="LCE13" s="20"/>
      <c r="LCF13" s="20"/>
      <c r="LCG13" s="20"/>
      <c r="LCH13" s="20"/>
      <c r="LCI13" s="20"/>
      <c r="LCJ13" s="20"/>
      <c r="LCK13" s="20"/>
      <c r="LCL13" s="20"/>
      <c r="LCM13" s="20"/>
      <c r="LCN13" s="20"/>
      <c r="LCO13" s="20"/>
      <c r="LCP13" s="20"/>
      <c r="LCQ13" s="20"/>
      <c r="LCR13" s="20"/>
      <c r="LCS13" s="20"/>
      <c r="LCT13" s="20"/>
      <c r="LCU13" s="20"/>
      <c r="LCV13" s="20"/>
      <c r="LCW13" s="20"/>
      <c r="LCX13" s="20"/>
      <c r="LCY13" s="20"/>
      <c r="LCZ13" s="20"/>
      <c r="LDA13" s="20"/>
      <c r="LDB13" s="20"/>
      <c r="LDC13" s="20"/>
      <c r="LDD13" s="20"/>
      <c r="LDE13" s="20"/>
      <c r="LDF13" s="20"/>
      <c r="LDG13" s="20"/>
      <c r="LDH13" s="20"/>
      <c r="LDI13" s="20"/>
      <c r="LDJ13" s="20"/>
      <c r="LDK13" s="20"/>
      <c r="LDL13" s="20"/>
      <c r="LDM13" s="20"/>
      <c r="LDN13" s="20"/>
      <c r="LDO13" s="20"/>
      <c r="LDP13" s="20"/>
      <c r="LDQ13" s="20"/>
      <c r="LDR13" s="20"/>
      <c r="LDS13" s="20"/>
      <c r="LDT13" s="20"/>
      <c r="LDU13" s="20"/>
      <c r="LDV13" s="20"/>
      <c r="LDW13" s="20"/>
      <c r="LDX13" s="20"/>
      <c r="LDY13" s="20"/>
      <c r="LDZ13" s="20"/>
      <c r="LEA13" s="20"/>
      <c r="LEB13" s="20"/>
      <c r="LEC13" s="20"/>
      <c r="LED13" s="20"/>
      <c r="LEE13" s="20"/>
      <c r="LEF13" s="20"/>
      <c r="LEG13" s="20"/>
      <c r="LEH13" s="20"/>
      <c r="LEI13" s="20"/>
      <c r="LEJ13" s="20"/>
      <c r="LEK13" s="20"/>
      <c r="LEL13" s="20"/>
      <c r="LEM13" s="20"/>
      <c r="LEN13" s="20"/>
      <c r="LEO13" s="20"/>
      <c r="LEP13" s="20"/>
      <c r="LEQ13" s="20"/>
      <c r="LER13" s="20"/>
      <c r="LES13" s="20"/>
      <c r="LET13" s="20"/>
      <c r="LEU13" s="20"/>
      <c r="LEV13" s="20"/>
      <c r="LEW13" s="20"/>
      <c r="LEX13" s="20"/>
      <c r="LEY13" s="20"/>
      <c r="LEZ13" s="20"/>
      <c r="LFA13" s="20"/>
      <c r="LFB13" s="20"/>
      <c r="LFC13" s="20"/>
      <c r="LFD13" s="20"/>
      <c r="LFE13" s="20"/>
      <c r="LFF13" s="20"/>
      <c r="LFG13" s="20"/>
      <c r="LFH13" s="20"/>
      <c r="LFI13" s="20"/>
      <c r="LFJ13" s="20"/>
      <c r="LFK13" s="20"/>
      <c r="LFL13" s="20"/>
      <c r="LFM13" s="20"/>
      <c r="LFN13" s="20"/>
      <c r="LFO13" s="20"/>
      <c r="LFP13" s="20"/>
      <c r="LFQ13" s="20"/>
      <c r="LFR13" s="20"/>
      <c r="LFS13" s="20"/>
      <c r="LFT13" s="20"/>
      <c r="LFU13" s="20"/>
      <c r="LFV13" s="20"/>
      <c r="LFW13" s="20"/>
      <c r="LFX13" s="20"/>
      <c r="LFY13" s="20"/>
      <c r="LFZ13" s="20"/>
      <c r="LGA13" s="20"/>
      <c r="LGB13" s="20"/>
      <c r="LGC13" s="20"/>
      <c r="LGD13" s="20"/>
      <c r="LGE13" s="20"/>
      <c r="LGF13" s="20"/>
      <c r="LGG13" s="20"/>
      <c r="LGH13" s="20"/>
      <c r="LGI13" s="20"/>
      <c r="LGJ13" s="20"/>
      <c r="LGK13" s="20"/>
      <c r="LGL13" s="20"/>
      <c r="LGM13" s="20"/>
      <c r="LGN13" s="20"/>
      <c r="LGO13" s="20"/>
      <c r="LGP13" s="20"/>
      <c r="LGQ13" s="20"/>
      <c r="LGR13" s="20"/>
      <c r="LGS13" s="20"/>
      <c r="LGT13" s="20"/>
      <c r="LGU13" s="20"/>
      <c r="LGV13" s="20"/>
      <c r="LGW13" s="20"/>
      <c r="LGX13" s="20"/>
      <c r="LGY13" s="20"/>
      <c r="LGZ13" s="20"/>
      <c r="LHA13" s="20"/>
      <c r="LHB13" s="20"/>
      <c r="LHC13" s="20"/>
      <c r="LHD13" s="20"/>
      <c r="LHE13" s="20"/>
      <c r="LHF13" s="20"/>
      <c r="LHG13" s="20"/>
      <c r="LHH13" s="20"/>
      <c r="LHI13" s="20"/>
      <c r="LHJ13" s="20"/>
      <c r="LHK13" s="20"/>
      <c r="LHL13" s="20"/>
      <c r="LHM13" s="20"/>
      <c r="LHN13" s="20"/>
      <c r="LHO13" s="20"/>
      <c r="LHP13" s="20"/>
      <c r="LHQ13" s="20"/>
      <c r="LHR13" s="20"/>
      <c r="LHS13" s="20"/>
      <c r="LHT13" s="20"/>
      <c r="LHU13" s="20"/>
      <c r="LHV13" s="20"/>
      <c r="LHW13" s="20"/>
      <c r="LHX13" s="20"/>
      <c r="LHY13" s="20"/>
      <c r="LHZ13" s="20"/>
      <c r="LIA13" s="20"/>
      <c r="LIB13" s="20"/>
      <c r="LIC13" s="20"/>
      <c r="LID13" s="20"/>
      <c r="LIE13" s="20"/>
      <c r="LIF13" s="20"/>
      <c r="LIG13" s="20"/>
      <c r="LIH13" s="20"/>
      <c r="LII13" s="20"/>
      <c r="LIJ13" s="20"/>
      <c r="LIK13" s="20"/>
      <c r="LIL13" s="20"/>
      <c r="LIM13" s="20"/>
      <c r="LIN13" s="20"/>
      <c r="LIO13" s="20"/>
      <c r="LIP13" s="20"/>
      <c r="LIQ13" s="20"/>
      <c r="LIR13" s="20"/>
      <c r="LIS13" s="20"/>
      <c r="LIT13" s="20"/>
      <c r="LIU13" s="20"/>
      <c r="LIV13" s="20"/>
      <c r="LIW13" s="20"/>
      <c r="LIX13" s="20"/>
      <c r="LIY13" s="20"/>
      <c r="LIZ13" s="20"/>
      <c r="LJA13" s="20"/>
      <c r="LJB13" s="20"/>
      <c r="LJC13" s="20"/>
      <c r="LJD13" s="20"/>
      <c r="LJE13" s="20"/>
      <c r="LJF13" s="20"/>
      <c r="LJG13" s="20"/>
      <c r="LJH13" s="20"/>
      <c r="LJI13" s="20"/>
      <c r="LJJ13" s="20"/>
      <c r="LJK13" s="20"/>
      <c r="LJL13" s="20"/>
      <c r="LJM13" s="20"/>
      <c r="LJN13" s="20"/>
      <c r="LJO13" s="20"/>
      <c r="LJP13" s="20"/>
      <c r="LJQ13" s="20"/>
      <c r="LJR13" s="20"/>
      <c r="LJS13" s="20"/>
      <c r="LJT13" s="20"/>
      <c r="LJU13" s="20"/>
      <c r="LJV13" s="20"/>
      <c r="LJW13" s="20"/>
      <c r="LJX13" s="20"/>
      <c r="LJY13" s="20"/>
      <c r="LJZ13" s="20"/>
      <c r="LKA13" s="20"/>
      <c r="LKB13" s="20"/>
      <c r="LKC13" s="20"/>
      <c r="LKD13" s="20"/>
      <c r="LKE13" s="20"/>
      <c r="LKF13" s="20"/>
      <c r="LKG13" s="20"/>
      <c r="LKH13" s="20"/>
      <c r="LKI13" s="20"/>
      <c r="LKJ13" s="20"/>
      <c r="LKK13" s="20"/>
      <c r="LKL13" s="20"/>
      <c r="LKM13" s="20"/>
      <c r="LKN13" s="20"/>
      <c r="LKO13" s="20"/>
      <c r="LKP13" s="20"/>
      <c r="LKQ13" s="20"/>
      <c r="LKR13" s="20"/>
      <c r="LKS13" s="20"/>
      <c r="LKT13" s="20"/>
      <c r="LKU13" s="20"/>
      <c r="LKV13" s="20"/>
      <c r="LKW13" s="20"/>
      <c r="LKX13" s="20"/>
      <c r="LKY13" s="20"/>
      <c r="LKZ13" s="20"/>
      <c r="LLA13" s="20"/>
      <c r="LLB13" s="20"/>
      <c r="LLC13" s="20"/>
      <c r="LLD13" s="20"/>
      <c r="LLE13" s="20"/>
      <c r="LLF13" s="20"/>
      <c r="LLG13" s="20"/>
      <c r="LLH13" s="20"/>
      <c r="LLI13" s="20"/>
      <c r="LLJ13" s="20"/>
      <c r="LLK13" s="20"/>
      <c r="LLL13" s="20"/>
      <c r="LLM13" s="20"/>
      <c r="LLN13" s="20"/>
      <c r="LLO13" s="20"/>
      <c r="LLP13" s="20"/>
      <c r="LLQ13" s="20"/>
      <c r="LLR13" s="20"/>
      <c r="LLS13" s="20"/>
      <c r="LLT13" s="20"/>
      <c r="LLU13" s="20"/>
      <c r="LLV13" s="20"/>
      <c r="LLW13" s="20"/>
      <c r="LLX13" s="20"/>
      <c r="LLY13" s="20"/>
      <c r="LLZ13" s="20"/>
      <c r="LMA13" s="20"/>
      <c r="LMB13" s="20"/>
      <c r="LMC13" s="20"/>
      <c r="LMD13" s="20"/>
      <c r="LME13" s="20"/>
      <c r="LMF13" s="20"/>
      <c r="LMG13" s="20"/>
      <c r="LMH13" s="20"/>
      <c r="LMI13" s="20"/>
      <c r="LMJ13" s="20"/>
      <c r="LMK13" s="20"/>
      <c r="LML13" s="20"/>
      <c r="LMM13" s="20"/>
      <c r="LMN13" s="20"/>
      <c r="LMO13" s="20"/>
      <c r="LMP13" s="20"/>
      <c r="LMQ13" s="20"/>
      <c r="LMR13" s="20"/>
      <c r="LMS13" s="20"/>
      <c r="LMT13" s="20"/>
      <c r="LMU13" s="20"/>
      <c r="LMV13" s="20"/>
      <c r="LMW13" s="20"/>
      <c r="LMX13" s="20"/>
      <c r="LMY13" s="20"/>
      <c r="LMZ13" s="20"/>
      <c r="LNA13" s="20"/>
      <c r="LNB13" s="20"/>
      <c r="LNC13" s="20"/>
      <c r="LND13" s="20"/>
      <c r="LNE13" s="20"/>
      <c r="LNF13" s="20"/>
      <c r="LNG13" s="20"/>
      <c r="LNH13" s="20"/>
      <c r="LNI13" s="20"/>
      <c r="LNJ13" s="20"/>
      <c r="LNK13" s="20"/>
      <c r="LNL13" s="20"/>
      <c r="LNM13" s="20"/>
      <c r="LNN13" s="20"/>
      <c r="LNO13" s="20"/>
      <c r="LNP13" s="20"/>
      <c r="LNQ13" s="20"/>
      <c r="LNR13" s="20"/>
      <c r="LNS13" s="20"/>
      <c r="LNT13" s="20"/>
      <c r="LNU13" s="20"/>
      <c r="LNV13" s="20"/>
      <c r="LNW13" s="20"/>
      <c r="LNX13" s="20"/>
      <c r="LNY13" s="20"/>
      <c r="LNZ13" s="20"/>
      <c r="LOA13" s="20"/>
      <c r="LOB13" s="20"/>
      <c r="LOC13" s="20"/>
      <c r="LOD13" s="20"/>
      <c r="LOE13" s="20"/>
      <c r="LOF13" s="20"/>
      <c r="LOG13" s="20"/>
      <c r="LOH13" s="20"/>
      <c r="LOI13" s="20"/>
      <c r="LOJ13" s="20"/>
      <c r="LOK13" s="20"/>
      <c r="LOL13" s="20"/>
      <c r="LOM13" s="20"/>
      <c r="LON13" s="20"/>
      <c r="LOO13" s="20"/>
      <c r="LOP13" s="20"/>
      <c r="LOQ13" s="20"/>
      <c r="LOR13" s="20"/>
      <c r="LOS13" s="20"/>
      <c r="LOT13" s="20"/>
      <c r="LOU13" s="20"/>
      <c r="LOV13" s="20"/>
      <c r="LOW13" s="20"/>
      <c r="LOX13" s="20"/>
      <c r="LOY13" s="20"/>
      <c r="LOZ13" s="20"/>
      <c r="LPA13" s="20"/>
      <c r="LPB13" s="20"/>
      <c r="LPC13" s="20"/>
      <c r="LPD13" s="20"/>
      <c r="LPE13" s="20"/>
      <c r="LPF13" s="20"/>
      <c r="LPG13" s="20"/>
      <c r="LPH13" s="20"/>
      <c r="LPI13" s="20"/>
      <c r="LPJ13" s="20"/>
      <c r="LPK13" s="20"/>
      <c r="LPL13" s="20"/>
      <c r="LPM13" s="20"/>
      <c r="LPN13" s="20"/>
      <c r="LPO13" s="20"/>
      <c r="LPP13" s="20"/>
      <c r="LPQ13" s="20"/>
      <c r="LPR13" s="20"/>
      <c r="LPS13" s="20"/>
      <c r="LPT13" s="20"/>
      <c r="LPU13" s="20"/>
      <c r="LPV13" s="20"/>
      <c r="LPW13" s="20"/>
      <c r="LPX13" s="20"/>
      <c r="LPY13" s="20"/>
      <c r="LPZ13" s="20"/>
      <c r="LQA13" s="20"/>
      <c r="LQB13" s="20"/>
      <c r="LQC13" s="20"/>
      <c r="LQD13" s="20"/>
      <c r="LQE13" s="20"/>
      <c r="LQF13" s="20"/>
      <c r="LQG13" s="20"/>
      <c r="LQH13" s="20"/>
      <c r="LQI13" s="20"/>
      <c r="LQJ13" s="20"/>
      <c r="LQK13" s="20"/>
      <c r="LQL13" s="20"/>
      <c r="LQM13" s="20"/>
      <c r="LQN13" s="20"/>
      <c r="LQO13" s="20"/>
      <c r="LQP13" s="20"/>
      <c r="LQQ13" s="20"/>
      <c r="LQR13" s="20"/>
      <c r="LQS13" s="20"/>
      <c r="LQT13" s="20"/>
      <c r="LQU13" s="20"/>
      <c r="LQV13" s="20"/>
      <c r="LQW13" s="20"/>
      <c r="LQX13" s="20"/>
      <c r="LQY13" s="20"/>
      <c r="LQZ13" s="20"/>
      <c r="LRA13" s="20"/>
      <c r="LRB13" s="20"/>
      <c r="LRC13" s="20"/>
      <c r="LRD13" s="20"/>
      <c r="LRE13" s="20"/>
      <c r="LRF13" s="20"/>
      <c r="LRG13" s="20"/>
      <c r="LRH13" s="20"/>
      <c r="LRI13" s="20"/>
      <c r="LRJ13" s="20"/>
      <c r="LRK13" s="20"/>
      <c r="LRL13" s="20"/>
      <c r="LRM13" s="20"/>
      <c r="LRN13" s="20"/>
      <c r="LRO13" s="20"/>
      <c r="LRP13" s="20"/>
      <c r="LRQ13" s="20"/>
      <c r="LRR13" s="20"/>
      <c r="LRS13" s="20"/>
      <c r="LRT13" s="20"/>
      <c r="LRU13" s="20"/>
      <c r="LRV13" s="20"/>
      <c r="LRW13" s="20"/>
      <c r="LRX13" s="20"/>
      <c r="LRY13" s="20"/>
      <c r="LRZ13" s="20"/>
      <c r="LSA13" s="20"/>
      <c r="LSB13" s="20"/>
      <c r="LSC13" s="20"/>
      <c r="LSD13" s="20"/>
      <c r="LSE13" s="20"/>
      <c r="LSF13" s="20"/>
      <c r="LSG13" s="20"/>
      <c r="LSH13" s="20"/>
      <c r="LSI13" s="20"/>
      <c r="LSJ13" s="20"/>
      <c r="LSK13" s="20"/>
      <c r="LSL13" s="20"/>
      <c r="LSM13" s="20"/>
      <c r="LSN13" s="20"/>
      <c r="LSO13" s="20"/>
      <c r="LSP13" s="20"/>
      <c r="LSQ13" s="20"/>
      <c r="LSR13" s="20"/>
      <c r="LSS13" s="20"/>
      <c r="LST13" s="20"/>
      <c r="LSU13" s="20"/>
      <c r="LSV13" s="20"/>
      <c r="LSW13" s="20"/>
      <c r="LSX13" s="20"/>
      <c r="LSY13" s="20"/>
      <c r="LSZ13" s="20"/>
      <c r="LTA13" s="20"/>
      <c r="LTB13" s="20"/>
      <c r="LTC13" s="20"/>
      <c r="LTD13" s="20"/>
      <c r="LTE13" s="20"/>
      <c r="LTF13" s="20"/>
      <c r="LTG13" s="20"/>
      <c r="LTH13" s="20"/>
      <c r="LTI13" s="20"/>
      <c r="LTJ13" s="20"/>
      <c r="LTK13" s="20"/>
      <c r="LTL13" s="20"/>
      <c r="LTM13" s="20"/>
      <c r="LTN13" s="20"/>
      <c r="LTO13" s="20"/>
      <c r="LTP13" s="20"/>
      <c r="LTQ13" s="20"/>
      <c r="LTR13" s="20"/>
      <c r="LTS13" s="20"/>
      <c r="LTT13" s="20"/>
      <c r="LTU13" s="20"/>
      <c r="LTV13" s="20"/>
      <c r="LTW13" s="20"/>
      <c r="LTX13" s="20"/>
      <c r="LTY13" s="20"/>
      <c r="LTZ13" s="20"/>
      <c r="LUA13" s="20"/>
      <c r="LUB13" s="20"/>
      <c r="LUC13" s="20"/>
      <c r="LUD13" s="20"/>
      <c r="LUE13" s="20"/>
      <c r="LUF13" s="20"/>
      <c r="LUG13" s="20"/>
      <c r="LUH13" s="20"/>
      <c r="LUI13" s="20"/>
      <c r="LUJ13" s="20"/>
      <c r="LUK13" s="20"/>
      <c r="LUL13" s="20"/>
      <c r="LUM13" s="20"/>
      <c r="LUN13" s="20"/>
      <c r="LUO13" s="20"/>
      <c r="LUP13" s="20"/>
      <c r="LUQ13" s="20"/>
      <c r="LUR13" s="20"/>
      <c r="LUS13" s="20"/>
      <c r="LUT13" s="20"/>
      <c r="LUU13" s="20"/>
      <c r="LUV13" s="20"/>
      <c r="LUW13" s="20"/>
      <c r="LUX13" s="20"/>
      <c r="LUY13" s="20"/>
      <c r="LUZ13" s="20"/>
      <c r="LVA13" s="20"/>
      <c r="LVB13" s="20"/>
      <c r="LVC13" s="20"/>
      <c r="LVD13" s="20"/>
      <c r="LVE13" s="20"/>
      <c r="LVF13" s="20"/>
      <c r="LVG13" s="20"/>
      <c r="LVH13" s="20"/>
      <c r="LVI13" s="20"/>
      <c r="LVJ13" s="20"/>
      <c r="LVK13" s="20"/>
      <c r="LVL13" s="20"/>
      <c r="LVM13" s="20"/>
      <c r="LVN13" s="20"/>
      <c r="LVO13" s="20"/>
      <c r="LVP13" s="20"/>
      <c r="LVQ13" s="20"/>
      <c r="LVR13" s="20"/>
      <c r="LVS13" s="20"/>
      <c r="LVT13" s="20"/>
      <c r="LVU13" s="20"/>
      <c r="LVV13" s="20"/>
      <c r="LVW13" s="20"/>
      <c r="LVX13" s="20"/>
      <c r="LVY13" s="20"/>
      <c r="LVZ13" s="20"/>
      <c r="LWA13" s="20"/>
      <c r="LWB13" s="20"/>
      <c r="LWC13" s="20"/>
      <c r="LWD13" s="20"/>
      <c r="LWE13" s="20"/>
      <c r="LWF13" s="20"/>
      <c r="LWG13" s="20"/>
      <c r="LWH13" s="20"/>
      <c r="LWI13" s="20"/>
      <c r="LWJ13" s="20"/>
      <c r="LWK13" s="20"/>
      <c r="LWL13" s="20"/>
      <c r="LWM13" s="20"/>
      <c r="LWN13" s="20"/>
      <c r="LWO13" s="20"/>
      <c r="LWP13" s="20"/>
      <c r="LWQ13" s="20"/>
      <c r="LWR13" s="20"/>
      <c r="LWS13" s="20"/>
      <c r="LWT13" s="20"/>
      <c r="LWU13" s="20"/>
      <c r="LWV13" s="20"/>
      <c r="LWW13" s="20"/>
      <c r="LWX13" s="20"/>
      <c r="LWY13" s="20"/>
      <c r="LWZ13" s="20"/>
      <c r="LXA13" s="20"/>
      <c r="LXB13" s="20"/>
      <c r="LXC13" s="20"/>
      <c r="LXD13" s="20"/>
      <c r="LXE13" s="20"/>
      <c r="LXF13" s="20"/>
      <c r="LXG13" s="20"/>
      <c r="LXH13" s="20"/>
      <c r="LXI13" s="20"/>
      <c r="LXJ13" s="20"/>
      <c r="LXK13" s="20"/>
      <c r="LXL13" s="20"/>
      <c r="LXM13" s="20"/>
      <c r="LXN13" s="20"/>
      <c r="LXO13" s="20"/>
      <c r="LXP13" s="20"/>
      <c r="LXQ13" s="20"/>
      <c r="LXR13" s="20"/>
      <c r="LXS13" s="20"/>
      <c r="LXT13" s="20"/>
      <c r="LXU13" s="20"/>
      <c r="LXV13" s="20"/>
      <c r="LXW13" s="20"/>
      <c r="LXX13" s="20"/>
      <c r="LXY13" s="20"/>
      <c r="LXZ13" s="20"/>
      <c r="LYA13" s="20"/>
      <c r="LYB13" s="20"/>
      <c r="LYC13" s="20"/>
      <c r="LYD13" s="20"/>
      <c r="LYE13" s="20"/>
      <c r="LYF13" s="20"/>
      <c r="LYG13" s="20"/>
      <c r="LYH13" s="20"/>
      <c r="LYI13" s="20"/>
      <c r="LYJ13" s="20"/>
      <c r="LYK13" s="20"/>
      <c r="LYL13" s="20"/>
      <c r="LYM13" s="20"/>
      <c r="LYN13" s="20"/>
      <c r="LYO13" s="20"/>
      <c r="LYP13" s="20"/>
      <c r="LYQ13" s="20"/>
      <c r="LYR13" s="20"/>
      <c r="LYS13" s="20"/>
      <c r="LYT13" s="20"/>
      <c r="LYU13" s="20"/>
      <c r="LYV13" s="20"/>
      <c r="LYW13" s="20"/>
      <c r="LYX13" s="20"/>
      <c r="LYY13" s="20"/>
      <c r="LYZ13" s="20"/>
      <c r="LZA13" s="20"/>
      <c r="LZB13" s="20"/>
      <c r="LZC13" s="20"/>
      <c r="LZD13" s="20"/>
      <c r="LZE13" s="20"/>
      <c r="LZF13" s="20"/>
      <c r="LZG13" s="20"/>
      <c r="LZH13" s="20"/>
      <c r="LZI13" s="20"/>
      <c r="LZJ13" s="20"/>
      <c r="LZK13" s="20"/>
      <c r="LZL13" s="20"/>
      <c r="LZM13" s="20"/>
      <c r="LZN13" s="20"/>
      <c r="LZO13" s="20"/>
      <c r="LZP13" s="20"/>
      <c r="LZQ13" s="20"/>
      <c r="LZR13" s="20"/>
      <c r="LZS13" s="20"/>
      <c r="LZT13" s="20"/>
      <c r="LZU13" s="20"/>
      <c r="LZV13" s="20"/>
      <c r="LZW13" s="20"/>
      <c r="LZX13" s="20"/>
      <c r="LZY13" s="20"/>
      <c r="LZZ13" s="20"/>
      <c r="MAA13" s="20"/>
      <c r="MAB13" s="20"/>
      <c r="MAC13" s="20"/>
      <c r="MAD13" s="20"/>
      <c r="MAE13" s="20"/>
      <c r="MAF13" s="20"/>
      <c r="MAG13" s="20"/>
      <c r="MAH13" s="20"/>
      <c r="MAI13" s="20"/>
      <c r="MAJ13" s="20"/>
      <c r="MAK13" s="20"/>
      <c r="MAL13" s="20"/>
      <c r="MAM13" s="20"/>
      <c r="MAN13" s="20"/>
      <c r="MAO13" s="20"/>
      <c r="MAP13" s="20"/>
      <c r="MAQ13" s="20"/>
      <c r="MAR13" s="20"/>
      <c r="MAS13" s="20"/>
      <c r="MAT13" s="20"/>
      <c r="MAU13" s="20"/>
      <c r="MAV13" s="20"/>
      <c r="MAW13" s="20"/>
      <c r="MAX13" s="20"/>
      <c r="MAY13" s="20"/>
      <c r="MAZ13" s="20"/>
      <c r="MBA13" s="20"/>
      <c r="MBB13" s="20"/>
      <c r="MBC13" s="20"/>
      <c r="MBD13" s="20"/>
      <c r="MBE13" s="20"/>
      <c r="MBF13" s="20"/>
      <c r="MBG13" s="20"/>
      <c r="MBH13" s="20"/>
      <c r="MBI13" s="20"/>
      <c r="MBJ13" s="20"/>
      <c r="MBK13" s="20"/>
      <c r="MBL13" s="20"/>
      <c r="MBM13" s="20"/>
      <c r="MBN13" s="20"/>
      <c r="MBO13" s="20"/>
      <c r="MBP13" s="20"/>
      <c r="MBQ13" s="20"/>
      <c r="MBR13" s="20"/>
      <c r="MBS13" s="20"/>
      <c r="MBT13" s="20"/>
      <c r="MBU13" s="20"/>
      <c r="MBV13" s="20"/>
      <c r="MBW13" s="20"/>
      <c r="MBX13" s="20"/>
      <c r="MBY13" s="20"/>
      <c r="MBZ13" s="20"/>
      <c r="MCA13" s="20"/>
      <c r="MCB13" s="20"/>
      <c r="MCC13" s="20"/>
      <c r="MCD13" s="20"/>
      <c r="MCE13" s="20"/>
      <c r="MCF13" s="20"/>
      <c r="MCG13" s="20"/>
      <c r="MCH13" s="20"/>
      <c r="MCI13" s="20"/>
      <c r="MCJ13" s="20"/>
      <c r="MCK13" s="20"/>
      <c r="MCL13" s="20"/>
      <c r="MCM13" s="20"/>
      <c r="MCN13" s="20"/>
      <c r="MCO13" s="20"/>
      <c r="MCP13" s="20"/>
      <c r="MCQ13" s="20"/>
      <c r="MCR13" s="20"/>
      <c r="MCS13" s="20"/>
      <c r="MCT13" s="20"/>
      <c r="MCU13" s="20"/>
      <c r="MCV13" s="20"/>
      <c r="MCW13" s="20"/>
      <c r="MCX13" s="20"/>
      <c r="MCY13" s="20"/>
      <c r="MCZ13" s="20"/>
      <c r="MDA13" s="20"/>
      <c r="MDB13" s="20"/>
      <c r="MDC13" s="20"/>
      <c r="MDD13" s="20"/>
      <c r="MDE13" s="20"/>
      <c r="MDF13" s="20"/>
      <c r="MDG13" s="20"/>
      <c r="MDH13" s="20"/>
      <c r="MDI13" s="20"/>
      <c r="MDJ13" s="20"/>
      <c r="MDK13" s="20"/>
      <c r="MDL13" s="20"/>
      <c r="MDM13" s="20"/>
      <c r="MDN13" s="20"/>
      <c r="MDO13" s="20"/>
      <c r="MDP13" s="20"/>
      <c r="MDQ13" s="20"/>
      <c r="MDR13" s="20"/>
      <c r="MDS13" s="20"/>
      <c r="MDT13" s="20"/>
      <c r="MDU13" s="20"/>
      <c r="MDV13" s="20"/>
      <c r="MDW13" s="20"/>
      <c r="MDX13" s="20"/>
      <c r="MDY13" s="20"/>
      <c r="MDZ13" s="20"/>
      <c r="MEA13" s="20"/>
      <c r="MEB13" s="20"/>
      <c r="MEC13" s="20"/>
      <c r="MED13" s="20"/>
      <c r="MEE13" s="20"/>
      <c r="MEF13" s="20"/>
      <c r="MEG13" s="20"/>
      <c r="MEH13" s="20"/>
      <c r="MEI13" s="20"/>
      <c r="MEJ13" s="20"/>
      <c r="MEK13" s="20"/>
      <c r="MEL13" s="20"/>
      <c r="MEM13" s="20"/>
      <c r="MEN13" s="20"/>
      <c r="MEO13" s="20"/>
      <c r="MEP13" s="20"/>
      <c r="MEQ13" s="20"/>
      <c r="MER13" s="20"/>
      <c r="MES13" s="20"/>
      <c r="MET13" s="20"/>
      <c r="MEU13" s="20"/>
      <c r="MEV13" s="20"/>
      <c r="MEW13" s="20"/>
      <c r="MEX13" s="20"/>
      <c r="MEY13" s="20"/>
      <c r="MEZ13" s="20"/>
      <c r="MFA13" s="20"/>
      <c r="MFB13" s="20"/>
      <c r="MFC13" s="20"/>
      <c r="MFD13" s="20"/>
      <c r="MFE13" s="20"/>
      <c r="MFF13" s="20"/>
      <c r="MFG13" s="20"/>
      <c r="MFH13" s="20"/>
      <c r="MFI13" s="20"/>
      <c r="MFJ13" s="20"/>
      <c r="MFK13" s="20"/>
      <c r="MFL13" s="20"/>
      <c r="MFM13" s="20"/>
      <c r="MFN13" s="20"/>
      <c r="MFO13" s="20"/>
      <c r="MFP13" s="20"/>
      <c r="MFQ13" s="20"/>
      <c r="MFR13" s="20"/>
      <c r="MFS13" s="20"/>
      <c r="MFT13" s="20"/>
      <c r="MFU13" s="20"/>
      <c r="MFV13" s="20"/>
      <c r="MFW13" s="20"/>
      <c r="MFX13" s="20"/>
      <c r="MFY13" s="20"/>
      <c r="MFZ13" s="20"/>
      <c r="MGA13" s="20"/>
      <c r="MGB13" s="20"/>
      <c r="MGC13" s="20"/>
      <c r="MGD13" s="20"/>
      <c r="MGE13" s="20"/>
      <c r="MGF13" s="20"/>
      <c r="MGG13" s="20"/>
      <c r="MGH13" s="20"/>
      <c r="MGI13" s="20"/>
      <c r="MGJ13" s="20"/>
      <c r="MGK13" s="20"/>
      <c r="MGL13" s="20"/>
      <c r="MGM13" s="20"/>
      <c r="MGN13" s="20"/>
      <c r="MGO13" s="20"/>
      <c r="MGP13" s="20"/>
      <c r="MGQ13" s="20"/>
      <c r="MGR13" s="20"/>
      <c r="MGS13" s="20"/>
      <c r="MGT13" s="20"/>
      <c r="MGU13" s="20"/>
      <c r="MGV13" s="20"/>
      <c r="MGW13" s="20"/>
      <c r="MGX13" s="20"/>
      <c r="MGY13" s="20"/>
      <c r="MGZ13" s="20"/>
      <c r="MHA13" s="20"/>
      <c r="MHB13" s="20"/>
      <c r="MHC13" s="20"/>
      <c r="MHD13" s="20"/>
      <c r="MHE13" s="20"/>
      <c r="MHF13" s="20"/>
      <c r="MHG13" s="20"/>
      <c r="MHH13" s="20"/>
      <c r="MHI13" s="20"/>
      <c r="MHJ13" s="20"/>
      <c r="MHK13" s="20"/>
      <c r="MHL13" s="20"/>
      <c r="MHM13" s="20"/>
      <c r="MHN13" s="20"/>
      <c r="MHO13" s="20"/>
      <c r="MHP13" s="20"/>
      <c r="MHQ13" s="20"/>
      <c r="MHR13" s="20"/>
      <c r="MHS13" s="20"/>
      <c r="MHT13" s="20"/>
      <c r="MHU13" s="20"/>
      <c r="MHV13" s="20"/>
      <c r="MHW13" s="20"/>
      <c r="MHX13" s="20"/>
      <c r="MHY13" s="20"/>
      <c r="MHZ13" s="20"/>
      <c r="MIA13" s="20"/>
      <c r="MIB13" s="20"/>
      <c r="MIC13" s="20"/>
      <c r="MID13" s="20"/>
      <c r="MIE13" s="20"/>
      <c r="MIF13" s="20"/>
      <c r="MIG13" s="20"/>
      <c r="MIH13" s="20"/>
      <c r="MII13" s="20"/>
      <c r="MIJ13" s="20"/>
      <c r="MIK13" s="20"/>
      <c r="MIL13" s="20"/>
      <c r="MIM13" s="20"/>
      <c r="MIN13" s="20"/>
      <c r="MIO13" s="20"/>
      <c r="MIP13" s="20"/>
      <c r="MIQ13" s="20"/>
      <c r="MIR13" s="20"/>
      <c r="MIS13" s="20"/>
      <c r="MIT13" s="20"/>
      <c r="MIU13" s="20"/>
      <c r="MIV13" s="20"/>
      <c r="MIW13" s="20"/>
      <c r="MIX13" s="20"/>
      <c r="MIY13" s="20"/>
      <c r="MIZ13" s="20"/>
      <c r="MJA13" s="20"/>
      <c r="MJB13" s="20"/>
      <c r="MJC13" s="20"/>
      <c r="MJD13" s="20"/>
      <c r="MJE13" s="20"/>
      <c r="MJF13" s="20"/>
      <c r="MJG13" s="20"/>
      <c r="MJH13" s="20"/>
      <c r="MJI13" s="20"/>
      <c r="MJJ13" s="20"/>
      <c r="MJK13" s="20"/>
      <c r="MJL13" s="20"/>
      <c r="MJM13" s="20"/>
      <c r="MJN13" s="20"/>
      <c r="MJO13" s="20"/>
      <c r="MJP13" s="20"/>
      <c r="MJQ13" s="20"/>
      <c r="MJR13" s="20"/>
      <c r="MJS13" s="20"/>
      <c r="MJT13" s="20"/>
      <c r="MJU13" s="20"/>
      <c r="MJV13" s="20"/>
      <c r="MJW13" s="20"/>
      <c r="MJX13" s="20"/>
      <c r="MJY13" s="20"/>
      <c r="MJZ13" s="20"/>
      <c r="MKA13" s="20"/>
      <c r="MKB13" s="20"/>
      <c r="MKC13" s="20"/>
      <c r="MKD13" s="20"/>
      <c r="MKE13" s="20"/>
      <c r="MKF13" s="20"/>
      <c r="MKG13" s="20"/>
      <c r="MKH13" s="20"/>
      <c r="MKI13" s="20"/>
      <c r="MKJ13" s="20"/>
      <c r="MKK13" s="20"/>
      <c r="MKL13" s="20"/>
      <c r="MKM13" s="20"/>
      <c r="MKN13" s="20"/>
      <c r="MKO13" s="20"/>
      <c r="MKP13" s="20"/>
      <c r="MKQ13" s="20"/>
      <c r="MKR13" s="20"/>
      <c r="MKS13" s="20"/>
      <c r="MKT13" s="20"/>
      <c r="MKU13" s="20"/>
      <c r="MKV13" s="20"/>
      <c r="MKW13" s="20"/>
      <c r="MKX13" s="20"/>
      <c r="MKY13" s="20"/>
      <c r="MKZ13" s="20"/>
      <c r="MLA13" s="20"/>
      <c r="MLB13" s="20"/>
      <c r="MLC13" s="20"/>
      <c r="MLD13" s="20"/>
      <c r="MLE13" s="20"/>
      <c r="MLF13" s="20"/>
      <c r="MLG13" s="20"/>
      <c r="MLH13" s="20"/>
      <c r="MLI13" s="20"/>
      <c r="MLJ13" s="20"/>
      <c r="MLK13" s="20"/>
      <c r="MLL13" s="20"/>
      <c r="MLM13" s="20"/>
      <c r="MLN13" s="20"/>
      <c r="MLO13" s="20"/>
      <c r="MLP13" s="20"/>
      <c r="MLQ13" s="20"/>
      <c r="MLR13" s="20"/>
      <c r="MLS13" s="20"/>
      <c r="MLT13" s="20"/>
      <c r="MLU13" s="20"/>
      <c r="MLV13" s="20"/>
      <c r="MLW13" s="20"/>
      <c r="MLX13" s="20"/>
      <c r="MLY13" s="20"/>
      <c r="MLZ13" s="20"/>
      <c r="MMA13" s="20"/>
      <c r="MMB13" s="20"/>
      <c r="MMC13" s="20"/>
      <c r="MMD13" s="20"/>
      <c r="MME13" s="20"/>
      <c r="MMF13" s="20"/>
      <c r="MMG13" s="20"/>
      <c r="MMH13" s="20"/>
      <c r="MMI13" s="20"/>
      <c r="MMJ13" s="20"/>
      <c r="MMK13" s="20"/>
      <c r="MML13" s="20"/>
      <c r="MMM13" s="20"/>
      <c r="MMN13" s="20"/>
      <c r="MMO13" s="20"/>
      <c r="MMP13" s="20"/>
      <c r="MMQ13" s="20"/>
      <c r="MMR13" s="20"/>
      <c r="MMS13" s="20"/>
      <c r="MMT13" s="20"/>
      <c r="MMU13" s="20"/>
      <c r="MMV13" s="20"/>
      <c r="MMW13" s="20"/>
      <c r="MMX13" s="20"/>
      <c r="MMY13" s="20"/>
      <c r="MMZ13" s="20"/>
      <c r="MNA13" s="20"/>
      <c r="MNB13" s="20"/>
      <c r="MNC13" s="20"/>
      <c r="MND13" s="20"/>
      <c r="MNE13" s="20"/>
      <c r="MNF13" s="20"/>
      <c r="MNG13" s="20"/>
      <c r="MNH13" s="20"/>
      <c r="MNI13" s="20"/>
      <c r="MNJ13" s="20"/>
      <c r="MNK13" s="20"/>
      <c r="MNL13" s="20"/>
      <c r="MNM13" s="20"/>
      <c r="MNN13" s="20"/>
      <c r="MNO13" s="20"/>
      <c r="MNP13" s="20"/>
      <c r="MNQ13" s="20"/>
      <c r="MNR13" s="20"/>
      <c r="MNS13" s="20"/>
      <c r="MNT13" s="20"/>
      <c r="MNU13" s="20"/>
      <c r="MNV13" s="20"/>
      <c r="MNW13" s="20"/>
      <c r="MNX13" s="20"/>
      <c r="MNY13" s="20"/>
      <c r="MNZ13" s="20"/>
      <c r="MOA13" s="20"/>
      <c r="MOB13" s="20"/>
      <c r="MOC13" s="20"/>
      <c r="MOD13" s="20"/>
      <c r="MOE13" s="20"/>
      <c r="MOF13" s="20"/>
      <c r="MOG13" s="20"/>
      <c r="MOH13" s="20"/>
      <c r="MOI13" s="20"/>
      <c r="MOJ13" s="20"/>
      <c r="MOK13" s="20"/>
      <c r="MOL13" s="20"/>
      <c r="MOM13" s="20"/>
      <c r="MON13" s="20"/>
      <c r="MOO13" s="20"/>
      <c r="MOP13" s="20"/>
      <c r="MOQ13" s="20"/>
      <c r="MOR13" s="20"/>
      <c r="MOS13" s="20"/>
      <c r="MOT13" s="20"/>
      <c r="MOU13" s="20"/>
      <c r="MOV13" s="20"/>
      <c r="MOW13" s="20"/>
      <c r="MOX13" s="20"/>
      <c r="MOY13" s="20"/>
      <c r="MOZ13" s="20"/>
      <c r="MPA13" s="20"/>
      <c r="MPB13" s="20"/>
      <c r="MPC13" s="20"/>
      <c r="MPD13" s="20"/>
      <c r="MPE13" s="20"/>
      <c r="MPF13" s="20"/>
      <c r="MPG13" s="20"/>
      <c r="MPH13" s="20"/>
      <c r="MPI13" s="20"/>
      <c r="MPJ13" s="20"/>
      <c r="MPK13" s="20"/>
      <c r="MPL13" s="20"/>
      <c r="MPM13" s="20"/>
      <c r="MPN13" s="20"/>
      <c r="MPO13" s="20"/>
      <c r="MPP13" s="20"/>
      <c r="MPQ13" s="20"/>
      <c r="MPR13" s="20"/>
      <c r="MPS13" s="20"/>
      <c r="MPT13" s="20"/>
      <c r="MPU13" s="20"/>
      <c r="MPV13" s="20"/>
      <c r="MPW13" s="20"/>
      <c r="MPX13" s="20"/>
      <c r="MPY13" s="20"/>
      <c r="MPZ13" s="20"/>
      <c r="MQA13" s="20"/>
      <c r="MQB13" s="20"/>
      <c r="MQC13" s="20"/>
      <c r="MQD13" s="20"/>
      <c r="MQE13" s="20"/>
      <c r="MQF13" s="20"/>
      <c r="MQG13" s="20"/>
      <c r="MQH13" s="20"/>
      <c r="MQI13" s="20"/>
      <c r="MQJ13" s="20"/>
      <c r="MQK13" s="20"/>
      <c r="MQL13" s="20"/>
      <c r="MQM13" s="20"/>
      <c r="MQN13" s="20"/>
      <c r="MQO13" s="20"/>
      <c r="MQP13" s="20"/>
      <c r="MQQ13" s="20"/>
      <c r="MQR13" s="20"/>
      <c r="MQS13" s="20"/>
      <c r="MQT13" s="20"/>
      <c r="MQU13" s="20"/>
      <c r="MQV13" s="20"/>
      <c r="MQW13" s="20"/>
      <c r="MQX13" s="20"/>
      <c r="MQY13" s="20"/>
      <c r="MQZ13" s="20"/>
      <c r="MRA13" s="20"/>
      <c r="MRB13" s="20"/>
      <c r="MRC13" s="20"/>
      <c r="MRD13" s="20"/>
      <c r="MRE13" s="20"/>
      <c r="MRF13" s="20"/>
      <c r="MRG13" s="20"/>
      <c r="MRH13" s="20"/>
      <c r="MRI13" s="20"/>
      <c r="MRJ13" s="20"/>
      <c r="MRK13" s="20"/>
      <c r="MRL13" s="20"/>
      <c r="MRM13" s="20"/>
      <c r="MRN13" s="20"/>
      <c r="MRO13" s="20"/>
      <c r="MRP13" s="20"/>
      <c r="MRQ13" s="20"/>
      <c r="MRR13" s="20"/>
      <c r="MRS13" s="20"/>
      <c r="MRT13" s="20"/>
      <c r="MRU13" s="20"/>
      <c r="MRV13" s="20"/>
      <c r="MRW13" s="20"/>
      <c r="MRX13" s="20"/>
      <c r="MRY13" s="20"/>
      <c r="MRZ13" s="20"/>
      <c r="MSA13" s="20"/>
      <c r="MSB13" s="20"/>
      <c r="MSC13" s="20"/>
      <c r="MSD13" s="20"/>
      <c r="MSE13" s="20"/>
      <c r="MSF13" s="20"/>
      <c r="MSG13" s="20"/>
      <c r="MSH13" s="20"/>
      <c r="MSI13" s="20"/>
      <c r="MSJ13" s="20"/>
      <c r="MSK13" s="20"/>
      <c r="MSL13" s="20"/>
      <c r="MSM13" s="20"/>
      <c r="MSN13" s="20"/>
      <c r="MSO13" s="20"/>
      <c r="MSP13" s="20"/>
      <c r="MSQ13" s="20"/>
      <c r="MSR13" s="20"/>
      <c r="MSS13" s="20"/>
      <c r="MST13" s="20"/>
      <c r="MSU13" s="20"/>
      <c r="MSV13" s="20"/>
      <c r="MSW13" s="20"/>
      <c r="MSX13" s="20"/>
      <c r="MSY13" s="20"/>
      <c r="MSZ13" s="20"/>
      <c r="MTA13" s="20"/>
      <c r="MTB13" s="20"/>
      <c r="MTC13" s="20"/>
      <c r="MTD13" s="20"/>
      <c r="MTE13" s="20"/>
      <c r="MTF13" s="20"/>
      <c r="MTG13" s="20"/>
      <c r="MTH13" s="20"/>
      <c r="MTI13" s="20"/>
      <c r="MTJ13" s="20"/>
      <c r="MTK13" s="20"/>
      <c r="MTL13" s="20"/>
      <c r="MTM13" s="20"/>
      <c r="MTN13" s="20"/>
      <c r="MTO13" s="20"/>
      <c r="MTP13" s="20"/>
      <c r="MTQ13" s="20"/>
      <c r="MTR13" s="20"/>
      <c r="MTS13" s="20"/>
      <c r="MTT13" s="20"/>
      <c r="MTU13" s="20"/>
      <c r="MTV13" s="20"/>
      <c r="MTW13" s="20"/>
      <c r="MTX13" s="20"/>
      <c r="MTY13" s="20"/>
      <c r="MTZ13" s="20"/>
      <c r="MUA13" s="20"/>
      <c r="MUB13" s="20"/>
      <c r="MUC13" s="20"/>
      <c r="MUD13" s="20"/>
      <c r="MUE13" s="20"/>
      <c r="MUF13" s="20"/>
      <c r="MUG13" s="20"/>
      <c r="MUH13" s="20"/>
      <c r="MUI13" s="20"/>
      <c r="MUJ13" s="20"/>
      <c r="MUK13" s="20"/>
      <c r="MUL13" s="20"/>
      <c r="MUM13" s="20"/>
      <c r="MUN13" s="20"/>
      <c r="MUO13" s="20"/>
      <c r="MUP13" s="20"/>
      <c r="MUQ13" s="20"/>
      <c r="MUR13" s="20"/>
      <c r="MUS13" s="20"/>
      <c r="MUT13" s="20"/>
      <c r="MUU13" s="20"/>
      <c r="MUV13" s="20"/>
      <c r="MUW13" s="20"/>
      <c r="MUX13" s="20"/>
      <c r="MUY13" s="20"/>
      <c r="MUZ13" s="20"/>
      <c r="MVA13" s="20"/>
      <c r="MVB13" s="20"/>
      <c r="MVC13" s="20"/>
      <c r="MVD13" s="20"/>
      <c r="MVE13" s="20"/>
      <c r="MVF13" s="20"/>
      <c r="MVG13" s="20"/>
      <c r="MVH13" s="20"/>
      <c r="MVI13" s="20"/>
      <c r="MVJ13" s="20"/>
      <c r="MVK13" s="20"/>
      <c r="MVL13" s="20"/>
      <c r="MVM13" s="20"/>
      <c r="MVN13" s="20"/>
      <c r="MVO13" s="20"/>
      <c r="MVP13" s="20"/>
      <c r="MVQ13" s="20"/>
      <c r="MVR13" s="20"/>
      <c r="MVS13" s="20"/>
      <c r="MVT13" s="20"/>
      <c r="MVU13" s="20"/>
      <c r="MVV13" s="20"/>
      <c r="MVW13" s="20"/>
      <c r="MVX13" s="20"/>
      <c r="MVY13" s="20"/>
      <c r="MVZ13" s="20"/>
      <c r="MWA13" s="20"/>
      <c r="MWB13" s="20"/>
      <c r="MWC13" s="20"/>
      <c r="MWD13" s="20"/>
      <c r="MWE13" s="20"/>
      <c r="MWF13" s="20"/>
      <c r="MWG13" s="20"/>
      <c r="MWH13" s="20"/>
      <c r="MWI13" s="20"/>
      <c r="MWJ13" s="20"/>
      <c r="MWK13" s="20"/>
      <c r="MWL13" s="20"/>
      <c r="MWM13" s="20"/>
      <c r="MWN13" s="20"/>
      <c r="MWO13" s="20"/>
      <c r="MWP13" s="20"/>
      <c r="MWQ13" s="20"/>
      <c r="MWR13" s="20"/>
      <c r="MWS13" s="20"/>
      <c r="MWT13" s="20"/>
      <c r="MWU13" s="20"/>
      <c r="MWV13" s="20"/>
      <c r="MWW13" s="20"/>
      <c r="MWX13" s="20"/>
      <c r="MWY13" s="20"/>
      <c r="MWZ13" s="20"/>
      <c r="MXA13" s="20"/>
      <c r="MXB13" s="20"/>
      <c r="MXC13" s="20"/>
      <c r="MXD13" s="20"/>
      <c r="MXE13" s="20"/>
      <c r="MXF13" s="20"/>
      <c r="MXG13" s="20"/>
      <c r="MXH13" s="20"/>
      <c r="MXI13" s="20"/>
      <c r="MXJ13" s="20"/>
      <c r="MXK13" s="20"/>
      <c r="MXL13" s="20"/>
      <c r="MXM13" s="20"/>
      <c r="MXN13" s="20"/>
      <c r="MXO13" s="20"/>
      <c r="MXP13" s="20"/>
      <c r="MXQ13" s="20"/>
      <c r="MXR13" s="20"/>
      <c r="MXS13" s="20"/>
      <c r="MXT13" s="20"/>
      <c r="MXU13" s="20"/>
      <c r="MXV13" s="20"/>
      <c r="MXW13" s="20"/>
      <c r="MXX13" s="20"/>
      <c r="MXY13" s="20"/>
      <c r="MXZ13" s="20"/>
      <c r="MYA13" s="20"/>
      <c r="MYB13" s="20"/>
      <c r="MYC13" s="20"/>
      <c r="MYD13" s="20"/>
      <c r="MYE13" s="20"/>
      <c r="MYF13" s="20"/>
      <c r="MYG13" s="20"/>
      <c r="MYH13" s="20"/>
      <c r="MYI13" s="20"/>
      <c r="MYJ13" s="20"/>
      <c r="MYK13" s="20"/>
      <c r="MYL13" s="20"/>
      <c r="MYM13" s="20"/>
      <c r="MYN13" s="20"/>
      <c r="MYO13" s="20"/>
      <c r="MYP13" s="20"/>
      <c r="MYQ13" s="20"/>
      <c r="MYR13" s="20"/>
      <c r="MYS13" s="20"/>
      <c r="MYT13" s="20"/>
      <c r="MYU13" s="20"/>
      <c r="MYV13" s="20"/>
      <c r="MYW13" s="20"/>
      <c r="MYX13" s="20"/>
      <c r="MYY13" s="20"/>
      <c r="MYZ13" s="20"/>
      <c r="MZA13" s="20"/>
      <c r="MZB13" s="20"/>
      <c r="MZC13" s="20"/>
      <c r="MZD13" s="20"/>
      <c r="MZE13" s="20"/>
      <c r="MZF13" s="20"/>
      <c r="MZG13" s="20"/>
      <c r="MZH13" s="20"/>
      <c r="MZI13" s="20"/>
      <c r="MZJ13" s="20"/>
      <c r="MZK13" s="20"/>
      <c r="MZL13" s="20"/>
      <c r="MZM13" s="20"/>
      <c r="MZN13" s="20"/>
      <c r="MZO13" s="20"/>
      <c r="MZP13" s="20"/>
      <c r="MZQ13" s="20"/>
      <c r="MZR13" s="20"/>
      <c r="MZS13" s="20"/>
      <c r="MZT13" s="20"/>
      <c r="MZU13" s="20"/>
      <c r="MZV13" s="20"/>
      <c r="MZW13" s="20"/>
      <c r="MZX13" s="20"/>
      <c r="MZY13" s="20"/>
      <c r="MZZ13" s="20"/>
      <c r="NAA13" s="20"/>
      <c r="NAB13" s="20"/>
      <c r="NAC13" s="20"/>
      <c r="NAD13" s="20"/>
      <c r="NAE13" s="20"/>
      <c r="NAF13" s="20"/>
      <c r="NAG13" s="20"/>
      <c r="NAH13" s="20"/>
      <c r="NAI13" s="20"/>
      <c r="NAJ13" s="20"/>
      <c r="NAK13" s="20"/>
      <c r="NAL13" s="20"/>
      <c r="NAM13" s="20"/>
      <c r="NAN13" s="20"/>
      <c r="NAO13" s="20"/>
      <c r="NAP13" s="20"/>
      <c r="NAQ13" s="20"/>
      <c r="NAR13" s="20"/>
      <c r="NAS13" s="20"/>
      <c r="NAT13" s="20"/>
      <c r="NAU13" s="20"/>
      <c r="NAV13" s="20"/>
      <c r="NAW13" s="20"/>
      <c r="NAX13" s="20"/>
      <c r="NAY13" s="20"/>
      <c r="NAZ13" s="20"/>
      <c r="NBA13" s="20"/>
      <c r="NBB13" s="20"/>
      <c r="NBC13" s="20"/>
      <c r="NBD13" s="20"/>
      <c r="NBE13" s="20"/>
      <c r="NBF13" s="20"/>
      <c r="NBG13" s="20"/>
      <c r="NBH13" s="20"/>
      <c r="NBI13" s="20"/>
      <c r="NBJ13" s="20"/>
      <c r="NBK13" s="20"/>
      <c r="NBL13" s="20"/>
      <c r="NBM13" s="20"/>
      <c r="NBN13" s="20"/>
      <c r="NBO13" s="20"/>
      <c r="NBP13" s="20"/>
      <c r="NBQ13" s="20"/>
      <c r="NBR13" s="20"/>
      <c r="NBS13" s="20"/>
      <c r="NBT13" s="20"/>
      <c r="NBU13" s="20"/>
      <c r="NBV13" s="20"/>
      <c r="NBW13" s="20"/>
      <c r="NBX13" s="20"/>
      <c r="NBY13" s="20"/>
      <c r="NBZ13" s="20"/>
      <c r="NCA13" s="20"/>
      <c r="NCB13" s="20"/>
      <c r="NCC13" s="20"/>
      <c r="NCD13" s="20"/>
      <c r="NCE13" s="20"/>
      <c r="NCF13" s="20"/>
      <c r="NCG13" s="20"/>
      <c r="NCH13" s="20"/>
      <c r="NCI13" s="20"/>
      <c r="NCJ13" s="20"/>
      <c r="NCK13" s="20"/>
      <c r="NCL13" s="20"/>
      <c r="NCM13" s="20"/>
      <c r="NCN13" s="20"/>
      <c r="NCO13" s="20"/>
      <c r="NCP13" s="20"/>
      <c r="NCQ13" s="20"/>
      <c r="NCR13" s="20"/>
      <c r="NCS13" s="20"/>
      <c r="NCT13" s="20"/>
      <c r="NCU13" s="20"/>
      <c r="NCV13" s="20"/>
      <c r="NCW13" s="20"/>
      <c r="NCX13" s="20"/>
      <c r="NCY13" s="20"/>
      <c r="NCZ13" s="20"/>
      <c r="NDA13" s="20"/>
      <c r="NDB13" s="20"/>
      <c r="NDC13" s="20"/>
      <c r="NDD13" s="20"/>
      <c r="NDE13" s="20"/>
      <c r="NDF13" s="20"/>
      <c r="NDG13" s="20"/>
      <c r="NDH13" s="20"/>
      <c r="NDI13" s="20"/>
      <c r="NDJ13" s="20"/>
      <c r="NDK13" s="20"/>
      <c r="NDL13" s="20"/>
      <c r="NDM13" s="20"/>
      <c r="NDN13" s="20"/>
      <c r="NDO13" s="20"/>
      <c r="NDP13" s="20"/>
      <c r="NDQ13" s="20"/>
      <c r="NDR13" s="20"/>
      <c r="NDS13" s="20"/>
      <c r="NDT13" s="20"/>
      <c r="NDU13" s="20"/>
      <c r="NDV13" s="20"/>
      <c r="NDW13" s="20"/>
      <c r="NDX13" s="20"/>
      <c r="NDY13" s="20"/>
      <c r="NDZ13" s="20"/>
      <c r="NEA13" s="20"/>
      <c r="NEB13" s="20"/>
      <c r="NEC13" s="20"/>
      <c r="NED13" s="20"/>
      <c r="NEE13" s="20"/>
      <c r="NEF13" s="20"/>
      <c r="NEG13" s="20"/>
      <c r="NEH13" s="20"/>
      <c r="NEI13" s="20"/>
      <c r="NEJ13" s="20"/>
      <c r="NEK13" s="20"/>
      <c r="NEL13" s="20"/>
      <c r="NEM13" s="20"/>
      <c r="NEN13" s="20"/>
      <c r="NEO13" s="20"/>
      <c r="NEP13" s="20"/>
      <c r="NEQ13" s="20"/>
      <c r="NER13" s="20"/>
      <c r="NES13" s="20"/>
      <c r="NET13" s="20"/>
      <c r="NEU13" s="20"/>
      <c r="NEV13" s="20"/>
      <c r="NEW13" s="20"/>
      <c r="NEX13" s="20"/>
      <c r="NEY13" s="20"/>
      <c r="NEZ13" s="20"/>
      <c r="NFA13" s="20"/>
      <c r="NFB13" s="20"/>
      <c r="NFC13" s="20"/>
      <c r="NFD13" s="20"/>
      <c r="NFE13" s="20"/>
      <c r="NFF13" s="20"/>
      <c r="NFG13" s="20"/>
      <c r="NFH13" s="20"/>
      <c r="NFI13" s="20"/>
      <c r="NFJ13" s="20"/>
      <c r="NFK13" s="20"/>
      <c r="NFL13" s="20"/>
      <c r="NFM13" s="20"/>
      <c r="NFN13" s="20"/>
      <c r="NFO13" s="20"/>
      <c r="NFP13" s="20"/>
      <c r="NFQ13" s="20"/>
      <c r="NFR13" s="20"/>
      <c r="NFS13" s="20"/>
      <c r="NFT13" s="20"/>
      <c r="NFU13" s="20"/>
      <c r="NFV13" s="20"/>
      <c r="NFW13" s="20"/>
      <c r="NFX13" s="20"/>
      <c r="NFY13" s="20"/>
      <c r="NFZ13" s="20"/>
      <c r="NGA13" s="20"/>
      <c r="NGB13" s="20"/>
      <c r="NGC13" s="20"/>
      <c r="NGD13" s="20"/>
      <c r="NGE13" s="20"/>
      <c r="NGF13" s="20"/>
      <c r="NGG13" s="20"/>
      <c r="NGH13" s="20"/>
      <c r="NGI13" s="20"/>
      <c r="NGJ13" s="20"/>
      <c r="NGK13" s="20"/>
      <c r="NGL13" s="20"/>
      <c r="NGM13" s="20"/>
      <c r="NGN13" s="20"/>
      <c r="NGO13" s="20"/>
      <c r="NGP13" s="20"/>
      <c r="NGQ13" s="20"/>
      <c r="NGR13" s="20"/>
      <c r="NGS13" s="20"/>
      <c r="NGT13" s="20"/>
      <c r="NGU13" s="20"/>
      <c r="NGV13" s="20"/>
      <c r="NGW13" s="20"/>
      <c r="NGX13" s="20"/>
      <c r="NGY13" s="20"/>
      <c r="NGZ13" s="20"/>
      <c r="NHA13" s="20"/>
      <c r="NHB13" s="20"/>
      <c r="NHC13" s="20"/>
      <c r="NHD13" s="20"/>
      <c r="NHE13" s="20"/>
      <c r="NHF13" s="20"/>
      <c r="NHG13" s="20"/>
      <c r="NHH13" s="20"/>
      <c r="NHI13" s="20"/>
      <c r="NHJ13" s="20"/>
      <c r="NHK13" s="20"/>
      <c r="NHL13" s="20"/>
      <c r="NHM13" s="20"/>
      <c r="NHN13" s="20"/>
      <c r="NHO13" s="20"/>
      <c r="NHP13" s="20"/>
      <c r="NHQ13" s="20"/>
      <c r="NHR13" s="20"/>
      <c r="NHS13" s="20"/>
      <c r="NHT13" s="20"/>
      <c r="NHU13" s="20"/>
      <c r="NHV13" s="20"/>
      <c r="NHW13" s="20"/>
      <c r="NHX13" s="20"/>
      <c r="NHY13" s="20"/>
      <c r="NHZ13" s="20"/>
      <c r="NIA13" s="20"/>
      <c r="NIB13" s="20"/>
      <c r="NIC13" s="20"/>
      <c r="NID13" s="20"/>
      <c r="NIE13" s="20"/>
      <c r="NIF13" s="20"/>
      <c r="NIG13" s="20"/>
      <c r="NIH13" s="20"/>
      <c r="NII13" s="20"/>
      <c r="NIJ13" s="20"/>
      <c r="NIK13" s="20"/>
      <c r="NIL13" s="20"/>
      <c r="NIM13" s="20"/>
      <c r="NIN13" s="20"/>
      <c r="NIO13" s="20"/>
      <c r="NIP13" s="20"/>
      <c r="NIQ13" s="20"/>
      <c r="NIR13" s="20"/>
      <c r="NIS13" s="20"/>
      <c r="NIT13" s="20"/>
      <c r="NIU13" s="20"/>
      <c r="NIV13" s="20"/>
      <c r="NIW13" s="20"/>
      <c r="NIX13" s="20"/>
      <c r="NIY13" s="20"/>
      <c r="NIZ13" s="20"/>
      <c r="NJA13" s="20"/>
      <c r="NJB13" s="20"/>
      <c r="NJC13" s="20"/>
      <c r="NJD13" s="20"/>
      <c r="NJE13" s="20"/>
      <c r="NJF13" s="20"/>
      <c r="NJG13" s="20"/>
      <c r="NJH13" s="20"/>
      <c r="NJI13" s="20"/>
      <c r="NJJ13" s="20"/>
      <c r="NJK13" s="20"/>
      <c r="NJL13" s="20"/>
      <c r="NJM13" s="20"/>
      <c r="NJN13" s="20"/>
      <c r="NJO13" s="20"/>
      <c r="NJP13" s="20"/>
      <c r="NJQ13" s="20"/>
      <c r="NJR13" s="20"/>
      <c r="NJS13" s="20"/>
      <c r="NJT13" s="20"/>
      <c r="NJU13" s="20"/>
      <c r="NJV13" s="20"/>
      <c r="NJW13" s="20"/>
      <c r="NJX13" s="20"/>
      <c r="NJY13" s="20"/>
      <c r="NJZ13" s="20"/>
      <c r="NKA13" s="20"/>
      <c r="NKB13" s="20"/>
      <c r="NKC13" s="20"/>
      <c r="NKD13" s="20"/>
      <c r="NKE13" s="20"/>
      <c r="NKF13" s="20"/>
      <c r="NKG13" s="20"/>
      <c r="NKH13" s="20"/>
      <c r="NKI13" s="20"/>
      <c r="NKJ13" s="20"/>
      <c r="NKK13" s="20"/>
      <c r="NKL13" s="20"/>
      <c r="NKM13" s="20"/>
      <c r="NKN13" s="20"/>
      <c r="NKO13" s="20"/>
      <c r="NKP13" s="20"/>
      <c r="NKQ13" s="20"/>
      <c r="NKR13" s="20"/>
      <c r="NKS13" s="20"/>
      <c r="NKT13" s="20"/>
      <c r="NKU13" s="20"/>
      <c r="NKV13" s="20"/>
      <c r="NKW13" s="20"/>
      <c r="NKX13" s="20"/>
      <c r="NKY13" s="20"/>
      <c r="NKZ13" s="20"/>
      <c r="NLA13" s="20"/>
      <c r="NLB13" s="20"/>
      <c r="NLC13" s="20"/>
      <c r="NLD13" s="20"/>
      <c r="NLE13" s="20"/>
      <c r="NLF13" s="20"/>
      <c r="NLG13" s="20"/>
      <c r="NLH13" s="20"/>
      <c r="NLI13" s="20"/>
      <c r="NLJ13" s="20"/>
      <c r="NLK13" s="20"/>
      <c r="NLL13" s="20"/>
      <c r="NLM13" s="20"/>
      <c r="NLN13" s="20"/>
      <c r="NLO13" s="20"/>
      <c r="NLP13" s="20"/>
      <c r="NLQ13" s="20"/>
      <c r="NLR13" s="20"/>
      <c r="NLS13" s="20"/>
      <c r="NLT13" s="20"/>
      <c r="NLU13" s="20"/>
      <c r="NLV13" s="20"/>
      <c r="NLW13" s="20"/>
      <c r="NLX13" s="20"/>
      <c r="NLY13" s="20"/>
      <c r="NLZ13" s="20"/>
      <c r="NMA13" s="20"/>
      <c r="NMB13" s="20"/>
      <c r="NMC13" s="20"/>
      <c r="NMD13" s="20"/>
      <c r="NME13" s="20"/>
      <c r="NMF13" s="20"/>
      <c r="NMG13" s="20"/>
      <c r="NMH13" s="20"/>
      <c r="NMI13" s="20"/>
      <c r="NMJ13" s="20"/>
      <c r="NMK13" s="20"/>
      <c r="NML13" s="20"/>
      <c r="NMM13" s="20"/>
      <c r="NMN13" s="20"/>
      <c r="NMO13" s="20"/>
      <c r="NMP13" s="20"/>
      <c r="NMQ13" s="20"/>
      <c r="NMR13" s="20"/>
      <c r="NMS13" s="20"/>
      <c r="NMT13" s="20"/>
      <c r="NMU13" s="20"/>
      <c r="NMV13" s="20"/>
      <c r="NMW13" s="20"/>
      <c r="NMX13" s="20"/>
      <c r="NMY13" s="20"/>
      <c r="NMZ13" s="20"/>
      <c r="NNA13" s="20"/>
      <c r="NNB13" s="20"/>
      <c r="NNC13" s="20"/>
      <c r="NND13" s="20"/>
      <c r="NNE13" s="20"/>
      <c r="NNF13" s="20"/>
      <c r="NNG13" s="20"/>
      <c r="NNH13" s="20"/>
      <c r="NNI13" s="20"/>
      <c r="NNJ13" s="20"/>
      <c r="NNK13" s="20"/>
      <c r="NNL13" s="20"/>
      <c r="NNM13" s="20"/>
      <c r="NNN13" s="20"/>
      <c r="NNO13" s="20"/>
      <c r="NNP13" s="20"/>
      <c r="NNQ13" s="20"/>
      <c r="NNR13" s="20"/>
      <c r="NNS13" s="20"/>
      <c r="NNT13" s="20"/>
      <c r="NNU13" s="20"/>
      <c r="NNV13" s="20"/>
      <c r="NNW13" s="20"/>
      <c r="NNX13" s="20"/>
      <c r="NNY13" s="20"/>
      <c r="NNZ13" s="20"/>
      <c r="NOA13" s="20"/>
      <c r="NOB13" s="20"/>
      <c r="NOC13" s="20"/>
      <c r="NOD13" s="20"/>
      <c r="NOE13" s="20"/>
      <c r="NOF13" s="20"/>
      <c r="NOG13" s="20"/>
      <c r="NOH13" s="20"/>
      <c r="NOI13" s="20"/>
      <c r="NOJ13" s="20"/>
      <c r="NOK13" s="20"/>
      <c r="NOL13" s="20"/>
      <c r="NOM13" s="20"/>
      <c r="NON13" s="20"/>
      <c r="NOO13" s="20"/>
      <c r="NOP13" s="20"/>
      <c r="NOQ13" s="20"/>
      <c r="NOR13" s="20"/>
      <c r="NOS13" s="20"/>
      <c r="NOT13" s="20"/>
      <c r="NOU13" s="20"/>
      <c r="NOV13" s="20"/>
      <c r="NOW13" s="20"/>
      <c r="NOX13" s="20"/>
      <c r="NOY13" s="20"/>
      <c r="NOZ13" s="20"/>
      <c r="NPA13" s="20"/>
      <c r="NPB13" s="20"/>
      <c r="NPC13" s="20"/>
      <c r="NPD13" s="20"/>
      <c r="NPE13" s="20"/>
      <c r="NPF13" s="20"/>
      <c r="NPG13" s="20"/>
      <c r="NPH13" s="20"/>
      <c r="NPI13" s="20"/>
      <c r="NPJ13" s="20"/>
      <c r="NPK13" s="20"/>
      <c r="NPL13" s="20"/>
      <c r="NPM13" s="20"/>
      <c r="NPN13" s="20"/>
      <c r="NPO13" s="20"/>
      <c r="NPP13" s="20"/>
      <c r="NPQ13" s="20"/>
      <c r="NPR13" s="20"/>
      <c r="NPS13" s="20"/>
      <c r="NPT13" s="20"/>
      <c r="NPU13" s="20"/>
      <c r="NPV13" s="20"/>
      <c r="NPW13" s="20"/>
      <c r="NPX13" s="20"/>
      <c r="NPY13" s="20"/>
      <c r="NPZ13" s="20"/>
      <c r="NQA13" s="20"/>
      <c r="NQB13" s="20"/>
      <c r="NQC13" s="20"/>
      <c r="NQD13" s="20"/>
      <c r="NQE13" s="20"/>
      <c r="NQF13" s="20"/>
      <c r="NQG13" s="20"/>
      <c r="NQH13" s="20"/>
      <c r="NQI13" s="20"/>
      <c r="NQJ13" s="20"/>
      <c r="NQK13" s="20"/>
      <c r="NQL13" s="20"/>
      <c r="NQM13" s="20"/>
      <c r="NQN13" s="20"/>
      <c r="NQO13" s="20"/>
      <c r="NQP13" s="20"/>
      <c r="NQQ13" s="20"/>
      <c r="NQR13" s="20"/>
      <c r="NQS13" s="20"/>
      <c r="NQT13" s="20"/>
      <c r="NQU13" s="20"/>
      <c r="NQV13" s="20"/>
      <c r="NQW13" s="20"/>
      <c r="NQX13" s="20"/>
      <c r="NQY13" s="20"/>
      <c r="NQZ13" s="20"/>
      <c r="NRA13" s="20"/>
      <c r="NRB13" s="20"/>
      <c r="NRC13" s="20"/>
      <c r="NRD13" s="20"/>
      <c r="NRE13" s="20"/>
      <c r="NRF13" s="20"/>
      <c r="NRG13" s="20"/>
      <c r="NRH13" s="20"/>
      <c r="NRI13" s="20"/>
      <c r="NRJ13" s="20"/>
      <c r="NRK13" s="20"/>
      <c r="NRL13" s="20"/>
      <c r="NRM13" s="20"/>
      <c r="NRN13" s="20"/>
      <c r="NRO13" s="20"/>
      <c r="NRP13" s="20"/>
      <c r="NRQ13" s="20"/>
      <c r="NRR13" s="20"/>
      <c r="NRS13" s="20"/>
      <c r="NRT13" s="20"/>
      <c r="NRU13" s="20"/>
      <c r="NRV13" s="20"/>
      <c r="NRW13" s="20"/>
      <c r="NRX13" s="20"/>
      <c r="NRY13" s="20"/>
      <c r="NRZ13" s="20"/>
      <c r="NSA13" s="20"/>
      <c r="NSB13" s="20"/>
      <c r="NSC13" s="20"/>
      <c r="NSD13" s="20"/>
      <c r="NSE13" s="20"/>
      <c r="NSF13" s="20"/>
      <c r="NSG13" s="20"/>
      <c r="NSH13" s="20"/>
      <c r="NSI13" s="20"/>
      <c r="NSJ13" s="20"/>
      <c r="NSK13" s="20"/>
      <c r="NSL13" s="20"/>
      <c r="NSM13" s="20"/>
      <c r="NSN13" s="20"/>
      <c r="NSO13" s="20"/>
      <c r="NSP13" s="20"/>
      <c r="NSQ13" s="20"/>
      <c r="NSR13" s="20"/>
      <c r="NSS13" s="20"/>
      <c r="NST13" s="20"/>
      <c r="NSU13" s="20"/>
      <c r="NSV13" s="20"/>
      <c r="NSW13" s="20"/>
      <c r="NSX13" s="20"/>
      <c r="NSY13" s="20"/>
      <c r="NSZ13" s="20"/>
      <c r="NTA13" s="20"/>
      <c r="NTB13" s="20"/>
      <c r="NTC13" s="20"/>
      <c r="NTD13" s="20"/>
      <c r="NTE13" s="20"/>
      <c r="NTF13" s="20"/>
      <c r="NTG13" s="20"/>
      <c r="NTH13" s="20"/>
      <c r="NTI13" s="20"/>
      <c r="NTJ13" s="20"/>
      <c r="NTK13" s="20"/>
      <c r="NTL13" s="20"/>
      <c r="NTM13" s="20"/>
      <c r="NTN13" s="20"/>
      <c r="NTO13" s="20"/>
      <c r="NTP13" s="20"/>
      <c r="NTQ13" s="20"/>
      <c r="NTR13" s="20"/>
      <c r="NTS13" s="20"/>
      <c r="NTT13" s="20"/>
      <c r="NTU13" s="20"/>
      <c r="NTV13" s="20"/>
      <c r="NTW13" s="20"/>
      <c r="NTX13" s="20"/>
      <c r="NTY13" s="20"/>
      <c r="NTZ13" s="20"/>
      <c r="NUA13" s="20"/>
      <c r="NUB13" s="20"/>
      <c r="NUC13" s="20"/>
      <c r="NUD13" s="20"/>
      <c r="NUE13" s="20"/>
      <c r="NUF13" s="20"/>
      <c r="NUG13" s="20"/>
      <c r="NUH13" s="20"/>
      <c r="NUI13" s="20"/>
      <c r="NUJ13" s="20"/>
      <c r="NUK13" s="20"/>
      <c r="NUL13" s="20"/>
      <c r="NUM13" s="20"/>
      <c r="NUN13" s="20"/>
      <c r="NUO13" s="20"/>
      <c r="NUP13" s="20"/>
      <c r="NUQ13" s="20"/>
      <c r="NUR13" s="20"/>
      <c r="NUS13" s="20"/>
      <c r="NUT13" s="20"/>
      <c r="NUU13" s="20"/>
      <c r="NUV13" s="20"/>
      <c r="NUW13" s="20"/>
      <c r="NUX13" s="20"/>
      <c r="NUY13" s="20"/>
      <c r="NUZ13" s="20"/>
      <c r="NVA13" s="20"/>
      <c r="NVB13" s="20"/>
      <c r="NVC13" s="20"/>
      <c r="NVD13" s="20"/>
      <c r="NVE13" s="20"/>
      <c r="NVF13" s="20"/>
      <c r="NVG13" s="20"/>
      <c r="NVH13" s="20"/>
      <c r="NVI13" s="20"/>
      <c r="NVJ13" s="20"/>
      <c r="NVK13" s="20"/>
      <c r="NVL13" s="20"/>
      <c r="NVM13" s="20"/>
      <c r="NVN13" s="20"/>
      <c r="NVO13" s="20"/>
      <c r="NVP13" s="20"/>
      <c r="NVQ13" s="20"/>
      <c r="NVR13" s="20"/>
      <c r="NVS13" s="20"/>
      <c r="NVT13" s="20"/>
      <c r="NVU13" s="20"/>
      <c r="NVV13" s="20"/>
      <c r="NVW13" s="20"/>
      <c r="NVX13" s="20"/>
      <c r="NVY13" s="20"/>
      <c r="NVZ13" s="20"/>
      <c r="NWA13" s="20"/>
      <c r="NWB13" s="20"/>
      <c r="NWC13" s="20"/>
      <c r="NWD13" s="20"/>
      <c r="NWE13" s="20"/>
      <c r="NWF13" s="20"/>
      <c r="NWG13" s="20"/>
      <c r="NWH13" s="20"/>
      <c r="NWI13" s="20"/>
      <c r="NWJ13" s="20"/>
      <c r="NWK13" s="20"/>
      <c r="NWL13" s="20"/>
      <c r="NWM13" s="20"/>
      <c r="NWN13" s="20"/>
      <c r="NWO13" s="20"/>
      <c r="NWP13" s="20"/>
      <c r="NWQ13" s="20"/>
      <c r="NWR13" s="20"/>
      <c r="NWS13" s="20"/>
      <c r="NWT13" s="20"/>
      <c r="NWU13" s="20"/>
      <c r="NWV13" s="20"/>
      <c r="NWW13" s="20"/>
      <c r="NWX13" s="20"/>
      <c r="NWY13" s="20"/>
      <c r="NWZ13" s="20"/>
      <c r="NXA13" s="20"/>
      <c r="NXB13" s="20"/>
      <c r="NXC13" s="20"/>
      <c r="NXD13" s="20"/>
      <c r="NXE13" s="20"/>
      <c r="NXF13" s="20"/>
      <c r="NXG13" s="20"/>
      <c r="NXH13" s="20"/>
      <c r="NXI13" s="20"/>
      <c r="NXJ13" s="20"/>
      <c r="NXK13" s="20"/>
      <c r="NXL13" s="20"/>
      <c r="NXM13" s="20"/>
      <c r="NXN13" s="20"/>
      <c r="NXO13" s="20"/>
      <c r="NXP13" s="20"/>
      <c r="NXQ13" s="20"/>
      <c r="NXR13" s="20"/>
      <c r="NXS13" s="20"/>
      <c r="NXT13" s="20"/>
      <c r="NXU13" s="20"/>
      <c r="NXV13" s="20"/>
      <c r="NXW13" s="20"/>
      <c r="NXX13" s="20"/>
      <c r="NXY13" s="20"/>
      <c r="NXZ13" s="20"/>
      <c r="NYA13" s="20"/>
      <c r="NYB13" s="20"/>
      <c r="NYC13" s="20"/>
      <c r="NYD13" s="20"/>
      <c r="NYE13" s="20"/>
      <c r="NYF13" s="20"/>
      <c r="NYG13" s="20"/>
      <c r="NYH13" s="20"/>
      <c r="NYI13" s="20"/>
      <c r="NYJ13" s="20"/>
      <c r="NYK13" s="20"/>
      <c r="NYL13" s="20"/>
      <c r="NYM13" s="20"/>
      <c r="NYN13" s="20"/>
      <c r="NYO13" s="20"/>
      <c r="NYP13" s="20"/>
      <c r="NYQ13" s="20"/>
      <c r="NYR13" s="20"/>
      <c r="NYS13" s="20"/>
      <c r="NYT13" s="20"/>
      <c r="NYU13" s="20"/>
      <c r="NYV13" s="20"/>
      <c r="NYW13" s="20"/>
      <c r="NYX13" s="20"/>
      <c r="NYY13" s="20"/>
      <c r="NYZ13" s="20"/>
      <c r="NZA13" s="20"/>
      <c r="NZB13" s="20"/>
      <c r="NZC13" s="20"/>
      <c r="NZD13" s="20"/>
      <c r="NZE13" s="20"/>
      <c r="NZF13" s="20"/>
      <c r="NZG13" s="20"/>
      <c r="NZH13" s="20"/>
      <c r="NZI13" s="20"/>
      <c r="NZJ13" s="20"/>
      <c r="NZK13" s="20"/>
      <c r="NZL13" s="20"/>
      <c r="NZM13" s="20"/>
      <c r="NZN13" s="20"/>
      <c r="NZO13" s="20"/>
      <c r="NZP13" s="20"/>
      <c r="NZQ13" s="20"/>
      <c r="NZR13" s="20"/>
      <c r="NZS13" s="20"/>
      <c r="NZT13" s="20"/>
      <c r="NZU13" s="20"/>
      <c r="NZV13" s="20"/>
      <c r="NZW13" s="20"/>
      <c r="NZX13" s="20"/>
      <c r="NZY13" s="20"/>
      <c r="NZZ13" s="20"/>
      <c r="OAA13" s="20"/>
      <c r="OAB13" s="20"/>
      <c r="OAC13" s="20"/>
      <c r="OAD13" s="20"/>
      <c r="OAE13" s="20"/>
      <c r="OAF13" s="20"/>
      <c r="OAG13" s="20"/>
      <c r="OAH13" s="20"/>
      <c r="OAI13" s="20"/>
      <c r="OAJ13" s="20"/>
      <c r="OAK13" s="20"/>
      <c r="OAL13" s="20"/>
      <c r="OAM13" s="20"/>
      <c r="OAN13" s="20"/>
      <c r="OAO13" s="20"/>
      <c r="OAP13" s="20"/>
      <c r="OAQ13" s="20"/>
      <c r="OAR13" s="20"/>
      <c r="OAS13" s="20"/>
      <c r="OAT13" s="20"/>
      <c r="OAU13" s="20"/>
      <c r="OAV13" s="20"/>
      <c r="OAW13" s="20"/>
      <c r="OAX13" s="20"/>
      <c r="OAY13" s="20"/>
      <c r="OAZ13" s="20"/>
      <c r="OBA13" s="20"/>
      <c r="OBB13" s="20"/>
      <c r="OBC13" s="20"/>
      <c r="OBD13" s="20"/>
      <c r="OBE13" s="20"/>
      <c r="OBF13" s="20"/>
      <c r="OBG13" s="20"/>
      <c r="OBH13" s="20"/>
      <c r="OBI13" s="20"/>
      <c r="OBJ13" s="20"/>
      <c r="OBK13" s="20"/>
      <c r="OBL13" s="20"/>
      <c r="OBM13" s="20"/>
      <c r="OBN13" s="20"/>
      <c r="OBO13" s="20"/>
      <c r="OBP13" s="20"/>
      <c r="OBQ13" s="20"/>
      <c r="OBR13" s="20"/>
      <c r="OBS13" s="20"/>
      <c r="OBT13" s="20"/>
      <c r="OBU13" s="20"/>
      <c r="OBV13" s="20"/>
      <c r="OBW13" s="20"/>
      <c r="OBX13" s="20"/>
      <c r="OBY13" s="20"/>
      <c r="OBZ13" s="20"/>
      <c r="OCA13" s="20"/>
      <c r="OCB13" s="20"/>
      <c r="OCC13" s="20"/>
      <c r="OCD13" s="20"/>
      <c r="OCE13" s="20"/>
      <c r="OCF13" s="20"/>
      <c r="OCG13" s="20"/>
      <c r="OCH13" s="20"/>
      <c r="OCI13" s="20"/>
      <c r="OCJ13" s="20"/>
      <c r="OCK13" s="20"/>
      <c r="OCL13" s="20"/>
      <c r="OCM13" s="20"/>
      <c r="OCN13" s="20"/>
      <c r="OCO13" s="20"/>
      <c r="OCP13" s="20"/>
      <c r="OCQ13" s="20"/>
      <c r="OCR13" s="20"/>
      <c r="OCS13" s="20"/>
      <c r="OCT13" s="20"/>
      <c r="OCU13" s="20"/>
      <c r="OCV13" s="20"/>
      <c r="OCW13" s="20"/>
      <c r="OCX13" s="20"/>
      <c r="OCY13" s="20"/>
      <c r="OCZ13" s="20"/>
      <c r="ODA13" s="20"/>
      <c r="ODB13" s="20"/>
      <c r="ODC13" s="20"/>
      <c r="ODD13" s="20"/>
      <c r="ODE13" s="20"/>
      <c r="ODF13" s="20"/>
      <c r="ODG13" s="20"/>
      <c r="ODH13" s="20"/>
      <c r="ODI13" s="20"/>
      <c r="ODJ13" s="20"/>
      <c r="ODK13" s="20"/>
      <c r="ODL13" s="20"/>
      <c r="ODM13" s="20"/>
      <c r="ODN13" s="20"/>
      <c r="ODO13" s="20"/>
      <c r="ODP13" s="20"/>
      <c r="ODQ13" s="20"/>
      <c r="ODR13" s="20"/>
      <c r="ODS13" s="20"/>
      <c r="ODT13" s="20"/>
      <c r="ODU13" s="20"/>
      <c r="ODV13" s="20"/>
      <c r="ODW13" s="20"/>
      <c r="ODX13" s="20"/>
      <c r="ODY13" s="20"/>
      <c r="ODZ13" s="20"/>
      <c r="OEA13" s="20"/>
      <c r="OEB13" s="20"/>
      <c r="OEC13" s="20"/>
      <c r="OED13" s="20"/>
      <c r="OEE13" s="20"/>
      <c r="OEF13" s="20"/>
      <c r="OEG13" s="20"/>
      <c r="OEH13" s="20"/>
      <c r="OEI13" s="20"/>
      <c r="OEJ13" s="20"/>
      <c r="OEK13" s="20"/>
      <c r="OEL13" s="20"/>
      <c r="OEM13" s="20"/>
      <c r="OEN13" s="20"/>
      <c r="OEO13" s="20"/>
      <c r="OEP13" s="20"/>
      <c r="OEQ13" s="20"/>
      <c r="OER13" s="20"/>
      <c r="OES13" s="20"/>
      <c r="OET13" s="20"/>
      <c r="OEU13" s="20"/>
      <c r="OEV13" s="20"/>
      <c r="OEW13" s="20"/>
      <c r="OEX13" s="20"/>
      <c r="OEY13" s="20"/>
      <c r="OEZ13" s="20"/>
      <c r="OFA13" s="20"/>
      <c r="OFB13" s="20"/>
      <c r="OFC13" s="20"/>
      <c r="OFD13" s="20"/>
      <c r="OFE13" s="20"/>
      <c r="OFF13" s="20"/>
      <c r="OFG13" s="20"/>
      <c r="OFH13" s="20"/>
      <c r="OFI13" s="20"/>
      <c r="OFJ13" s="20"/>
      <c r="OFK13" s="20"/>
      <c r="OFL13" s="20"/>
      <c r="OFM13" s="20"/>
      <c r="OFN13" s="20"/>
      <c r="OFO13" s="20"/>
      <c r="OFP13" s="20"/>
      <c r="OFQ13" s="20"/>
      <c r="OFR13" s="20"/>
      <c r="OFS13" s="20"/>
      <c r="OFT13" s="20"/>
      <c r="OFU13" s="20"/>
      <c r="OFV13" s="20"/>
      <c r="OFW13" s="20"/>
      <c r="OFX13" s="20"/>
      <c r="OFY13" s="20"/>
      <c r="OFZ13" s="20"/>
      <c r="OGA13" s="20"/>
      <c r="OGB13" s="20"/>
      <c r="OGC13" s="20"/>
      <c r="OGD13" s="20"/>
      <c r="OGE13" s="20"/>
      <c r="OGF13" s="20"/>
      <c r="OGG13" s="20"/>
      <c r="OGH13" s="20"/>
      <c r="OGI13" s="20"/>
      <c r="OGJ13" s="20"/>
      <c r="OGK13" s="20"/>
      <c r="OGL13" s="20"/>
      <c r="OGM13" s="20"/>
      <c r="OGN13" s="20"/>
      <c r="OGO13" s="20"/>
      <c r="OGP13" s="20"/>
      <c r="OGQ13" s="20"/>
      <c r="OGR13" s="20"/>
      <c r="OGS13" s="20"/>
      <c r="OGT13" s="20"/>
      <c r="OGU13" s="20"/>
      <c r="OGV13" s="20"/>
      <c r="OGW13" s="20"/>
      <c r="OGX13" s="20"/>
      <c r="OGY13" s="20"/>
      <c r="OGZ13" s="20"/>
      <c r="OHA13" s="20"/>
      <c r="OHB13" s="20"/>
      <c r="OHC13" s="20"/>
      <c r="OHD13" s="20"/>
      <c r="OHE13" s="20"/>
      <c r="OHF13" s="20"/>
      <c r="OHG13" s="20"/>
      <c r="OHH13" s="20"/>
      <c r="OHI13" s="20"/>
      <c r="OHJ13" s="20"/>
      <c r="OHK13" s="20"/>
      <c r="OHL13" s="20"/>
      <c r="OHM13" s="20"/>
      <c r="OHN13" s="20"/>
      <c r="OHO13" s="20"/>
      <c r="OHP13" s="20"/>
      <c r="OHQ13" s="20"/>
      <c r="OHR13" s="20"/>
      <c r="OHS13" s="20"/>
      <c r="OHT13" s="20"/>
      <c r="OHU13" s="20"/>
      <c r="OHV13" s="20"/>
      <c r="OHW13" s="20"/>
      <c r="OHX13" s="20"/>
      <c r="OHY13" s="20"/>
      <c r="OHZ13" s="20"/>
      <c r="OIA13" s="20"/>
      <c r="OIB13" s="20"/>
      <c r="OIC13" s="20"/>
      <c r="OID13" s="20"/>
      <c r="OIE13" s="20"/>
      <c r="OIF13" s="20"/>
      <c r="OIG13" s="20"/>
      <c r="OIH13" s="20"/>
      <c r="OII13" s="20"/>
      <c r="OIJ13" s="20"/>
      <c r="OIK13" s="20"/>
      <c r="OIL13" s="20"/>
      <c r="OIM13" s="20"/>
      <c r="OIN13" s="20"/>
      <c r="OIO13" s="20"/>
      <c r="OIP13" s="20"/>
      <c r="OIQ13" s="20"/>
      <c r="OIR13" s="20"/>
      <c r="OIS13" s="20"/>
      <c r="OIT13" s="20"/>
      <c r="OIU13" s="20"/>
      <c r="OIV13" s="20"/>
      <c r="OIW13" s="20"/>
      <c r="OIX13" s="20"/>
      <c r="OIY13" s="20"/>
      <c r="OIZ13" s="20"/>
      <c r="OJA13" s="20"/>
      <c r="OJB13" s="20"/>
      <c r="OJC13" s="20"/>
      <c r="OJD13" s="20"/>
      <c r="OJE13" s="20"/>
      <c r="OJF13" s="20"/>
      <c r="OJG13" s="20"/>
      <c r="OJH13" s="20"/>
      <c r="OJI13" s="20"/>
      <c r="OJJ13" s="20"/>
      <c r="OJK13" s="20"/>
      <c r="OJL13" s="20"/>
      <c r="OJM13" s="20"/>
      <c r="OJN13" s="20"/>
      <c r="OJO13" s="20"/>
      <c r="OJP13" s="20"/>
      <c r="OJQ13" s="20"/>
      <c r="OJR13" s="20"/>
      <c r="OJS13" s="20"/>
      <c r="OJT13" s="20"/>
      <c r="OJU13" s="20"/>
      <c r="OJV13" s="20"/>
      <c r="OJW13" s="20"/>
      <c r="OJX13" s="20"/>
      <c r="OJY13" s="20"/>
      <c r="OJZ13" s="20"/>
      <c r="OKA13" s="20"/>
      <c r="OKB13" s="20"/>
      <c r="OKC13" s="20"/>
      <c r="OKD13" s="20"/>
      <c r="OKE13" s="20"/>
      <c r="OKF13" s="20"/>
      <c r="OKG13" s="20"/>
      <c r="OKH13" s="20"/>
      <c r="OKI13" s="20"/>
      <c r="OKJ13" s="20"/>
      <c r="OKK13" s="20"/>
      <c r="OKL13" s="20"/>
      <c r="OKM13" s="20"/>
      <c r="OKN13" s="20"/>
      <c r="OKO13" s="20"/>
      <c r="OKP13" s="20"/>
      <c r="OKQ13" s="20"/>
      <c r="OKR13" s="20"/>
      <c r="OKS13" s="20"/>
      <c r="OKT13" s="20"/>
      <c r="OKU13" s="20"/>
      <c r="OKV13" s="20"/>
      <c r="OKW13" s="20"/>
      <c r="OKX13" s="20"/>
      <c r="OKY13" s="20"/>
      <c r="OKZ13" s="20"/>
      <c r="OLA13" s="20"/>
      <c r="OLB13" s="20"/>
      <c r="OLC13" s="20"/>
      <c r="OLD13" s="20"/>
      <c r="OLE13" s="20"/>
      <c r="OLF13" s="20"/>
      <c r="OLG13" s="20"/>
      <c r="OLH13" s="20"/>
      <c r="OLI13" s="20"/>
      <c r="OLJ13" s="20"/>
      <c r="OLK13" s="20"/>
      <c r="OLL13" s="20"/>
      <c r="OLM13" s="20"/>
      <c r="OLN13" s="20"/>
      <c r="OLO13" s="20"/>
      <c r="OLP13" s="20"/>
      <c r="OLQ13" s="20"/>
      <c r="OLR13" s="20"/>
      <c r="OLS13" s="20"/>
      <c r="OLT13" s="20"/>
      <c r="OLU13" s="20"/>
      <c r="OLV13" s="20"/>
      <c r="OLW13" s="20"/>
      <c r="OLX13" s="20"/>
      <c r="OLY13" s="20"/>
      <c r="OLZ13" s="20"/>
      <c r="OMA13" s="20"/>
      <c r="OMB13" s="20"/>
      <c r="OMC13" s="20"/>
      <c r="OMD13" s="20"/>
      <c r="OME13" s="20"/>
      <c r="OMF13" s="20"/>
      <c r="OMG13" s="20"/>
      <c r="OMH13" s="20"/>
      <c r="OMI13" s="20"/>
      <c r="OMJ13" s="20"/>
      <c r="OMK13" s="20"/>
      <c r="OML13" s="20"/>
      <c r="OMM13" s="20"/>
      <c r="OMN13" s="20"/>
      <c r="OMO13" s="20"/>
      <c r="OMP13" s="20"/>
      <c r="OMQ13" s="20"/>
      <c r="OMR13" s="20"/>
      <c r="OMS13" s="20"/>
      <c r="OMT13" s="20"/>
      <c r="OMU13" s="20"/>
      <c r="OMV13" s="20"/>
      <c r="OMW13" s="20"/>
      <c r="OMX13" s="20"/>
      <c r="OMY13" s="20"/>
      <c r="OMZ13" s="20"/>
      <c r="ONA13" s="20"/>
      <c r="ONB13" s="20"/>
      <c r="ONC13" s="20"/>
      <c r="OND13" s="20"/>
      <c r="ONE13" s="20"/>
      <c r="ONF13" s="20"/>
      <c r="ONG13" s="20"/>
      <c r="ONH13" s="20"/>
      <c r="ONI13" s="20"/>
      <c r="ONJ13" s="20"/>
      <c r="ONK13" s="20"/>
      <c r="ONL13" s="20"/>
      <c r="ONM13" s="20"/>
      <c r="ONN13" s="20"/>
      <c r="ONO13" s="20"/>
      <c r="ONP13" s="20"/>
      <c r="ONQ13" s="20"/>
      <c r="ONR13" s="20"/>
      <c r="ONS13" s="20"/>
      <c r="ONT13" s="20"/>
      <c r="ONU13" s="20"/>
      <c r="ONV13" s="20"/>
      <c r="ONW13" s="20"/>
      <c r="ONX13" s="20"/>
      <c r="ONY13" s="20"/>
      <c r="ONZ13" s="20"/>
      <c r="OOA13" s="20"/>
      <c r="OOB13" s="20"/>
      <c r="OOC13" s="20"/>
      <c r="OOD13" s="20"/>
      <c r="OOE13" s="20"/>
      <c r="OOF13" s="20"/>
      <c r="OOG13" s="20"/>
      <c r="OOH13" s="20"/>
      <c r="OOI13" s="20"/>
      <c r="OOJ13" s="20"/>
      <c r="OOK13" s="20"/>
      <c r="OOL13" s="20"/>
      <c r="OOM13" s="20"/>
      <c r="OON13" s="20"/>
      <c r="OOO13" s="20"/>
      <c r="OOP13" s="20"/>
      <c r="OOQ13" s="20"/>
      <c r="OOR13" s="20"/>
      <c r="OOS13" s="20"/>
      <c r="OOT13" s="20"/>
      <c r="OOU13" s="20"/>
      <c r="OOV13" s="20"/>
      <c r="OOW13" s="20"/>
      <c r="OOX13" s="20"/>
      <c r="OOY13" s="20"/>
      <c r="OOZ13" s="20"/>
      <c r="OPA13" s="20"/>
      <c r="OPB13" s="20"/>
      <c r="OPC13" s="20"/>
      <c r="OPD13" s="20"/>
      <c r="OPE13" s="20"/>
      <c r="OPF13" s="20"/>
      <c r="OPG13" s="20"/>
      <c r="OPH13" s="20"/>
      <c r="OPI13" s="20"/>
      <c r="OPJ13" s="20"/>
      <c r="OPK13" s="20"/>
      <c r="OPL13" s="20"/>
      <c r="OPM13" s="20"/>
      <c r="OPN13" s="20"/>
      <c r="OPO13" s="20"/>
      <c r="OPP13" s="20"/>
      <c r="OPQ13" s="20"/>
      <c r="OPR13" s="20"/>
      <c r="OPS13" s="20"/>
      <c r="OPT13" s="20"/>
      <c r="OPU13" s="20"/>
      <c r="OPV13" s="20"/>
      <c r="OPW13" s="20"/>
      <c r="OPX13" s="20"/>
      <c r="OPY13" s="20"/>
      <c r="OPZ13" s="20"/>
      <c r="OQA13" s="20"/>
      <c r="OQB13" s="20"/>
      <c r="OQC13" s="20"/>
      <c r="OQD13" s="20"/>
      <c r="OQE13" s="20"/>
      <c r="OQF13" s="20"/>
      <c r="OQG13" s="20"/>
      <c r="OQH13" s="20"/>
      <c r="OQI13" s="20"/>
      <c r="OQJ13" s="20"/>
      <c r="OQK13" s="20"/>
      <c r="OQL13" s="20"/>
      <c r="OQM13" s="20"/>
      <c r="OQN13" s="20"/>
      <c r="OQO13" s="20"/>
      <c r="OQP13" s="20"/>
      <c r="OQQ13" s="20"/>
      <c r="OQR13" s="20"/>
      <c r="OQS13" s="20"/>
      <c r="OQT13" s="20"/>
      <c r="OQU13" s="20"/>
      <c r="OQV13" s="20"/>
      <c r="OQW13" s="20"/>
      <c r="OQX13" s="20"/>
      <c r="OQY13" s="20"/>
      <c r="OQZ13" s="20"/>
      <c r="ORA13" s="20"/>
      <c r="ORB13" s="20"/>
      <c r="ORC13" s="20"/>
      <c r="ORD13" s="20"/>
      <c r="ORE13" s="20"/>
      <c r="ORF13" s="20"/>
      <c r="ORG13" s="20"/>
      <c r="ORH13" s="20"/>
      <c r="ORI13" s="20"/>
      <c r="ORJ13" s="20"/>
      <c r="ORK13" s="20"/>
      <c r="ORL13" s="20"/>
      <c r="ORM13" s="20"/>
      <c r="ORN13" s="20"/>
      <c r="ORO13" s="20"/>
      <c r="ORP13" s="20"/>
      <c r="ORQ13" s="20"/>
      <c r="ORR13" s="20"/>
      <c r="ORS13" s="20"/>
      <c r="ORT13" s="20"/>
      <c r="ORU13" s="20"/>
      <c r="ORV13" s="20"/>
      <c r="ORW13" s="20"/>
      <c r="ORX13" s="20"/>
      <c r="ORY13" s="20"/>
      <c r="ORZ13" s="20"/>
      <c r="OSA13" s="20"/>
      <c r="OSB13" s="20"/>
      <c r="OSC13" s="20"/>
      <c r="OSD13" s="20"/>
      <c r="OSE13" s="20"/>
      <c r="OSF13" s="20"/>
      <c r="OSG13" s="20"/>
      <c r="OSH13" s="20"/>
      <c r="OSI13" s="20"/>
      <c r="OSJ13" s="20"/>
      <c r="OSK13" s="20"/>
      <c r="OSL13" s="20"/>
      <c r="OSM13" s="20"/>
      <c r="OSN13" s="20"/>
      <c r="OSO13" s="20"/>
      <c r="OSP13" s="20"/>
      <c r="OSQ13" s="20"/>
      <c r="OSR13" s="20"/>
      <c r="OSS13" s="20"/>
      <c r="OST13" s="20"/>
      <c r="OSU13" s="20"/>
      <c r="OSV13" s="20"/>
      <c r="OSW13" s="20"/>
      <c r="OSX13" s="20"/>
      <c r="OSY13" s="20"/>
      <c r="OSZ13" s="20"/>
      <c r="OTA13" s="20"/>
      <c r="OTB13" s="20"/>
      <c r="OTC13" s="20"/>
      <c r="OTD13" s="20"/>
      <c r="OTE13" s="20"/>
      <c r="OTF13" s="20"/>
      <c r="OTG13" s="20"/>
      <c r="OTH13" s="20"/>
      <c r="OTI13" s="20"/>
      <c r="OTJ13" s="20"/>
      <c r="OTK13" s="20"/>
      <c r="OTL13" s="20"/>
      <c r="OTM13" s="20"/>
      <c r="OTN13" s="20"/>
      <c r="OTO13" s="20"/>
      <c r="OTP13" s="20"/>
      <c r="OTQ13" s="20"/>
      <c r="OTR13" s="20"/>
      <c r="OTS13" s="20"/>
      <c r="OTT13" s="20"/>
      <c r="OTU13" s="20"/>
      <c r="OTV13" s="20"/>
      <c r="OTW13" s="20"/>
      <c r="OTX13" s="20"/>
      <c r="OTY13" s="20"/>
      <c r="OTZ13" s="20"/>
      <c r="OUA13" s="20"/>
      <c r="OUB13" s="20"/>
      <c r="OUC13" s="20"/>
      <c r="OUD13" s="20"/>
      <c r="OUE13" s="20"/>
      <c r="OUF13" s="20"/>
      <c r="OUG13" s="20"/>
      <c r="OUH13" s="20"/>
      <c r="OUI13" s="20"/>
      <c r="OUJ13" s="20"/>
      <c r="OUK13" s="20"/>
      <c r="OUL13" s="20"/>
      <c r="OUM13" s="20"/>
      <c r="OUN13" s="20"/>
      <c r="OUO13" s="20"/>
      <c r="OUP13" s="20"/>
      <c r="OUQ13" s="20"/>
      <c r="OUR13" s="20"/>
      <c r="OUS13" s="20"/>
      <c r="OUT13" s="20"/>
      <c r="OUU13" s="20"/>
      <c r="OUV13" s="20"/>
      <c r="OUW13" s="20"/>
      <c r="OUX13" s="20"/>
      <c r="OUY13" s="20"/>
      <c r="OUZ13" s="20"/>
      <c r="OVA13" s="20"/>
      <c r="OVB13" s="20"/>
      <c r="OVC13" s="20"/>
      <c r="OVD13" s="20"/>
      <c r="OVE13" s="20"/>
      <c r="OVF13" s="20"/>
      <c r="OVG13" s="20"/>
      <c r="OVH13" s="20"/>
      <c r="OVI13" s="20"/>
      <c r="OVJ13" s="20"/>
      <c r="OVK13" s="20"/>
      <c r="OVL13" s="20"/>
      <c r="OVM13" s="20"/>
      <c r="OVN13" s="20"/>
      <c r="OVO13" s="20"/>
      <c r="OVP13" s="20"/>
      <c r="OVQ13" s="20"/>
      <c r="OVR13" s="20"/>
      <c r="OVS13" s="20"/>
      <c r="OVT13" s="20"/>
      <c r="OVU13" s="20"/>
      <c r="OVV13" s="20"/>
      <c r="OVW13" s="20"/>
      <c r="OVX13" s="20"/>
      <c r="OVY13" s="20"/>
      <c r="OVZ13" s="20"/>
      <c r="OWA13" s="20"/>
      <c r="OWB13" s="20"/>
      <c r="OWC13" s="20"/>
      <c r="OWD13" s="20"/>
      <c r="OWE13" s="20"/>
      <c r="OWF13" s="20"/>
      <c r="OWG13" s="20"/>
      <c r="OWH13" s="20"/>
      <c r="OWI13" s="20"/>
      <c r="OWJ13" s="20"/>
      <c r="OWK13" s="20"/>
      <c r="OWL13" s="20"/>
      <c r="OWM13" s="20"/>
      <c r="OWN13" s="20"/>
      <c r="OWO13" s="20"/>
      <c r="OWP13" s="20"/>
      <c r="OWQ13" s="20"/>
      <c r="OWR13" s="20"/>
      <c r="OWS13" s="20"/>
      <c r="OWT13" s="20"/>
      <c r="OWU13" s="20"/>
      <c r="OWV13" s="20"/>
      <c r="OWW13" s="20"/>
      <c r="OWX13" s="20"/>
      <c r="OWY13" s="20"/>
      <c r="OWZ13" s="20"/>
      <c r="OXA13" s="20"/>
      <c r="OXB13" s="20"/>
      <c r="OXC13" s="20"/>
      <c r="OXD13" s="20"/>
      <c r="OXE13" s="20"/>
      <c r="OXF13" s="20"/>
      <c r="OXG13" s="20"/>
      <c r="OXH13" s="20"/>
      <c r="OXI13" s="20"/>
      <c r="OXJ13" s="20"/>
      <c r="OXK13" s="20"/>
      <c r="OXL13" s="20"/>
      <c r="OXM13" s="20"/>
      <c r="OXN13" s="20"/>
      <c r="OXO13" s="20"/>
      <c r="OXP13" s="20"/>
      <c r="OXQ13" s="20"/>
      <c r="OXR13" s="20"/>
      <c r="OXS13" s="20"/>
      <c r="OXT13" s="20"/>
      <c r="OXU13" s="20"/>
      <c r="OXV13" s="20"/>
      <c r="OXW13" s="20"/>
      <c r="OXX13" s="20"/>
      <c r="OXY13" s="20"/>
      <c r="OXZ13" s="20"/>
      <c r="OYA13" s="20"/>
      <c r="OYB13" s="20"/>
      <c r="OYC13" s="20"/>
      <c r="OYD13" s="20"/>
      <c r="OYE13" s="20"/>
      <c r="OYF13" s="20"/>
      <c r="OYG13" s="20"/>
      <c r="OYH13" s="20"/>
      <c r="OYI13" s="20"/>
      <c r="OYJ13" s="20"/>
      <c r="OYK13" s="20"/>
      <c r="OYL13" s="20"/>
      <c r="OYM13" s="20"/>
      <c r="OYN13" s="20"/>
      <c r="OYO13" s="20"/>
      <c r="OYP13" s="20"/>
      <c r="OYQ13" s="20"/>
      <c r="OYR13" s="20"/>
      <c r="OYS13" s="20"/>
      <c r="OYT13" s="20"/>
      <c r="OYU13" s="20"/>
      <c r="OYV13" s="20"/>
      <c r="OYW13" s="20"/>
      <c r="OYX13" s="20"/>
      <c r="OYY13" s="20"/>
      <c r="OYZ13" s="20"/>
      <c r="OZA13" s="20"/>
      <c r="OZB13" s="20"/>
      <c r="OZC13" s="20"/>
      <c r="OZD13" s="20"/>
      <c r="OZE13" s="20"/>
      <c r="OZF13" s="20"/>
      <c r="OZG13" s="20"/>
      <c r="OZH13" s="20"/>
      <c r="OZI13" s="20"/>
      <c r="OZJ13" s="20"/>
      <c r="OZK13" s="20"/>
      <c r="OZL13" s="20"/>
      <c r="OZM13" s="20"/>
      <c r="OZN13" s="20"/>
      <c r="OZO13" s="20"/>
      <c r="OZP13" s="20"/>
      <c r="OZQ13" s="20"/>
      <c r="OZR13" s="20"/>
      <c r="OZS13" s="20"/>
      <c r="OZT13" s="20"/>
      <c r="OZU13" s="20"/>
      <c r="OZV13" s="20"/>
      <c r="OZW13" s="20"/>
      <c r="OZX13" s="20"/>
      <c r="OZY13" s="20"/>
      <c r="OZZ13" s="20"/>
      <c r="PAA13" s="20"/>
      <c r="PAB13" s="20"/>
      <c r="PAC13" s="20"/>
      <c r="PAD13" s="20"/>
      <c r="PAE13" s="20"/>
      <c r="PAF13" s="20"/>
      <c r="PAG13" s="20"/>
      <c r="PAH13" s="20"/>
      <c r="PAI13" s="20"/>
      <c r="PAJ13" s="20"/>
      <c r="PAK13" s="20"/>
      <c r="PAL13" s="20"/>
      <c r="PAM13" s="20"/>
      <c r="PAN13" s="20"/>
      <c r="PAO13" s="20"/>
      <c r="PAP13" s="20"/>
      <c r="PAQ13" s="20"/>
      <c r="PAR13" s="20"/>
      <c r="PAS13" s="20"/>
      <c r="PAT13" s="20"/>
      <c r="PAU13" s="20"/>
      <c r="PAV13" s="20"/>
      <c r="PAW13" s="20"/>
      <c r="PAX13" s="20"/>
      <c r="PAY13" s="20"/>
      <c r="PAZ13" s="20"/>
      <c r="PBA13" s="20"/>
      <c r="PBB13" s="20"/>
      <c r="PBC13" s="20"/>
      <c r="PBD13" s="20"/>
      <c r="PBE13" s="20"/>
      <c r="PBF13" s="20"/>
      <c r="PBG13" s="20"/>
      <c r="PBH13" s="20"/>
      <c r="PBI13" s="20"/>
      <c r="PBJ13" s="20"/>
      <c r="PBK13" s="20"/>
      <c r="PBL13" s="20"/>
      <c r="PBM13" s="20"/>
      <c r="PBN13" s="20"/>
      <c r="PBO13" s="20"/>
      <c r="PBP13" s="20"/>
      <c r="PBQ13" s="20"/>
      <c r="PBR13" s="20"/>
      <c r="PBS13" s="20"/>
      <c r="PBT13" s="20"/>
      <c r="PBU13" s="20"/>
      <c r="PBV13" s="20"/>
      <c r="PBW13" s="20"/>
      <c r="PBX13" s="20"/>
      <c r="PBY13" s="20"/>
      <c r="PBZ13" s="20"/>
      <c r="PCA13" s="20"/>
      <c r="PCB13" s="20"/>
      <c r="PCC13" s="20"/>
      <c r="PCD13" s="20"/>
      <c r="PCE13" s="20"/>
      <c r="PCF13" s="20"/>
      <c r="PCG13" s="20"/>
      <c r="PCH13" s="20"/>
      <c r="PCI13" s="20"/>
      <c r="PCJ13" s="20"/>
      <c r="PCK13" s="20"/>
      <c r="PCL13" s="20"/>
      <c r="PCM13" s="20"/>
      <c r="PCN13" s="20"/>
      <c r="PCO13" s="20"/>
      <c r="PCP13" s="20"/>
      <c r="PCQ13" s="20"/>
      <c r="PCR13" s="20"/>
      <c r="PCS13" s="20"/>
      <c r="PCT13" s="20"/>
      <c r="PCU13" s="20"/>
      <c r="PCV13" s="20"/>
      <c r="PCW13" s="20"/>
      <c r="PCX13" s="20"/>
      <c r="PCY13" s="20"/>
      <c r="PCZ13" s="20"/>
      <c r="PDA13" s="20"/>
      <c r="PDB13" s="20"/>
      <c r="PDC13" s="20"/>
      <c r="PDD13" s="20"/>
      <c r="PDE13" s="20"/>
      <c r="PDF13" s="20"/>
      <c r="PDG13" s="20"/>
      <c r="PDH13" s="20"/>
      <c r="PDI13" s="20"/>
      <c r="PDJ13" s="20"/>
      <c r="PDK13" s="20"/>
      <c r="PDL13" s="20"/>
      <c r="PDM13" s="20"/>
      <c r="PDN13" s="20"/>
      <c r="PDO13" s="20"/>
      <c r="PDP13" s="20"/>
      <c r="PDQ13" s="20"/>
      <c r="PDR13" s="20"/>
      <c r="PDS13" s="20"/>
      <c r="PDT13" s="20"/>
      <c r="PDU13" s="20"/>
      <c r="PDV13" s="20"/>
      <c r="PDW13" s="20"/>
      <c r="PDX13" s="20"/>
      <c r="PDY13" s="20"/>
      <c r="PDZ13" s="20"/>
      <c r="PEA13" s="20"/>
      <c r="PEB13" s="20"/>
      <c r="PEC13" s="20"/>
      <c r="PED13" s="20"/>
      <c r="PEE13" s="20"/>
      <c r="PEF13" s="20"/>
      <c r="PEG13" s="20"/>
      <c r="PEH13" s="20"/>
      <c r="PEI13" s="20"/>
      <c r="PEJ13" s="20"/>
      <c r="PEK13" s="20"/>
      <c r="PEL13" s="20"/>
      <c r="PEM13" s="20"/>
      <c r="PEN13" s="20"/>
      <c r="PEO13" s="20"/>
      <c r="PEP13" s="20"/>
      <c r="PEQ13" s="20"/>
      <c r="PER13" s="20"/>
      <c r="PES13" s="20"/>
      <c r="PET13" s="20"/>
      <c r="PEU13" s="20"/>
      <c r="PEV13" s="20"/>
      <c r="PEW13" s="20"/>
      <c r="PEX13" s="20"/>
      <c r="PEY13" s="20"/>
      <c r="PEZ13" s="20"/>
      <c r="PFA13" s="20"/>
      <c r="PFB13" s="20"/>
      <c r="PFC13" s="20"/>
      <c r="PFD13" s="20"/>
      <c r="PFE13" s="20"/>
      <c r="PFF13" s="20"/>
      <c r="PFG13" s="20"/>
      <c r="PFH13" s="20"/>
      <c r="PFI13" s="20"/>
      <c r="PFJ13" s="20"/>
      <c r="PFK13" s="20"/>
      <c r="PFL13" s="20"/>
      <c r="PFM13" s="20"/>
      <c r="PFN13" s="20"/>
      <c r="PFO13" s="20"/>
      <c r="PFP13" s="20"/>
      <c r="PFQ13" s="20"/>
      <c r="PFR13" s="20"/>
      <c r="PFS13" s="20"/>
      <c r="PFT13" s="20"/>
      <c r="PFU13" s="20"/>
      <c r="PFV13" s="20"/>
      <c r="PFW13" s="20"/>
      <c r="PFX13" s="20"/>
      <c r="PFY13" s="20"/>
      <c r="PFZ13" s="20"/>
      <c r="PGA13" s="20"/>
      <c r="PGB13" s="20"/>
      <c r="PGC13" s="20"/>
      <c r="PGD13" s="20"/>
      <c r="PGE13" s="20"/>
      <c r="PGF13" s="20"/>
      <c r="PGG13" s="20"/>
      <c r="PGH13" s="20"/>
      <c r="PGI13" s="20"/>
      <c r="PGJ13" s="20"/>
      <c r="PGK13" s="20"/>
      <c r="PGL13" s="20"/>
      <c r="PGM13" s="20"/>
      <c r="PGN13" s="20"/>
      <c r="PGO13" s="20"/>
      <c r="PGP13" s="20"/>
      <c r="PGQ13" s="20"/>
      <c r="PGR13" s="20"/>
      <c r="PGS13" s="20"/>
      <c r="PGT13" s="20"/>
      <c r="PGU13" s="20"/>
      <c r="PGV13" s="20"/>
      <c r="PGW13" s="20"/>
      <c r="PGX13" s="20"/>
      <c r="PGY13" s="20"/>
      <c r="PGZ13" s="20"/>
      <c r="PHA13" s="20"/>
      <c r="PHB13" s="20"/>
      <c r="PHC13" s="20"/>
      <c r="PHD13" s="20"/>
      <c r="PHE13" s="20"/>
      <c r="PHF13" s="20"/>
      <c r="PHG13" s="20"/>
      <c r="PHH13" s="20"/>
      <c r="PHI13" s="20"/>
      <c r="PHJ13" s="20"/>
      <c r="PHK13" s="20"/>
      <c r="PHL13" s="20"/>
      <c r="PHM13" s="20"/>
      <c r="PHN13" s="20"/>
      <c r="PHO13" s="20"/>
      <c r="PHP13" s="20"/>
      <c r="PHQ13" s="20"/>
      <c r="PHR13" s="20"/>
      <c r="PHS13" s="20"/>
      <c r="PHT13" s="20"/>
      <c r="PHU13" s="20"/>
      <c r="PHV13" s="20"/>
      <c r="PHW13" s="20"/>
      <c r="PHX13" s="20"/>
      <c r="PHY13" s="20"/>
      <c r="PHZ13" s="20"/>
      <c r="PIA13" s="20"/>
      <c r="PIB13" s="20"/>
      <c r="PIC13" s="20"/>
      <c r="PID13" s="20"/>
      <c r="PIE13" s="20"/>
      <c r="PIF13" s="20"/>
      <c r="PIG13" s="20"/>
      <c r="PIH13" s="20"/>
      <c r="PII13" s="20"/>
      <c r="PIJ13" s="20"/>
      <c r="PIK13" s="20"/>
      <c r="PIL13" s="20"/>
      <c r="PIM13" s="20"/>
      <c r="PIN13" s="20"/>
      <c r="PIO13" s="20"/>
      <c r="PIP13" s="20"/>
      <c r="PIQ13" s="20"/>
      <c r="PIR13" s="20"/>
      <c r="PIS13" s="20"/>
      <c r="PIT13" s="20"/>
      <c r="PIU13" s="20"/>
      <c r="PIV13" s="20"/>
      <c r="PIW13" s="20"/>
      <c r="PIX13" s="20"/>
      <c r="PIY13" s="20"/>
      <c r="PIZ13" s="20"/>
      <c r="PJA13" s="20"/>
      <c r="PJB13" s="20"/>
      <c r="PJC13" s="20"/>
      <c r="PJD13" s="20"/>
      <c r="PJE13" s="20"/>
      <c r="PJF13" s="20"/>
      <c r="PJG13" s="20"/>
      <c r="PJH13" s="20"/>
      <c r="PJI13" s="20"/>
      <c r="PJJ13" s="20"/>
      <c r="PJK13" s="20"/>
      <c r="PJL13" s="20"/>
      <c r="PJM13" s="20"/>
      <c r="PJN13" s="20"/>
      <c r="PJO13" s="20"/>
      <c r="PJP13" s="20"/>
      <c r="PJQ13" s="20"/>
      <c r="PJR13" s="20"/>
      <c r="PJS13" s="20"/>
      <c r="PJT13" s="20"/>
      <c r="PJU13" s="20"/>
      <c r="PJV13" s="20"/>
      <c r="PJW13" s="20"/>
      <c r="PJX13" s="20"/>
      <c r="PJY13" s="20"/>
      <c r="PJZ13" s="20"/>
      <c r="PKA13" s="20"/>
      <c r="PKB13" s="20"/>
      <c r="PKC13" s="20"/>
      <c r="PKD13" s="20"/>
      <c r="PKE13" s="20"/>
      <c r="PKF13" s="20"/>
      <c r="PKG13" s="20"/>
      <c r="PKH13" s="20"/>
      <c r="PKI13" s="20"/>
      <c r="PKJ13" s="20"/>
      <c r="PKK13" s="20"/>
      <c r="PKL13" s="20"/>
      <c r="PKM13" s="20"/>
      <c r="PKN13" s="20"/>
      <c r="PKO13" s="20"/>
      <c r="PKP13" s="20"/>
      <c r="PKQ13" s="20"/>
      <c r="PKR13" s="20"/>
      <c r="PKS13" s="20"/>
      <c r="PKT13" s="20"/>
      <c r="PKU13" s="20"/>
      <c r="PKV13" s="20"/>
      <c r="PKW13" s="20"/>
      <c r="PKX13" s="20"/>
      <c r="PKY13" s="20"/>
      <c r="PKZ13" s="20"/>
      <c r="PLA13" s="20"/>
      <c r="PLB13" s="20"/>
      <c r="PLC13" s="20"/>
      <c r="PLD13" s="20"/>
      <c r="PLE13" s="20"/>
      <c r="PLF13" s="20"/>
      <c r="PLG13" s="20"/>
      <c r="PLH13" s="20"/>
      <c r="PLI13" s="20"/>
      <c r="PLJ13" s="20"/>
      <c r="PLK13" s="20"/>
      <c r="PLL13" s="20"/>
      <c r="PLM13" s="20"/>
      <c r="PLN13" s="20"/>
      <c r="PLO13" s="20"/>
      <c r="PLP13" s="20"/>
      <c r="PLQ13" s="20"/>
      <c r="PLR13" s="20"/>
      <c r="PLS13" s="20"/>
      <c r="PLT13" s="20"/>
      <c r="PLU13" s="20"/>
      <c r="PLV13" s="20"/>
      <c r="PLW13" s="20"/>
      <c r="PLX13" s="20"/>
      <c r="PLY13" s="20"/>
      <c r="PLZ13" s="20"/>
      <c r="PMA13" s="20"/>
      <c r="PMB13" s="20"/>
      <c r="PMC13" s="20"/>
      <c r="PMD13" s="20"/>
      <c r="PME13" s="20"/>
      <c r="PMF13" s="20"/>
      <c r="PMG13" s="20"/>
      <c r="PMH13" s="20"/>
      <c r="PMI13" s="20"/>
      <c r="PMJ13" s="20"/>
      <c r="PMK13" s="20"/>
      <c r="PML13" s="20"/>
      <c r="PMM13" s="20"/>
      <c r="PMN13" s="20"/>
      <c r="PMO13" s="20"/>
      <c r="PMP13" s="20"/>
      <c r="PMQ13" s="20"/>
      <c r="PMR13" s="20"/>
      <c r="PMS13" s="20"/>
      <c r="PMT13" s="20"/>
      <c r="PMU13" s="20"/>
      <c r="PMV13" s="20"/>
      <c r="PMW13" s="20"/>
      <c r="PMX13" s="20"/>
      <c r="PMY13" s="20"/>
      <c r="PMZ13" s="20"/>
      <c r="PNA13" s="20"/>
      <c r="PNB13" s="20"/>
      <c r="PNC13" s="20"/>
      <c r="PND13" s="20"/>
      <c r="PNE13" s="20"/>
      <c r="PNF13" s="20"/>
      <c r="PNG13" s="20"/>
      <c r="PNH13" s="20"/>
      <c r="PNI13" s="20"/>
      <c r="PNJ13" s="20"/>
      <c r="PNK13" s="20"/>
      <c r="PNL13" s="20"/>
      <c r="PNM13" s="20"/>
      <c r="PNN13" s="20"/>
      <c r="PNO13" s="20"/>
      <c r="PNP13" s="20"/>
      <c r="PNQ13" s="20"/>
      <c r="PNR13" s="20"/>
      <c r="PNS13" s="20"/>
      <c r="PNT13" s="20"/>
      <c r="PNU13" s="20"/>
      <c r="PNV13" s="20"/>
      <c r="PNW13" s="20"/>
      <c r="PNX13" s="20"/>
      <c r="PNY13" s="20"/>
      <c r="PNZ13" s="20"/>
      <c r="POA13" s="20"/>
      <c r="POB13" s="20"/>
      <c r="POC13" s="20"/>
      <c r="POD13" s="20"/>
      <c r="POE13" s="20"/>
      <c r="POF13" s="20"/>
      <c r="POG13" s="20"/>
      <c r="POH13" s="20"/>
      <c r="POI13" s="20"/>
      <c r="POJ13" s="20"/>
      <c r="POK13" s="20"/>
      <c r="POL13" s="20"/>
      <c r="POM13" s="20"/>
      <c r="PON13" s="20"/>
      <c r="POO13" s="20"/>
      <c r="POP13" s="20"/>
      <c r="POQ13" s="20"/>
      <c r="POR13" s="20"/>
      <c r="POS13" s="20"/>
      <c r="POT13" s="20"/>
      <c r="POU13" s="20"/>
      <c r="POV13" s="20"/>
      <c r="POW13" s="20"/>
      <c r="POX13" s="20"/>
      <c r="POY13" s="20"/>
      <c r="POZ13" s="20"/>
      <c r="PPA13" s="20"/>
      <c r="PPB13" s="20"/>
      <c r="PPC13" s="20"/>
      <c r="PPD13" s="20"/>
      <c r="PPE13" s="20"/>
      <c r="PPF13" s="20"/>
      <c r="PPG13" s="20"/>
      <c r="PPH13" s="20"/>
      <c r="PPI13" s="20"/>
      <c r="PPJ13" s="20"/>
      <c r="PPK13" s="20"/>
      <c r="PPL13" s="20"/>
      <c r="PPM13" s="20"/>
      <c r="PPN13" s="20"/>
      <c r="PPO13" s="20"/>
      <c r="PPP13" s="20"/>
      <c r="PPQ13" s="20"/>
      <c r="PPR13" s="20"/>
      <c r="PPS13" s="20"/>
      <c r="PPT13" s="20"/>
      <c r="PPU13" s="20"/>
      <c r="PPV13" s="20"/>
      <c r="PPW13" s="20"/>
      <c r="PPX13" s="20"/>
      <c r="PPY13" s="20"/>
      <c r="PPZ13" s="20"/>
      <c r="PQA13" s="20"/>
      <c r="PQB13" s="20"/>
      <c r="PQC13" s="20"/>
      <c r="PQD13" s="20"/>
      <c r="PQE13" s="20"/>
      <c r="PQF13" s="20"/>
      <c r="PQG13" s="20"/>
      <c r="PQH13" s="20"/>
      <c r="PQI13" s="20"/>
      <c r="PQJ13" s="20"/>
      <c r="PQK13" s="20"/>
      <c r="PQL13" s="20"/>
      <c r="PQM13" s="20"/>
      <c r="PQN13" s="20"/>
      <c r="PQO13" s="20"/>
      <c r="PQP13" s="20"/>
      <c r="PQQ13" s="20"/>
      <c r="PQR13" s="20"/>
      <c r="PQS13" s="20"/>
      <c r="PQT13" s="20"/>
      <c r="PQU13" s="20"/>
      <c r="PQV13" s="20"/>
      <c r="PQW13" s="20"/>
      <c r="PQX13" s="20"/>
      <c r="PQY13" s="20"/>
      <c r="PQZ13" s="20"/>
      <c r="PRA13" s="20"/>
      <c r="PRB13" s="20"/>
      <c r="PRC13" s="20"/>
      <c r="PRD13" s="20"/>
      <c r="PRE13" s="20"/>
      <c r="PRF13" s="20"/>
      <c r="PRG13" s="20"/>
      <c r="PRH13" s="20"/>
      <c r="PRI13" s="20"/>
      <c r="PRJ13" s="20"/>
      <c r="PRK13" s="20"/>
      <c r="PRL13" s="20"/>
      <c r="PRM13" s="20"/>
      <c r="PRN13" s="20"/>
      <c r="PRO13" s="20"/>
      <c r="PRP13" s="20"/>
      <c r="PRQ13" s="20"/>
      <c r="PRR13" s="20"/>
      <c r="PRS13" s="20"/>
      <c r="PRT13" s="20"/>
      <c r="PRU13" s="20"/>
      <c r="PRV13" s="20"/>
      <c r="PRW13" s="20"/>
      <c r="PRX13" s="20"/>
      <c r="PRY13" s="20"/>
      <c r="PRZ13" s="20"/>
      <c r="PSA13" s="20"/>
      <c r="PSB13" s="20"/>
      <c r="PSC13" s="20"/>
      <c r="PSD13" s="20"/>
      <c r="PSE13" s="20"/>
      <c r="PSF13" s="20"/>
      <c r="PSG13" s="20"/>
      <c r="PSH13" s="20"/>
      <c r="PSI13" s="20"/>
      <c r="PSJ13" s="20"/>
      <c r="PSK13" s="20"/>
      <c r="PSL13" s="20"/>
      <c r="PSM13" s="20"/>
      <c r="PSN13" s="20"/>
      <c r="PSO13" s="20"/>
      <c r="PSP13" s="20"/>
      <c r="PSQ13" s="20"/>
      <c r="PSR13" s="20"/>
      <c r="PSS13" s="20"/>
      <c r="PST13" s="20"/>
      <c r="PSU13" s="20"/>
      <c r="PSV13" s="20"/>
      <c r="PSW13" s="20"/>
      <c r="PSX13" s="20"/>
      <c r="PSY13" s="20"/>
      <c r="PSZ13" s="20"/>
      <c r="PTA13" s="20"/>
      <c r="PTB13" s="20"/>
      <c r="PTC13" s="20"/>
      <c r="PTD13" s="20"/>
      <c r="PTE13" s="20"/>
      <c r="PTF13" s="20"/>
      <c r="PTG13" s="20"/>
      <c r="PTH13" s="20"/>
      <c r="PTI13" s="20"/>
      <c r="PTJ13" s="20"/>
      <c r="PTK13" s="20"/>
      <c r="PTL13" s="20"/>
      <c r="PTM13" s="20"/>
      <c r="PTN13" s="20"/>
      <c r="PTO13" s="20"/>
      <c r="PTP13" s="20"/>
      <c r="PTQ13" s="20"/>
      <c r="PTR13" s="20"/>
      <c r="PTS13" s="20"/>
      <c r="PTT13" s="20"/>
      <c r="PTU13" s="20"/>
      <c r="PTV13" s="20"/>
      <c r="PTW13" s="20"/>
      <c r="PTX13" s="20"/>
      <c r="PTY13" s="20"/>
      <c r="PTZ13" s="20"/>
      <c r="PUA13" s="20"/>
      <c r="PUB13" s="20"/>
      <c r="PUC13" s="20"/>
      <c r="PUD13" s="20"/>
      <c r="PUE13" s="20"/>
      <c r="PUF13" s="20"/>
      <c r="PUG13" s="20"/>
      <c r="PUH13" s="20"/>
      <c r="PUI13" s="20"/>
      <c r="PUJ13" s="20"/>
      <c r="PUK13" s="20"/>
      <c r="PUL13" s="20"/>
      <c r="PUM13" s="20"/>
      <c r="PUN13" s="20"/>
      <c r="PUO13" s="20"/>
      <c r="PUP13" s="20"/>
      <c r="PUQ13" s="20"/>
      <c r="PUR13" s="20"/>
      <c r="PUS13" s="20"/>
      <c r="PUT13" s="20"/>
      <c r="PUU13" s="20"/>
      <c r="PUV13" s="20"/>
      <c r="PUW13" s="20"/>
      <c r="PUX13" s="20"/>
      <c r="PUY13" s="20"/>
      <c r="PUZ13" s="20"/>
      <c r="PVA13" s="20"/>
      <c r="PVB13" s="20"/>
      <c r="PVC13" s="20"/>
      <c r="PVD13" s="20"/>
      <c r="PVE13" s="20"/>
      <c r="PVF13" s="20"/>
      <c r="PVG13" s="20"/>
      <c r="PVH13" s="20"/>
      <c r="PVI13" s="20"/>
      <c r="PVJ13" s="20"/>
      <c r="PVK13" s="20"/>
      <c r="PVL13" s="20"/>
      <c r="PVM13" s="20"/>
      <c r="PVN13" s="20"/>
      <c r="PVO13" s="20"/>
      <c r="PVP13" s="20"/>
      <c r="PVQ13" s="20"/>
      <c r="PVR13" s="20"/>
      <c r="PVS13" s="20"/>
      <c r="PVT13" s="20"/>
      <c r="PVU13" s="20"/>
      <c r="PVV13" s="20"/>
      <c r="PVW13" s="20"/>
      <c r="PVX13" s="20"/>
      <c r="PVY13" s="20"/>
      <c r="PVZ13" s="20"/>
      <c r="PWA13" s="20"/>
      <c r="PWB13" s="20"/>
      <c r="PWC13" s="20"/>
      <c r="PWD13" s="20"/>
      <c r="PWE13" s="20"/>
      <c r="PWF13" s="20"/>
      <c r="PWG13" s="20"/>
      <c r="PWH13" s="20"/>
      <c r="PWI13" s="20"/>
      <c r="PWJ13" s="20"/>
      <c r="PWK13" s="20"/>
      <c r="PWL13" s="20"/>
      <c r="PWM13" s="20"/>
      <c r="PWN13" s="20"/>
      <c r="PWO13" s="20"/>
      <c r="PWP13" s="20"/>
      <c r="PWQ13" s="20"/>
      <c r="PWR13" s="20"/>
      <c r="PWS13" s="20"/>
      <c r="PWT13" s="20"/>
      <c r="PWU13" s="20"/>
      <c r="PWV13" s="20"/>
      <c r="PWW13" s="20"/>
      <c r="PWX13" s="20"/>
      <c r="PWY13" s="20"/>
      <c r="PWZ13" s="20"/>
      <c r="PXA13" s="20"/>
      <c r="PXB13" s="20"/>
      <c r="PXC13" s="20"/>
      <c r="PXD13" s="20"/>
      <c r="PXE13" s="20"/>
      <c r="PXF13" s="20"/>
      <c r="PXG13" s="20"/>
      <c r="PXH13" s="20"/>
      <c r="PXI13" s="20"/>
      <c r="PXJ13" s="20"/>
      <c r="PXK13" s="20"/>
      <c r="PXL13" s="20"/>
      <c r="PXM13" s="20"/>
      <c r="PXN13" s="20"/>
      <c r="PXO13" s="20"/>
      <c r="PXP13" s="20"/>
      <c r="PXQ13" s="20"/>
      <c r="PXR13" s="20"/>
      <c r="PXS13" s="20"/>
      <c r="PXT13" s="20"/>
      <c r="PXU13" s="20"/>
      <c r="PXV13" s="20"/>
      <c r="PXW13" s="20"/>
      <c r="PXX13" s="20"/>
      <c r="PXY13" s="20"/>
      <c r="PXZ13" s="20"/>
      <c r="PYA13" s="20"/>
      <c r="PYB13" s="20"/>
      <c r="PYC13" s="20"/>
      <c r="PYD13" s="20"/>
      <c r="PYE13" s="20"/>
      <c r="PYF13" s="20"/>
      <c r="PYG13" s="20"/>
      <c r="PYH13" s="20"/>
      <c r="PYI13" s="20"/>
      <c r="PYJ13" s="20"/>
      <c r="PYK13" s="20"/>
      <c r="PYL13" s="20"/>
      <c r="PYM13" s="20"/>
      <c r="PYN13" s="20"/>
      <c r="PYO13" s="20"/>
      <c r="PYP13" s="20"/>
      <c r="PYQ13" s="20"/>
      <c r="PYR13" s="20"/>
      <c r="PYS13" s="20"/>
      <c r="PYT13" s="20"/>
      <c r="PYU13" s="20"/>
      <c r="PYV13" s="20"/>
      <c r="PYW13" s="20"/>
      <c r="PYX13" s="20"/>
      <c r="PYY13" s="20"/>
      <c r="PYZ13" s="20"/>
      <c r="PZA13" s="20"/>
      <c r="PZB13" s="20"/>
      <c r="PZC13" s="20"/>
      <c r="PZD13" s="20"/>
      <c r="PZE13" s="20"/>
      <c r="PZF13" s="20"/>
      <c r="PZG13" s="20"/>
      <c r="PZH13" s="20"/>
      <c r="PZI13" s="20"/>
      <c r="PZJ13" s="20"/>
      <c r="PZK13" s="20"/>
      <c r="PZL13" s="20"/>
      <c r="PZM13" s="20"/>
      <c r="PZN13" s="20"/>
      <c r="PZO13" s="20"/>
      <c r="PZP13" s="20"/>
      <c r="PZQ13" s="20"/>
      <c r="PZR13" s="20"/>
      <c r="PZS13" s="20"/>
      <c r="PZT13" s="20"/>
      <c r="PZU13" s="20"/>
      <c r="PZV13" s="20"/>
      <c r="PZW13" s="20"/>
      <c r="PZX13" s="20"/>
      <c r="PZY13" s="20"/>
      <c r="PZZ13" s="20"/>
      <c r="QAA13" s="20"/>
      <c r="QAB13" s="20"/>
      <c r="QAC13" s="20"/>
      <c r="QAD13" s="20"/>
      <c r="QAE13" s="20"/>
      <c r="QAF13" s="20"/>
      <c r="QAG13" s="20"/>
      <c r="QAH13" s="20"/>
      <c r="QAI13" s="20"/>
      <c r="QAJ13" s="20"/>
      <c r="QAK13" s="20"/>
      <c r="QAL13" s="20"/>
      <c r="QAM13" s="20"/>
      <c r="QAN13" s="20"/>
      <c r="QAO13" s="20"/>
      <c r="QAP13" s="20"/>
      <c r="QAQ13" s="20"/>
      <c r="QAR13" s="20"/>
      <c r="QAS13" s="20"/>
      <c r="QAT13" s="20"/>
      <c r="QAU13" s="20"/>
      <c r="QAV13" s="20"/>
      <c r="QAW13" s="20"/>
      <c r="QAX13" s="20"/>
      <c r="QAY13" s="20"/>
      <c r="QAZ13" s="20"/>
      <c r="QBA13" s="20"/>
      <c r="QBB13" s="20"/>
      <c r="QBC13" s="20"/>
      <c r="QBD13" s="20"/>
      <c r="QBE13" s="20"/>
      <c r="QBF13" s="20"/>
      <c r="QBG13" s="20"/>
      <c r="QBH13" s="20"/>
      <c r="QBI13" s="20"/>
      <c r="QBJ13" s="20"/>
      <c r="QBK13" s="20"/>
      <c r="QBL13" s="20"/>
      <c r="QBM13" s="20"/>
      <c r="QBN13" s="20"/>
      <c r="QBO13" s="20"/>
      <c r="QBP13" s="20"/>
      <c r="QBQ13" s="20"/>
      <c r="QBR13" s="20"/>
      <c r="QBS13" s="20"/>
      <c r="QBT13" s="20"/>
      <c r="QBU13" s="20"/>
      <c r="QBV13" s="20"/>
      <c r="QBW13" s="20"/>
      <c r="QBX13" s="20"/>
      <c r="QBY13" s="20"/>
      <c r="QBZ13" s="20"/>
      <c r="QCA13" s="20"/>
      <c r="QCB13" s="20"/>
      <c r="QCC13" s="20"/>
      <c r="QCD13" s="20"/>
      <c r="QCE13" s="20"/>
      <c r="QCF13" s="20"/>
      <c r="QCG13" s="20"/>
      <c r="QCH13" s="20"/>
      <c r="QCI13" s="20"/>
      <c r="QCJ13" s="20"/>
      <c r="QCK13" s="20"/>
      <c r="QCL13" s="20"/>
      <c r="QCM13" s="20"/>
      <c r="QCN13" s="20"/>
      <c r="QCO13" s="20"/>
      <c r="QCP13" s="20"/>
      <c r="QCQ13" s="20"/>
      <c r="QCR13" s="20"/>
      <c r="QCS13" s="20"/>
      <c r="QCT13" s="20"/>
      <c r="QCU13" s="20"/>
      <c r="QCV13" s="20"/>
      <c r="QCW13" s="20"/>
      <c r="QCX13" s="20"/>
      <c r="QCY13" s="20"/>
      <c r="QCZ13" s="20"/>
      <c r="QDA13" s="20"/>
      <c r="QDB13" s="20"/>
      <c r="QDC13" s="20"/>
      <c r="QDD13" s="20"/>
      <c r="QDE13" s="20"/>
      <c r="QDF13" s="20"/>
      <c r="QDG13" s="20"/>
      <c r="QDH13" s="20"/>
      <c r="QDI13" s="20"/>
      <c r="QDJ13" s="20"/>
      <c r="QDK13" s="20"/>
      <c r="QDL13" s="20"/>
      <c r="QDM13" s="20"/>
      <c r="QDN13" s="20"/>
      <c r="QDO13" s="20"/>
      <c r="QDP13" s="20"/>
      <c r="QDQ13" s="20"/>
      <c r="QDR13" s="20"/>
      <c r="QDS13" s="20"/>
      <c r="QDT13" s="20"/>
      <c r="QDU13" s="20"/>
      <c r="QDV13" s="20"/>
      <c r="QDW13" s="20"/>
      <c r="QDX13" s="20"/>
      <c r="QDY13" s="20"/>
      <c r="QDZ13" s="20"/>
      <c r="QEA13" s="20"/>
      <c r="QEB13" s="20"/>
      <c r="QEC13" s="20"/>
      <c r="QED13" s="20"/>
      <c r="QEE13" s="20"/>
      <c r="QEF13" s="20"/>
      <c r="QEG13" s="20"/>
      <c r="QEH13" s="20"/>
      <c r="QEI13" s="20"/>
      <c r="QEJ13" s="20"/>
      <c r="QEK13" s="20"/>
      <c r="QEL13" s="20"/>
      <c r="QEM13" s="20"/>
      <c r="QEN13" s="20"/>
      <c r="QEO13" s="20"/>
      <c r="QEP13" s="20"/>
      <c r="QEQ13" s="20"/>
      <c r="QER13" s="20"/>
      <c r="QES13" s="20"/>
      <c r="QET13" s="20"/>
      <c r="QEU13" s="20"/>
      <c r="QEV13" s="20"/>
      <c r="QEW13" s="20"/>
      <c r="QEX13" s="20"/>
      <c r="QEY13" s="20"/>
      <c r="QEZ13" s="20"/>
      <c r="QFA13" s="20"/>
      <c r="QFB13" s="20"/>
      <c r="QFC13" s="20"/>
      <c r="QFD13" s="20"/>
      <c r="QFE13" s="20"/>
      <c r="QFF13" s="20"/>
      <c r="QFG13" s="20"/>
      <c r="QFH13" s="20"/>
      <c r="QFI13" s="20"/>
      <c r="QFJ13" s="20"/>
      <c r="QFK13" s="20"/>
      <c r="QFL13" s="20"/>
      <c r="QFM13" s="20"/>
      <c r="QFN13" s="20"/>
      <c r="QFO13" s="20"/>
      <c r="QFP13" s="20"/>
      <c r="QFQ13" s="20"/>
      <c r="QFR13" s="20"/>
      <c r="QFS13" s="20"/>
      <c r="QFT13" s="20"/>
      <c r="QFU13" s="20"/>
      <c r="QFV13" s="20"/>
      <c r="QFW13" s="20"/>
      <c r="QFX13" s="20"/>
      <c r="QFY13" s="20"/>
      <c r="QFZ13" s="20"/>
      <c r="QGA13" s="20"/>
      <c r="QGB13" s="20"/>
      <c r="QGC13" s="20"/>
      <c r="QGD13" s="20"/>
      <c r="QGE13" s="20"/>
      <c r="QGF13" s="20"/>
      <c r="QGG13" s="20"/>
      <c r="QGH13" s="20"/>
      <c r="QGI13" s="20"/>
      <c r="QGJ13" s="20"/>
      <c r="QGK13" s="20"/>
      <c r="QGL13" s="20"/>
      <c r="QGM13" s="20"/>
      <c r="QGN13" s="20"/>
      <c r="QGO13" s="20"/>
      <c r="QGP13" s="20"/>
      <c r="QGQ13" s="20"/>
      <c r="QGR13" s="20"/>
      <c r="QGS13" s="20"/>
      <c r="QGT13" s="20"/>
      <c r="QGU13" s="20"/>
      <c r="QGV13" s="20"/>
      <c r="QGW13" s="20"/>
      <c r="QGX13" s="20"/>
      <c r="QGY13" s="20"/>
      <c r="QGZ13" s="20"/>
      <c r="QHA13" s="20"/>
      <c r="QHB13" s="20"/>
      <c r="QHC13" s="20"/>
      <c r="QHD13" s="20"/>
      <c r="QHE13" s="20"/>
      <c r="QHF13" s="20"/>
      <c r="QHG13" s="20"/>
      <c r="QHH13" s="20"/>
      <c r="QHI13" s="20"/>
      <c r="QHJ13" s="20"/>
      <c r="QHK13" s="20"/>
      <c r="QHL13" s="20"/>
      <c r="QHM13" s="20"/>
      <c r="QHN13" s="20"/>
      <c r="QHO13" s="20"/>
      <c r="QHP13" s="20"/>
      <c r="QHQ13" s="20"/>
      <c r="QHR13" s="20"/>
      <c r="QHS13" s="20"/>
      <c r="QHT13" s="20"/>
      <c r="QHU13" s="20"/>
      <c r="QHV13" s="20"/>
      <c r="QHW13" s="20"/>
      <c r="QHX13" s="20"/>
      <c r="QHY13" s="20"/>
      <c r="QHZ13" s="20"/>
      <c r="QIA13" s="20"/>
      <c r="QIB13" s="20"/>
      <c r="QIC13" s="20"/>
      <c r="QID13" s="20"/>
      <c r="QIE13" s="20"/>
      <c r="QIF13" s="20"/>
      <c r="QIG13" s="20"/>
      <c r="QIH13" s="20"/>
      <c r="QII13" s="20"/>
      <c r="QIJ13" s="20"/>
      <c r="QIK13" s="20"/>
      <c r="QIL13" s="20"/>
      <c r="QIM13" s="20"/>
      <c r="QIN13" s="20"/>
      <c r="QIO13" s="20"/>
      <c r="QIP13" s="20"/>
      <c r="QIQ13" s="20"/>
      <c r="QIR13" s="20"/>
      <c r="QIS13" s="20"/>
      <c r="QIT13" s="20"/>
      <c r="QIU13" s="20"/>
      <c r="QIV13" s="20"/>
      <c r="QIW13" s="20"/>
      <c r="QIX13" s="20"/>
      <c r="QIY13" s="20"/>
      <c r="QIZ13" s="20"/>
      <c r="QJA13" s="20"/>
      <c r="QJB13" s="20"/>
      <c r="QJC13" s="20"/>
      <c r="QJD13" s="20"/>
      <c r="QJE13" s="20"/>
      <c r="QJF13" s="20"/>
      <c r="QJG13" s="20"/>
      <c r="QJH13" s="20"/>
      <c r="QJI13" s="20"/>
      <c r="QJJ13" s="20"/>
      <c r="QJK13" s="20"/>
      <c r="QJL13" s="20"/>
      <c r="QJM13" s="20"/>
      <c r="QJN13" s="20"/>
      <c r="QJO13" s="20"/>
      <c r="QJP13" s="20"/>
      <c r="QJQ13" s="20"/>
      <c r="QJR13" s="20"/>
      <c r="QJS13" s="20"/>
      <c r="QJT13" s="20"/>
      <c r="QJU13" s="20"/>
      <c r="QJV13" s="20"/>
      <c r="QJW13" s="20"/>
      <c r="QJX13" s="20"/>
      <c r="QJY13" s="20"/>
      <c r="QJZ13" s="20"/>
      <c r="QKA13" s="20"/>
      <c r="QKB13" s="20"/>
      <c r="QKC13" s="20"/>
      <c r="QKD13" s="20"/>
      <c r="QKE13" s="20"/>
      <c r="QKF13" s="20"/>
      <c r="QKG13" s="20"/>
      <c r="QKH13" s="20"/>
      <c r="QKI13" s="20"/>
      <c r="QKJ13" s="20"/>
      <c r="QKK13" s="20"/>
      <c r="QKL13" s="20"/>
      <c r="QKM13" s="20"/>
      <c r="QKN13" s="20"/>
      <c r="QKO13" s="20"/>
      <c r="QKP13" s="20"/>
      <c r="QKQ13" s="20"/>
      <c r="QKR13" s="20"/>
      <c r="QKS13" s="20"/>
      <c r="QKT13" s="20"/>
      <c r="QKU13" s="20"/>
      <c r="QKV13" s="20"/>
      <c r="QKW13" s="20"/>
      <c r="QKX13" s="20"/>
      <c r="QKY13" s="20"/>
      <c r="QKZ13" s="20"/>
      <c r="QLA13" s="20"/>
      <c r="QLB13" s="20"/>
      <c r="QLC13" s="20"/>
      <c r="QLD13" s="20"/>
      <c r="QLE13" s="20"/>
      <c r="QLF13" s="20"/>
      <c r="QLG13" s="20"/>
      <c r="QLH13" s="20"/>
      <c r="QLI13" s="20"/>
      <c r="QLJ13" s="20"/>
      <c r="QLK13" s="20"/>
      <c r="QLL13" s="20"/>
      <c r="QLM13" s="20"/>
      <c r="QLN13" s="20"/>
      <c r="QLO13" s="20"/>
      <c r="QLP13" s="20"/>
      <c r="QLQ13" s="20"/>
      <c r="QLR13" s="20"/>
      <c r="QLS13" s="20"/>
      <c r="QLT13" s="20"/>
      <c r="QLU13" s="20"/>
      <c r="QLV13" s="20"/>
      <c r="QLW13" s="20"/>
      <c r="QLX13" s="20"/>
      <c r="QLY13" s="20"/>
      <c r="QLZ13" s="20"/>
      <c r="QMA13" s="20"/>
      <c r="QMB13" s="20"/>
      <c r="QMC13" s="20"/>
      <c r="QMD13" s="20"/>
      <c r="QME13" s="20"/>
      <c r="QMF13" s="20"/>
      <c r="QMG13" s="20"/>
      <c r="QMH13" s="20"/>
      <c r="QMI13" s="20"/>
      <c r="QMJ13" s="20"/>
      <c r="QMK13" s="20"/>
      <c r="QML13" s="20"/>
      <c r="QMM13" s="20"/>
      <c r="QMN13" s="20"/>
      <c r="QMO13" s="20"/>
      <c r="QMP13" s="20"/>
      <c r="QMQ13" s="20"/>
      <c r="QMR13" s="20"/>
      <c r="QMS13" s="20"/>
      <c r="QMT13" s="20"/>
      <c r="QMU13" s="20"/>
      <c r="QMV13" s="20"/>
      <c r="QMW13" s="20"/>
      <c r="QMX13" s="20"/>
      <c r="QMY13" s="20"/>
      <c r="QMZ13" s="20"/>
      <c r="QNA13" s="20"/>
      <c r="QNB13" s="20"/>
      <c r="QNC13" s="20"/>
      <c r="QND13" s="20"/>
      <c r="QNE13" s="20"/>
      <c r="QNF13" s="20"/>
      <c r="QNG13" s="20"/>
      <c r="QNH13" s="20"/>
      <c r="QNI13" s="20"/>
      <c r="QNJ13" s="20"/>
      <c r="QNK13" s="20"/>
      <c r="QNL13" s="20"/>
      <c r="QNM13" s="20"/>
      <c r="QNN13" s="20"/>
      <c r="QNO13" s="20"/>
      <c r="QNP13" s="20"/>
      <c r="QNQ13" s="20"/>
      <c r="QNR13" s="20"/>
      <c r="QNS13" s="20"/>
      <c r="QNT13" s="20"/>
      <c r="QNU13" s="20"/>
      <c r="QNV13" s="20"/>
      <c r="QNW13" s="20"/>
      <c r="QNX13" s="20"/>
      <c r="QNY13" s="20"/>
      <c r="QNZ13" s="20"/>
      <c r="QOA13" s="20"/>
      <c r="QOB13" s="20"/>
      <c r="QOC13" s="20"/>
      <c r="QOD13" s="20"/>
      <c r="QOE13" s="20"/>
      <c r="QOF13" s="20"/>
      <c r="QOG13" s="20"/>
      <c r="QOH13" s="20"/>
      <c r="QOI13" s="20"/>
      <c r="QOJ13" s="20"/>
      <c r="QOK13" s="20"/>
      <c r="QOL13" s="20"/>
      <c r="QOM13" s="20"/>
      <c r="QON13" s="20"/>
      <c r="QOO13" s="20"/>
      <c r="QOP13" s="20"/>
      <c r="QOQ13" s="20"/>
      <c r="QOR13" s="20"/>
      <c r="QOS13" s="20"/>
      <c r="QOT13" s="20"/>
      <c r="QOU13" s="20"/>
      <c r="QOV13" s="20"/>
      <c r="QOW13" s="20"/>
      <c r="QOX13" s="20"/>
      <c r="QOY13" s="20"/>
      <c r="QOZ13" s="20"/>
      <c r="QPA13" s="20"/>
      <c r="QPB13" s="20"/>
      <c r="QPC13" s="20"/>
      <c r="QPD13" s="20"/>
      <c r="QPE13" s="20"/>
      <c r="QPF13" s="20"/>
      <c r="QPG13" s="20"/>
      <c r="QPH13" s="20"/>
      <c r="QPI13" s="20"/>
      <c r="QPJ13" s="20"/>
      <c r="QPK13" s="20"/>
      <c r="QPL13" s="20"/>
      <c r="QPM13" s="20"/>
      <c r="QPN13" s="20"/>
      <c r="QPO13" s="20"/>
      <c r="QPP13" s="20"/>
      <c r="QPQ13" s="20"/>
      <c r="QPR13" s="20"/>
      <c r="QPS13" s="20"/>
      <c r="QPT13" s="20"/>
      <c r="QPU13" s="20"/>
      <c r="QPV13" s="20"/>
      <c r="QPW13" s="20"/>
      <c r="QPX13" s="20"/>
      <c r="QPY13" s="20"/>
      <c r="QPZ13" s="20"/>
      <c r="QQA13" s="20"/>
      <c r="QQB13" s="20"/>
      <c r="QQC13" s="20"/>
      <c r="QQD13" s="20"/>
      <c r="QQE13" s="20"/>
      <c r="QQF13" s="20"/>
      <c r="QQG13" s="20"/>
      <c r="QQH13" s="20"/>
      <c r="QQI13" s="20"/>
      <c r="QQJ13" s="20"/>
      <c r="QQK13" s="20"/>
      <c r="QQL13" s="20"/>
      <c r="QQM13" s="20"/>
      <c r="QQN13" s="20"/>
      <c r="QQO13" s="20"/>
      <c r="QQP13" s="20"/>
      <c r="QQQ13" s="20"/>
      <c r="QQR13" s="20"/>
      <c r="QQS13" s="20"/>
      <c r="QQT13" s="20"/>
      <c r="QQU13" s="20"/>
      <c r="QQV13" s="20"/>
      <c r="QQW13" s="20"/>
      <c r="QQX13" s="20"/>
      <c r="QQY13" s="20"/>
      <c r="QQZ13" s="20"/>
      <c r="QRA13" s="20"/>
      <c r="QRB13" s="20"/>
      <c r="QRC13" s="20"/>
      <c r="QRD13" s="20"/>
      <c r="QRE13" s="20"/>
      <c r="QRF13" s="20"/>
      <c r="QRG13" s="20"/>
      <c r="QRH13" s="20"/>
      <c r="QRI13" s="20"/>
      <c r="QRJ13" s="20"/>
      <c r="QRK13" s="20"/>
      <c r="QRL13" s="20"/>
      <c r="QRM13" s="20"/>
      <c r="QRN13" s="20"/>
      <c r="QRO13" s="20"/>
      <c r="QRP13" s="20"/>
      <c r="QRQ13" s="20"/>
      <c r="QRR13" s="20"/>
      <c r="QRS13" s="20"/>
      <c r="QRT13" s="20"/>
      <c r="QRU13" s="20"/>
      <c r="QRV13" s="20"/>
      <c r="QRW13" s="20"/>
      <c r="QRX13" s="20"/>
      <c r="QRY13" s="20"/>
      <c r="QRZ13" s="20"/>
      <c r="QSA13" s="20"/>
      <c r="QSB13" s="20"/>
      <c r="QSC13" s="20"/>
      <c r="QSD13" s="20"/>
      <c r="QSE13" s="20"/>
      <c r="QSF13" s="20"/>
      <c r="QSG13" s="20"/>
      <c r="QSH13" s="20"/>
      <c r="QSI13" s="20"/>
      <c r="QSJ13" s="20"/>
      <c r="QSK13" s="20"/>
      <c r="QSL13" s="20"/>
      <c r="QSM13" s="20"/>
      <c r="QSN13" s="20"/>
      <c r="QSO13" s="20"/>
      <c r="QSP13" s="20"/>
      <c r="QSQ13" s="20"/>
      <c r="QSR13" s="20"/>
      <c r="QSS13" s="20"/>
      <c r="QST13" s="20"/>
      <c r="QSU13" s="20"/>
      <c r="QSV13" s="20"/>
      <c r="QSW13" s="20"/>
      <c r="QSX13" s="20"/>
      <c r="QSY13" s="20"/>
      <c r="QSZ13" s="20"/>
      <c r="QTA13" s="20"/>
      <c r="QTB13" s="20"/>
      <c r="QTC13" s="20"/>
      <c r="QTD13" s="20"/>
      <c r="QTE13" s="20"/>
      <c r="QTF13" s="20"/>
      <c r="QTG13" s="20"/>
      <c r="QTH13" s="20"/>
      <c r="QTI13" s="20"/>
      <c r="QTJ13" s="20"/>
      <c r="QTK13" s="20"/>
      <c r="QTL13" s="20"/>
      <c r="QTM13" s="20"/>
      <c r="QTN13" s="20"/>
      <c r="QTO13" s="20"/>
      <c r="QTP13" s="20"/>
      <c r="QTQ13" s="20"/>
      <c r="QTR13" s="20"/>
      <c r="QTS13" s="20"/>
      <c r="QTT13" s="20"/>
      <c r="QTU13" s="20"/>
      <c r="QTV13" s="20"/>
      <c r="QTW13" s="20"/>
      <c r="QTX13" s="20"/>
      <c r="QTY13" s="20"/>
      <c r="QTZ13" s="20"/>
      <c r="QUA13" s="20"/>
      <c r="QUB13" s="20"/>
      <c r="QUC13" s="20"/>
      <c r="QUD13" s="20"/>
      <c r="QUE13" s="20"/>
      <c r="QUF13" s="20"/>
      <c r="QUG13" s="20"/>
      <c r="QUH13" s="20"/>
      <c r="QUI13" s="20"/>
      <c r="QUJ13" s="20"/>
      <c r="QUK13" s="20"/>
      <c r="QUL13" s="20"/>
      <c r="QUM13" s="20"/>
      <c r="QUN13" s="20"/>
      <c r="QUO13" s="20"/>
      <c r="QUP13" s="20"/>
      <c r="QUQ13" s="20"/>
      <c r="QUR13" s="20"/>
      <c r="QUS13" s="20"/>
      <c r="QUT13" s="20"/>
      <c r="QUU13" s="20"/>
      <c r="QUV13" s="20"/>
      <c r="QUW13" s="20"/>
      <c r="QUX13" s="20"/>
      <c r="QUY13" s="20"/>
      <c r="QUZ13" s="20"/>
      <c r="QVA13" s="20"/>
      <c r="QVB13" s="20"/>
      <c r="QVC13" s="20"/>
      <c r="QVD13" s="20"/>
      <c r="QVE13" s="20"/>
      <c r="QVF13" s="20"/>
      <c r="QVG13" s="20"/>
      <c r="QVH13" s="20"/>
      <c r="QVI13" s="20"/>
      <c r="QVJ13" s="20"/>
      <c r="QVK13" s="20"/>
      <c r="QVL13" s="20"/>
      <c r="QVM13" s="20"/>
      <c r="QVN13" s="20"/>
      <c r="QVO13" s="20"/>
      <c r="QVP13" s="20"/>
      <c r="QVQ13" s="20"/>
      <c r="QVR13" s="20"/>
      <c r="QVS13" s="20"/>
      <c r="QVT13" s="20"/>
      <c r="QVU13" s="20"/>
      <c r="QVV13" s="20"/>
      <c r="QVW13" s="20"/>
      <c r="QVX13" s="20"/>
      <c r="QVY13" s="20"/>
      <c r="QVZ13" s="20"/>
      <c r="QWA13" s="20"/>
      <c r="QWB13" s="20"/>
      <c r="QWC13" s="20"/>
      <c r="QWD13" s="20"/>
      <c r="QWE13" s="20"/>
      <c r="QWF13" s="20"/>
      <c r="QWG13" s="20"/>
      <c r="QWH13" s="20"/>
      <c r="QWI13" s="20"/>
      <c r="QWJ13" s="20"/>
      <c r="QWK13" s="20"/>
      <c r="QWL13" s="20"/>
      <c r="QWM13" s="20"/>
      <c r="QWN13" s="20"/>
      <c r="QWO13" s="20"/>
      <c r="QWP13" s="20"/>
      <c r="QWQ13" s="20"/>
      <c r="QWR13" s="20"/>
      <c r="QWS13" s="20"/>
      <c r="QWT13" s="20"/>
      <c r="QWU13" s="20"/>
      <c r="QWV13" s="20"/>
      <c r="QWW13" s="20"/>
      <c r="QWX13" s="20"/>
      <c r="QWY13" s="20"/>
      <c r="QWZ13" s="20"/>
      <c r="QXA13" s="20"/>
      <c r="QXB13" s="20"/>
      <c r="QXC13" s="20"/>
      <c r="QXD13" s="20"/>
      <c r="QXE13" s="20"/>
      <c r="QXF13" s="20"/>
      <c r="QXG13" s="20"/>
      <c r="QXH13" s="20"/>
      <c r="QXI13" s="20"/>
      <c r="QXJ13" s="20"/>
      <c r="QXK13" s="20"/>
      <c r="QXL13" s="20"/>
      <c r="QXM13" s="20"/>
      <c r="QXN13" s="20"/>
      <c r="QXO13" s="20"/>
      <c r="QXP13" s="20"/>
      <c r="QXQ13" s="20"/>
      <c r="QXR13" s="20"/>
      <c r="QXS13" s="20"/>
      <c r="QXT13" s="20"/>
      <c r="QXU13" s="20"/>
      <c r="QXV13" s="20"/>
      <c r="QXW13" s="20"/>
      <c r="QXX13" s="20"/>
      <c r="QXY13" s="20"/>
      <c r="QXZ13" s="20"/>
      <c r="QYA13" s="20"/>
      <c r="QYB13" s="20"/>
      <c r="QYC13" s="20"/>
      <c r="QYD13" s="20"/>
      <c r="QYE13" s="20"/>
      <c r="QYF13" s="20"/>
      <c r="QYG13" s="20"/>
      <c r="QYH13" s="20"/>
      <c r="QYI13" s="20"/>
      <c r="QYJ13" s="20"/>
      <c r="QYK13" s="20"/>
      <c r="QYL13" s="20"/>
      <c r="QYM13" s="20"/>
      <c r="QYN13" s="20"/>
      <c r="QYO13" s="20"/>
      <c r="QYP13" s="20"/>
      <c r="QYQ13" s="20"/>
      <c r="QYR13" s="20"/>
      <c r="QYS13" s="20"/>
      <c r="QYT13" s="20"/>
      <c r="QYU13" s="20"/>
      <c r="QYV13" s="20"/>
      <c r="QYW13" s="20"/>
      <c r="QYX13" s="20"/>
      <c r="QYY13" s="20"/>
      <c r="QYZ13" s="20"/>
      <c r="QZA13" s="20"/>
      <c r="QZB13" s="20"/>
      <c r="QZC13" s="20"/>
      <c r="QZD13" s="20"/>
      <c r="QZE13" s="20"/>
      <c r="QZF13" s="20"/>
      <c r="QZG13" s="20"/>
      <c r="QZH13" s="20"/>
      <c r="QZI13" s="20"/>
      <c r="QZJ13" s="20"/>
      <c r="QZK13" s="20"/>
      <c r="QZL13" s="20"/>
      <c r="QZM13" s="20"/>
      <c r="QZN13" s="20"/>
      <c r="QZO13" s="20"/>
      <c r="QZP13" s="20"/>
      <c r="QZQ13" s="20"/>
      <c r="QZR13" s="20"/>
      <c r="QZS13" s="20"/>
      <c r="QZT13" s="20"/>
      <c r="QZU13" s="20"/>
      <c r="QZV13" s="20"/>
      <c r="QZW13" s="20"/>
      <c r="QZX13" s="20"/>
      <c r="QZY13" s="20"/>
      <c r="QZZ13" s="20"/>
      <c r="RAA13" s="20"/>
      <c r="RAB13" s="20"/>
      <c r="RAC13" s="20"/>
      <c r="RAD13" s="20"/>
      <c r="RAE13" s="20"/>
      <c r="RAF13" s="20"/>
      <c r="RAG13" s="20"/>
      <c r="RAH13" s="20"/>
      <c r="RAI13" s="20"/>
      <c r="RAJ13" s="20"/>
      <c r="RAK13" s="20"/>
      <c r="RAL13" s="20"/>
      <c r="RAM13" s="20"/>
      <c r="RAN13" s="20"/>
      <c r="RAO13" s="20"/>
      <c r="RAP13" s="20"/>
      <c r="RAQ13" s="20"/>
      <c r="RAR13" s="20"/>
      <c r="RAS13" s="20"/>
      <c r="RAT13" s="20"/>
      <c r="RAU13" s="20"/>
      <c r="RAV13" s="20"/>
      <c r="RAW13" s="20"/>
      <c r="RAX13" s="20"/>
      <c r="RAY13" s="20"/>
      <c r="RAZ13" s="20"/>
      <c r="RBA13" s="20"/>
      <c r="RBB13" s="20"/>
      <c r="RBC13" s="20"/>
      <c r="RBD13" s="20"/>
      <c r="RBE13" s="20"/>
      <c r="RBF13" s="20"/>
      <c r="RBG13" s="20"/>
      <c r="RBH13" s="20"/>
      <c r="RBI13" s="20"/>
      <c r="RBJ13" s="20"/>
      <c r="RBK13" s="20"/>
      <c r="RBL13" s="20"/>
      <c r="RBM13" s="20"/>
      <c r="RBN13" s="20"/>
      <c r="RBO13" s="20"/>
      <c r="RBP13" s="20"/>
      <c r="RBQ13" s="20"/>
      <c r="RBR13" s="20"/>
      <c r="RBS13" s="20"/>
      <c r="RBT13" s="20"/>
      <c r="RBU13" s="20"/>
      <c r="RBV13" s="20"/>
      <c r="RBW13" s="20"/>
      <c r="RBX13" s="20"/>
      <c r="RBY13" s="20"/>
      <c r="RBZ13" s="20"/>
      <c r="RCA13" s="20"/>
      <c r="RCB13" s="20"/>
      <c r="RCC13" s="20"/>
      <c r="RCD13" s="20"/>
      <c r="RCE13" s="20"/>
      <c r="RCF13" s="20"/>
      <c r="RCG13" s="20"/>
      <c r="RCH13" s="20"/>
      <c r="RCI13" s="20"/>
      <c r="RCJ13" s="20"/>
      <c r="RCK13" s="20"/>
      <c r="RCL13" s="20"/>
      <c r="RCM13" s="20"/>
      <c r="RCN13" s="20"/>
      <c r="RCO13" s="20"/>
      <c r="RCP13" s="20"/>
      <c r="RCQ13" s="20"/>
      <c r="RCR13" s="20"/>
      <c r="RCS13" s="20"/>
      <c r="RCT13" s="20"/>
      <c r="RCU13" s="20"/>
      <c r="RCV13" s="20"/>
      <c r="RCW13" s="20"/>
      <c r="RCX13" s="20"/>
      <c r="RCY13" s="20"/>
      <c r="RCZ13" s="20"/>
      <c r="RDA13" s="20"/>
      <c r="RDB13" s="20"/>
      <c r="RDC13" s="20"/>
      <c r="RDD13" s="20"/>
      <c r="RDE13" s="20"/>
      <c r="RDF13" s="20"/>
      <c r="RDG13" s="20"/>
      <c r="RDH13" s="20"/>
      <c r="RDI13" s="20"/>
      <c r="RDJ13" s="20"/>
      <c r="RDK13" s="20"/>
      <c r="RDL13" s="20"/>
      <c r="RDM13" s="20"/>
      <c r="RDN13" s="20"/>
      <c r="RDO13" s="20"/>
      <c r="RDP13" s="20"/>
      <c r="RDQ13" s="20"/>
      <c r="RDR13" s="20"/>
      <c r="RDS13" s="20"/>
      <c r="RDT13" s="20"/>
      <c r="RDU13" s="20"/>
      <c r="RDV13" s="20"/>
      <c r="RDW13" s="20"/>
      <c r="RDX13" s="20"/>
      <c r="RDY13" s="20"/>
      <c r="RDZ13" s="20"/>
      <c r="REA13" s="20"/>
      <c r="REB13" s="20"/>
      <c r="REC13" s="20"/>
      <c r="RED13" s="20"/>
      <c r="REE13" s="20"/>
      <c r="REF13" s="20"/>
      <c r="REG13" s="20"/>
      <c r="REH13" s="20"/>
      <c r="REI13" s="20"/>
      <c r="REJ13" s="20"/>
      <c r="REK13" s="20"/>
      <c r="REL13" s="20"/>
      <c r="REM13" s="20"/>
      <c r="REN13" s="20"/>
      <c r="REO13" s="20"/>
      <c r="REP13" s="20"/>
      <c r="REQ13" s="20"/>
      <c r="RER13" s="20"/>
      <c r="RES13" s="20"/>
      <c r="RET13" s="20"/>
      <c r="REU13" s="20"/>
      <c r="REV13" s="20"/>
      <c r="REW13" s="20"/>
      <c r="REX13" s="20"/>
      <c r="REY13" s="20"/>
      <c r="REZ13" s="20"/>
      <c r="RFA13" s="20"/>
      <c r="RFB13" s="20"/>
      <c r="RFC13" s="20"/>
      <c r="RFD13" s="20"/>
      <c r="RFE13" s="20"/>
      <c r="RFF13" s="20"/>
      <c r="RFG13" s="20"/>
      <c r="RFH13" s="20"/>
      <c r="RFI13" s="20"/>
      <c r="RFJ13" s="20"/>
      <c r="RFK13" s="20"/>
      <c r="RFL13" s="20"/>
      <c r="RFM13" s="20"/>
      <c r="RFN13" s="20"/>
      <c r="RFO13" s="20"/>
      <c r="RFP13" s="20"/>
      <c r="RFQ13" s="20"/>
      <c r="RFR13" s="20"/>
      <c r="RFS13" s="20"/>
      <c r="RFT13" s="20"/>
      <c r="RFU13" s="20"/>
      <c r="RFV13" s="20"/>
      <c r="RFW13" s="20"/>
      <c r="RFX13" s="20"/>
      <c r="RFY13" s="20"/>
      <c r="RFZ13" s="20"/>
      <c r="RGA13" s="20"/>
      <c r="RGB13" s="20"/>
      <c r="RGC13" s="20"/>
      <c r="RGD13" s="20"/>
      <c r="RGE13" s="20"/>
      <c r="RGF13" s="20"/>
      <c r="RGG13" s="20"/>
      <c r="RGH13" s="20"/>
      <c r="RGI13" s="20"/>
      <c r="RGJ13" s="20"/>
      <c r="RGK13" s="20"/>
      <c r="RGL13" s="20"/>
      <c r="RGM13" s="20"/>
      <c r="RGN13" s="20"/>
      <c r="RGO13" s="20"/>
      <c r="RGP13" s="20"/>
      <c r="RGQ13" s="20"/>
      <c r="RGR13" s="20"/>
      <c r="RGS13" s="20"/>
      <c r="RGT13" s="20"/>
      <c r="RGU13" s="20"/>
      <c r="RGV13" s="20"/>
      <c r="RGW13" s="20"/>
      <c r="RGX13" s="20"/>
      <c r="RGY13" s="20"/>
      <c r="RGZ13" s="20"/>
      <c r="RHA13" s="20"/>
      <c r="RHB13" s="20"/>
      <c r="RHC13" s="20"/>
      <c r="RHD13" s="20"/>
      <c r="RHE13" s="20"/>
      <c r="RHF13" s="20"/>
      <c r="RHG13" s="20"/>
      <c r="RHH13" s="20"/>
      <c r="RHI13" s="20"/>
      <c r="RHJ13" s="20"/>
      <c r="RHK13" s="20"/>
      <c r="RHL13" s="20"/>
      <c r="RHM13" s="20"/>
      <c r="RHN13" s="20"/>
      <c r="RHO13" s="20"/>
      <c r="RHP13" s="20"/>
      <c r="RHQ13" s="20"/>
      <c r="RHR13" s="20"/>
      <c r="RHS13" s="20"/>
      <c r="RHT13" s="20"/>
      <c r="RHU13" s="20"/>
      <c r="RHV13" s="20"/>
      <c r="RHW13" s="20"/>
      <c r="RHX13" s="20"/>
      <c r="RHY13" s="20"/>
      <c r="RHZ13" s="20"/>
      <c r="RIA13" s="20"/>
      <c r="RIB13" s="20"/>
      <c r="RIC13" s="20"/>
      <c r="RID13" s="20"/>
      <c r="RIE13" s="20"/>
      <c r="RIF13" s="20"/>
      <c r="RIG13" s="20"/>
      <c r="RIH13" s="20"/>
      <c r="RII13" s="20"/>
      <c r="RIJ13" s="20"/>
      <c r="RIK13" s="20"/>
      <c r="RIL13" s="20"/>
      <c r="RIM13" s="20"/>
      <c r="RIN13" s="20"/>
      <c r="RIO13" s="20"/>
      <c r="RIP13" s="20"/>
      <c r="RIQ13" s="20"/>
      <c r="RIR13" s="20"/>
      <c r="RIS13" s="20"/>
      <c r="RIT13" s="20"/>
      <c r="RIU13" s="20"/>
      <c r="RIV13" s="20"/>
      <c r="RIW13" s="20"/>
      <c r="RIX13" s="20"/>
      <c r="RIY13" s="20"/>
      <c r="RIZ13" s="20"/>
      <c r="RJA13" s="20"/>
      <c r="RJB13" s="20"/>
      <c r="RJC13" s="20"/>
      <c r="RJD13" s="20"/>
      <c r="RJE13" s="20"/>
      <c r="RJF13" s="20"/>
      <c r="RJG13" s="20"/>
      <c r="RJH13" s="20"/>
      <c r="RJI13" s="20"/>
      <c r="RJJ13" s="20"/>
      <c r="RJK13" s="20"/>
      <c r="RJL13" s="20"/>
      <c r="RJM13" s="20"/>
      <c r="RJN13" s="20"/>
      <c r="RJO13" s="20"/>
      <c r="RJP13" s="20"/>
      <c r="RJQ13" s="20"/>
      <c r="RJR13" s="20"/>
      <c r="RJS13" s="20"/>
      <c r="RJT13" s="20"/>
      <c r="RJU13" s="20"/>
      <c r="RJV13" s="20"/>
      <c r="RJW13" s="20"/>
      <c r="RJX13" s="20"/>
      <c r="RJY13" s="20"/>
      <c r="RJZ13" s="20"/>
      <c r="RKA13" s="20"/>
      <c r="RKB13" s="20"/>
      <c r="RKC13" s="20"/>
      <c r="RKD13" s="20"/>
      <c r="RKE13" s="20"/>
      <c r="RKF13" s="20"/>
      <c r="RKG13" s="20"/>
      <c r="RKH13" s="20"/>
      <c r="RKI13" s="20"/>
      <c r="RKJ13" s="20"/>
      <c r="RKK13" s="20"/>
      <c r="RKL13" s="20"/>
      <c r="RKM13" s="20"/>
      <c r="RKN13" s="20"/>
      <c r="RKO13" s="20"/>
      <c r="RKP13" s="20"/>
      <c r="RKQ13" s="20"/>
      <c r="RKR13" s="20"/>
      <c r="RKS13" s="20"/>
      <c r="RKT13" s="20"/>
      <c r="RKU13" s="20"/>
      <c r="RKV13" s="20"/>
      <c r="RKW13" s="20"/>
      <c r="RKX13" s="20"/>
      <c r="RKY13" s="20"/>
      <c r="RKZ13" s="20"/>
      <c r="RLA13" s="20"/>
      <c r="RLB13" s="20"/>
      <c r="RLC13" s="20"/>
      <c r="RLD13" s="20"/>
      <c r="RLE13" s="20"/>
      <c r="RLF13" s="20"/>
      <c r="RLG13" s="20"/>
      <c r="RLH13" s="20"/>
      <c r="RLI13" s="20"/>
      <c r="RLJ13" s="20"/>
      <c r="RLK13" s="20"/>
      <c r="RLL13" s="20"/>
      <c r="RLM13" s="20"/>
      <c r="RLN13" s="20"/>
      <c r="RLO13" s="20"/>
      <c r="RLP13" s="20"/>
      <c r="RLQ13" s="20"/>
      <c r="RLR13" s="20"/>
      <c r="RLS13" s="20"/>
      <c r="RLT13" s="20"/>
      <c r="RLU13" s="20"/>
      <c r="RLV13" s="20"/>
      <c r="RLW13" s="20"/>
      <c r="RLX13" s="20"/>
      <c r="RLY13" s="20"/>
      <c r="RLZ13" s="20"/>
      <c r="RMA13" s="20"/>
      <c r="RMB13" s="20"/>
      <c r="RMC13" s="20"/>
      <c r="RMD13" s="20"/>
      <c r="RME13" s="20"/>
      <c r="RMF13" s="20"/>
      <c r="RMG13" s="20"/>
      <c r="RMH13" s="20"/>
      <c r="RMI13" s="20"/>
      <c r="RMJ13" s="20"/>
      <c r="RMK13" s="20"/>
      <c r="RML13" s="20"/>
      <c r="RMM13" s="20"/>
      <c r="RMN13" s="20"/>
      <c r="RMO13" s="20"/>
      <c r="RMP13" s="20"/>
      <c r="RMQ13" s="20"/>
      <c r="RMR13" s="20"/>
      <c r="RMS13" s="20"/>
      <c r="RMT13" s="20"/>
      <c r="RMU13" s="20"/>
      <c r="RMV13" s="20"/>
      <c r="RMW13" s="20"/>
      <c r="RMX13" s="20"/>
      <c r="RMY13" s="20"/>
      <c r="RMZ13" s="20"/>
      <c r="RNA13" s="20"/>
      <c r="RNB13" s="20"/>
      <c r="RNC13" s="20"/>
      <c r="RND13" s="20"/>
      <c r="RNE13" s="20"/>
      <c r="RNF13" s="20"/>
      <c r="RNG13" s="20"/>
      <c r="RNH13" s="20"/>
      <c r="RNI13" s="20"/>
      <c r="RNJ13" s="20"/>
      <c r="RNK13" s="20"/>
      <c r="RNL13" s="20"/>
      <c r="RNM13" s="20"/>
      <c r="RNN13" s="20"/>
      <c r="RNO13" s="20"/>
      <c r="RNP13" s="20"/>
      <c r="RNQ13" s="20"/>
      <c r="RNR13" s="20"/>
      <c r="RNS13" s="20"/>
      <c r="RNT13" s="20"/>
      <c r="RNU13" s="20"/>
      <c r="RNV13" s="20"/>
      <c r="RNW13" s="20"/>
      <c r="RNX13" s="20"/>
      <c r="RNY13" s="20"/>
      <c r="RNZ13" s="20"/>
      <c r="ROA13" s="20"/>
      <c r="ROB13" s="20"/>
      <c r="ROC13" s="20"/>
      <c r="ROD13" s="20"/>
      <c r="ROE13" s="20"/>
      <c r="ROF13" s="20"/>
      <c r="ROG13" s="20"/>
      <c r="ROH13" s="20"/>
      <c r="ROI13" s="20"/>
      <c r="ROJ13" s="20"/>
      <c r="ROK13" s="20"/>
      <c r="ROL13" s="20"/>
      <c r="ROM13" s="20"/>
      <c r="RON13" s="20"/>
      <c r="ROO13" s="20"/>
      <c r="ROP13" s="20"/>
      <c r="ROQ13" s="20"/>
      <c r="ROR13" s="20"/>
      <c r="ROS13" s="20"/>
      <c r="ROT13" s="20"/>
      <c r="ROU13" s="20"/>
      <c r="ROV13" s="20"/>
      <c r="ROW13" s="20"/>
      <c r="ROX13" s="20"/>
      <c r="ROY13" s="20"/>
      <c r="ROZ13" s="20"/>
      <c r="RPA13" s="20"/>
      <c r="RPB13" s="20"/>
      <c r="RPC13" s="20"/>
      <c r="RPD13" s="20"/>
      <c r="RPE13" s="20"/>
      <c r="RPF13" s="20"/>
      <c r="RPG13" s="20"/>
      <c r="RPH13" s="20"/>
      <c r="RPI13" s="20"/>
      <c r="RPJ13" s="20"/>
      <c r="RPK13" s="20"/>
      <c r="RPL13" s="20"/>
      <c r="RPM13" s="20"/>
      <c r="RPN13" s="20"/>
      <c r="RPO13" s="20"/>
      <c r="RPP13" s="20"/>
      <c r="RPQ13" s="20"/>
      <c r="RPR13" s="20"/>
      <c r="RPS13" s="20"/>
      <c r="RPT13" s="20"/>
      <c r="RPU13" s="20"/>
      <c r="RPV13" s="20"/>
      <c r="RPW13" s="20"/>
      <c r="RPX13" s="20"/>
      <c r="RPY13" s="20"/>
      <c r="RPZ13" s="20"/>
      <c r="RQA13" s="20"/>
      <c r="RQB13" s="20"/>
      <c r="RQC13" s="20"/>
      <c r="RQD13" s="20"/>
      <c r="RQE13" s="20"/>
      <c r="RQF13" s="20"/>
      <c r="RQG13" s="20"/>
      <c r="RQH13" s="20"/>
      <c r="RQI13" s="20"/>
      <c r="RQJ13" s="20"/>
      <c r="RQK13" s="20"/>
      <c r="RQL13" s="20"/>
      <c r="RQM13" s="20"/>
      <c r="RQN13" s="20"/>
      <c r="RQO13" s="20"/>
      <c r="RQP13" s="20"/>
      <c r="RQQ13" s="20"/>
      <c r="RQR13" s="20"/>
      <c r="RQS13" s="20"/>
      <c r="RQT13" s="20"/>
      <c r="RQU13" s="20"/>
      <c r="RQV13" s="20"/>
      <c r="RQW13" s="20"/>
      <c r="RQX13" s="20"/>
      <c r="RQY13" s="20"/>
      <c r="RQZ13" s="20"/>
      <c r="RRA13" s="20"/>
      <c r="RRB13" s="20"/>
      <c r="RRC13" s="20"/>
      <c r="RRD13" s="20"/>
      <c r="RRE13" s="20"/>
      <c r="RRF13" s="20"/>
      <c r="RRG13" s="20"/>
      <c r="RRH13" s="20"/>
      <c r="RRI13" s="20"/>
      <c r="RRJ13" s="20"/>
      <c r="RRK13" s="20"/>
      <c r="RRL13" s="20"/>
      <c r="RRM13" s="20"/>
      <c r="RRN13" s="20"/>
      <c r="RRO13" s="20"/>
      <c r="RRP13" s="20"/>
      <c r="RRQ13" s="20"/>
      <c r="RRR13" s="20"/>
      <c r="RRS13" s="20"/>
      <c r="RRT13" s="20"/>
      <c r="RRU13" s="20"/>
      <c r="RRV13" s="20"/>
      <c r="RRW13" s="20"/>
      <c r="RRX13" s="20"/>
      <c r="RRY13" s="20"/>
      <c r="RRZ13" s="20"/>
      <c r="RSA13" s="20"/>
      <c r="RSB13" s="20"/>
      <c r="RSC13" s="20"/>
      <c r="RSD13" s="20"/>
      <c r="RSE13" s="20"/>
      <c r="RSF13" s="20"/>
      <c r="RSG13" s="20"/>
      <c r="RSH13" s="20"/>
      <c r="RSI13" s="20"/>
      <c r="RSJ13" s="20"/>
      <c r="RSK13" s="20"/>
      <c r="RSL13" s="20"/>
      <c r="RSM13" s="20"/>
      <c r="RSN13" s="20"/>
      <c r="RSO13" s="20"/>
      <c r="RSP13" s="20"/>
      <c r="RSQ13" s="20"/>
      <c r="RSR13" s="20"/>
      <c r="RSS13" s="20"/>
      <c r="RST13" s="20"/>
      <c r="RSU13" s="20"/>
      <c r="RSV13" s="20"/>
      <c r="RSW13" s="20"/>
      <c r="RSX13" s="20"/>
      <c r="RSY13" s="20"/>
      <c r="RSZ13" s="20"/>
      <c r="RTA13" s="20"/>
      <c r="RTB13" s="20"/>
      <c r="RTC13" s="20"/>
      <c r="RTD13" s="20"/>
      <c r="RTE13" s="20"/>
      <c r="RTF13" s="20"/>
      <c r="RTG13" s="20"/>
      <c r="RTH13" s="20"/>
      <c r="RTI13" s="20"/>
      <c r="RTJ13" s="20"/>
      <c r="RTK13" s="20"/>
      <c r="RTL13" s="20"/>
      <c r="RTM13" s="20"/>
      <c r="RTN13" s="20"/>
      <c r="RTO13" s="20"/>
      <c r="RTP13" s="20"/>
      <c r="RTQ13" s="20"/>
      <c r="RTR13" s="20"/>
      <c r="RTS13" s="20"/>
      <c r="RTT13" s="20"/>
      <c r="RTU13" s="20"/>
      <c r="RTV13" s="20"/>
      <c r="RTW13" s="20"/>
      <c r="RTX13" s="20"/>
      <c r="RTY13" s="20"/>
      <c r="RTZ13" s="20"/>
      <c r="RUA13" s="20"/>
      <c r="RUB13" s="20"/>
      <c r="RUC13" s="20"/>
      <c r="RUD13" s="20"/>
      <c r="RUE13" s="20"/>
      <c r="RUF13" s="20"/>
      <c r="RUG13" s="20"/>
      <c r="RUH13" s="20"/>
      <c r="RUI13" s="20"/>
      <c r="RUJ13" s="20"/>
      <c r="RUK13" s="20"/>
      <c r="RUL13" s="20"/>
      <c r="RUM13" s="20"/>
      <c r="RUN13" s="20"/>
      <c r="RUO13" s="20"/>
      <c r="RUP13" s="20"/>
      <c r="RUQ13" s="20"/>
      <c r="RUR13" s="20"/>
      <c r="RUS13" s="20"/>
      <c r="RUT13" s="20"/>
      <c r="RUU13" s="20"/>
      <c r="RUV13" s="20"/>
      <c r="RUW13" s="20"/>
      <c r="RUX13" s="20"/>
      <c r="RUY13" s="20"/>
      <c r="RUZ13" s="20"/>
      <c r="RVA13" s="20"/>
      <c r="RVB13" s="20"/>
      <c r="RVC13" s="20"/>
      <c r="RVD13" s="20"/>
      <c r="RVE13" s="20"/>
      <c r="RVF13" s="20"/>
      <c r="RVG13" s="20"/>
      <c r="RVH13" s="20"/>
      <c r="RVI13" s="20"/>
      <c r="RVJ13" s="20"/>
      <c r="RVK13" s="20"/>
      <c r="RVL13" s="20"/>
      <c r="RVM13" s="20"/>
      <c r="RVN13" s="20"/>
      <c r="RVO13" s="20"/>
      <c r="RVP13" s="20"/>
      <c r="RVQ13" s="20"/>
      <c r="RVR13" s="20"/>
      <c r="RVS13" s="20"/>
      <c r="RVT13" s="20"/>
      <c r="RVU13" s="20"/>
      <c r="RVV13" s="20"/>
      <c r="RVW13" s="20"/>
      <c r="RVX13" s="20"/>
      <c r="RVY13" s="20"/>
      <c r="RVZ13" s="20"/>
      <c r="RWA13" s="20"/>
      <c r="RWB13" s="20"/>
      <c r="RWC13" s="20"/>
      <c r="RWD13" s="20"/>
      <c r="RWE13" s="20"/>
      <c r="RWF13" s="20"/>
      <c r="RWG13" s="20"/>
      <c r="RWH13" s="20"/>
      <c r="RWI13" s="20"/>
      <c r="RWJ13" s="20"/>
      <c r="RWK13" s="20"/>
      <c r="RWL13" s="20"/>
      <c r="RWM13" s="20"/>
      <c r="RWN13" s="20"/>
      <c r="RWO13" s="20"/>
      <c r="RWP13" s="20"/>
      <c r="RWQ13" s="20"/>
      <c r="RWR13" s="20"/>
      <c r="RWS13" s="20"/>
      <c r="RWT13" s="20"/>
      <c r="RWU13" s="20"/>
      <c r="RWV13" s="20"/>
      <c r="RWW13" s="20"/>
      <c r="RWX13" s="20"/>
      <c r="RWY13" s="20"/>
      <c r="RWZ13" s="20"/>
      <c r="RXA13" s="20"/>
      <c r="RXB13" s="20"/>
      <c r="RXC13" s="20"/>
      <c r="RXD13" s="20"/>
      <c r="RXE13" s="20"/>
      <c r="RXF13" s="20"/>
      <c r="RXG13" s="20"/>
      <c r="RXH13" s="20"/>
      <c r="RXI13" s="20"/>
      <c r="RXJ13" s="20"/>
      <c r="RXK13" s="20"/>
      <c r="RXL13" s="20"/>
      <c r="RXM13" s="20"/>
      <c r="RXN13" s="20"/>
      <c r="RXO13" s="20"/>
      <c r="RXP13" s="20"/>
      <c r="RXQ13" s="20"/>
      <c r="RXR13" s="20"/>
      <c r="RXS13" s="20"/>
      <c r="RXT13" s="20"/>
      <c r="RXU13" s="20"/>
      <c r="RXV13" s="20"/>
      <c r="RXW13" s="20"/>
      <c r="RXX13" s="20"/>
      <c r="RXY13" s="20"/>
      <c r="RXZ13" s="20"/>
      <c r="RYA13" s="20"/>
      <c r="RYB13" s="20"/>
      <c r="RYC13" s="20"/>
      <c r="RYD13" s="20"/>
      <c r="RYE13" s="20"/>
      <c r="RYF13" s="20"/>
      <c r="RYG13" s="20"/>
      <c r="RYH13" s="20"/>
      <c r="RYI13" s="20"/>
      <c r="RYJ13" s="20"/>
      <c r="RYK13" s="20"/>
      <c r="RYL13" s="20"/>
      <c r="RYM13" s="20"/>
      <c r="RYN13" s="20"/>
      <c r="RYO13" s="20"/>
      <c r="RYP13" s="20"/>
      <c r="RYQ13" s="20"/>
      <c r="RYR13" s="20"/>
      <c r="RYS13" s="20"/>
      <c r="RYT13" s="20"/>
      <c r="RYU13" s="20"/>
      <c r="RYV13" s="20"/>
      <c r="RYW13" s="20"/>
      <c r="RYX13" s="20"/>
      <c r="RYY13" s="20"/>
      <c r="RYZ13" s="20"/>
      <c r="RZA13" s="20"/>
      <c r="RZB13" s="20"/>
      <c r="RZC13" s="20"/>
      <c r="RZD13" s="20"/>
      <c r="RZE13" s="20"/>
      <c r="RZF13" s="20"/>
      <c r="RZG13" s="20"/>
      <c r="RZH13" s="20"/>
      <c r="RZI13" s="20"/>
      <c r="RZJ13" s="20"/>
      <c r="RZK13" s="20"/>
      <c r="RZL13" s="20"/>
      <c r="RZM13" s="20"/>
      <c r="RZN13" s="20"/>
      <c r="RZO13" s="20"/>
      <c r="RZP13" s="20"/>
      <c r="RZQ13" s="20"/>
      <c r="RZR13" s="20"/>
      <c r="RZS13" s="20"/>
      <c r="RZT13" s="20"/>
      <c r="RZU13" s="20"/>
      <c r="RZV13" s="20"/>
      <c r="RZW13" s="20"/>
      <c r="RZX13" s="20"/>
      <c r="RZY13" s="20"/>
      <c r="RZZ13" s="20"/>
      <c r="SAA13" s="20"/>
      <c r="SAB13" s="20"/>
      <c r="SAC13" s="20"/>
      <c r="SAD13" s="20"/>
      <c r="SAE13" s="20"/>
      <c r="SAF13" s="20"/>
      <c r="SAG13" s="20"/>
      <c r="SAH13" s="20"/>
      <c r="SAI13" s="20"/>
      <c r="SAJ13" s="20"/>
      <c r="SAK13" s="20"/>
      <c r="SAL13" s="20"/>
      <c r="SAM13" s="20"/>
      <c r="SAN13" s="20"/>
      <c r="SAO13" s="20"/>
      <c r="SAP13" s="20"/>
      <c r="SAQ13" s="20"/>
      <c r="SAR13" s="20"/>
      <c r="SAS13" s="20"/>
      <c r="SAT13" s="20"/>
      <c r="SAU13" s="20"/>
      <c r="SAV13" s="20"/>
      <c r="SAW13" s="20"/>
      <c r="SAX13" s="20"/>
      <c r="SAY13" s="20"/>
      <c r="SAZ13" s="20"/>
      <c r="SBA13" s="20"/>
      <c r="SBB13" s="20"/>
      <c r="SBC13" s="20"/>
      <c r="SBD13" s="20"/>
      <c r="SBE13" s="20"/>
      <c r="SBF13" s="20"/>
      <c r="SBG13" s="20"/>
      <c r="SBH13" s="20"/>
      <c r="SBI13" s="20"/>
      <c r="SBJ13" s="20"/>
      <c r="SBK13" s="20"/>
      <c r="SBL13" s="20"/>
      <c r="SBM13" s="20"/>
      <c r="SBN13" s="20"/>
      <c r="SBO13" s="20"/>
      <c r="SBP13" s="20"/>
      <c r="SBQ13" s="20"/>
      <c r="SBR13" s="20"/>
      <c r="SBS13" s="20"/>
      <c r="SBT13" s="20"/>
      <c r="SBU13" s="20"/>
      <c r="SBV13" s="20"/>
      <c r="SBW13" s="20"/>
      <c r="SBX13" s="20"/>
      <c r="SBY13" s="20"/>
      <c r="SBZ13" s="20"/>
      <c r="SCA13" s="20"/>
      <c r="SCB13" s="20"/>
      <c r="SCC13" s="20"/>
      <c r="SCD13" s="20"/>
      <c r="SCE13" s="20"/>
      <c r="SCF13" s="20"/>
      <c r="SCG13" s="20"/>
      <c r="SCH13" s="20"/>
      <c r="SCI13" s="20"/>
      <c r="SCJ13" s="20"/>
      <c r="SCK13" s="20"/>
      <c r="SCL13" s="20"/>
      <c r="SCM13" s="20"/>
      <c r="SCN13" s="20"/>
      <c r="SCO13" s="20"/>
      <c r="SCP13" s="20"/>
      <c r="SCQ13" s="20"/>
      <c r="SCR13" s="20"/>
      <c r="SCS13" s="20"/>
      <c r="SCT13" s="20"/>
      <c r="SCU13" s="20"/>
      <c r="SCV13" s="20"/>
      <c r="SCW13" s="20"/>
      <c r="SCX13" s="20"/>
      <c r="SCY13" s="20"/>
      <c r="SCZ13" s="20"/>
      <c r="SDA13" s="20"/>
      <c r="SDB13" s="20"/>
      <c r="SDC13" s="20"/>
      <c r="SDD13" s="20"/>
      <c r="SDE13" s="20"/>
      <c r="SDF13" s="20"/>
      <c r="SDG13" s="20"/>
      <c r="SDH13" s="20"/>
      <c r="SDI13" s="20"/>
      <c r="SDJ13" s="20"/>
      <c r="SDK13" s="20"/>
      <c r="SDL13" s="20"/>
      <c r="SDM13" s="20"/>
      <c r="SDN13" s="20"/>
      <c r="SDO13" s="20"/>
      <c r="SDP13" s="20"/>
      <c r="SDQ13" s="20"/>
      <c r="SDR13" s="20"/>
      <c r="SDS13" s="20"/>
      <c r="SDT13" s="20"/>
      <c r="SDU13" s="20"/>
      <c r="SDV13" s="20"/>
      <c r="SDW13" s="20"/>
      <c r="SDX13" s="20"/>
      <c r="SDY13" s="20"/>
      <c r="SDZ13" s="20"/>
      <c r="SEA13" s="20"/>
      <c r="SEB13" s="20"/>
      <c r="SEC13" s="20"/>
      <c r="SED13" s="20"/>
      <c r="SEE13" s="20"/>
      <c r="SEF13" s="20"/>
      <c r="SEG13" s="20"/>
      <c r="SEH13" s="20"/>
      <c r="SEI13" s="20"/>
      <c r="SEJ13" s="20"/>
      <c r="SEK13" s="20"/>
      <c r="SEL13" s="20"/>
      <c r="SEM13" s="20"/>
      <c r="SEN13" s="20"/>
      <c r="SEO13" s="20"/>
      <c r="SEP13" s="20"/>
      <c r="SEQ13" s="20"/>
      <c r="SER13" s="20"/>
      <c r="SES13" s="20"/>
      <c r="SET13" s="20"/>
      <c r="SEU13" s="20"/>
      <c r="SEV13" s="20"/>
      <c r="SEW13" s="20"/>
      <c r="SEX13" s="20"/>
      <c r="SEY13" s="20"/>
      <c r="SEZ13" s="20"/>
      <c r="SFA13" s="20"/>
      <c r="SFB13" s="20"/>
      <c r="SFC13" s="20"/>
      <c r="SFD13" s="20"/>
      <c r="SFE13" s="20"/>
      <c r="SFF13" s="20"/>
      <c r="SFG13" s="20"/>
      <c r="SFH13" s="20"/>
      <c r="SFI13" s="20"/>
      <c r="SFJ13" s="20"/>
      <c r="SFK13" s="20"/>
      <c r="SFL13" s="20"/>
      <c r="SFM13" s="20"/>
      <c r="SFN13" s="20"/>
      <c r="SFO13" s="20"/>
      <c r="SFP13" s="20"/>
      <c r="SFQ13" s="20"/>
      <c r="SFR13" s="20"/>
      <c r="SFS13" s="20"/>
      <c r="SFT13" s="20"/>
      <c r="SFU13" s="20"/>
      <c r="SFV13" s="20"/>
      <c r="SFW13" s="20"/>
      <c r="SFX13" s="20"/>
      <c r="SFY13" s="20"/>
      <c r="SFZ13" s="20"/>
      <c r="SGA13" s="20"/>
      <c r="SGB13" s="20"/>
      <c r="SGC13" s="20"/>
      <c r="SGD13" s="20"/>
      <c r="SGE13" s="20"/>
      <c r="SGF13" s="20"/>
      <c r="SGG13" s="20"/>
      <c r="SGH13" s="20"/>
      <c r="SGI13" s="20"/>
      <c r="SGJ13" s="20"/>
      <c r="SGK13" s="20"/>
      <c r="SGL13" s="20"/>
      <c r="SGM13" s="20"/>
      <c r="SGN13" s="20"/>
      <c r="SGO13" s="20"/>
      <c r="SGP13" s="20"/>
      <c r="SGQ13" s="20"/>
      <c r="SGR13" s="20"/>
      <c r="SGS13" s="20"/>
      <c r="SGT13" s="20"/>
      <c r="SGU13" s="20"/>
      <c r="SGV13" s="20"/>
      <c r="SGW13" s="20"/>
      <c r="SGX13" s="20"/>
      <c r="SGY13" s="20"/>
      <c r="SGZ13" s="20"/>
      <c r="SHA13" s="20"/>
      <c r="SHB13" s="20"/>
      <c r="SHC13" s="20"/>
      <c r="SHD13" s="20"/>
      <c r="SHE13" s="20"/>
      <c r="SHF13" s="20"/>
      <c r="SHG13" s="20"/>
      <c r="SHH13" s="20"/>
      <c r="SHI13" s="20"/>
      <c r="SHJ13" s="20"/>
      <c r="SHK13" s="20"/>
      <c r="SHL13" s="20"/>
      <c r="SHM13" s="20"/>
      <c r="SHN13" s="20"/>
      <c r="SHO13" s="20"/>
      <c r="SHP13" s="20"/>
      <c r="SHQ13" s="20"/>
      <c r="SHR13" s="20"/>
      <c r="SHS13" s="20"/>
      <c r="SHT13" s="20"/>
      <c r="SHU13" s="20"/>
      <c r="SHV13" s="20"/>
      <c r="SHW13" s="20"/>
      <c r="SHX13" s="20"/>
      <c r="SHY13" s="20"/>
      <c r="SHZ13" s="20"/>
      <c r="SIA13" s="20"/>
      <c r="SIB13" s="20"/>
      <c r="SIC13" s="20"/>
      <c r="SID13" s="20"/>
      <c r="SIE13" s="20"/>
      <c r="SIF13" s="20"/>
      <c r="SIG13" s="20"/>
      <c r="SIH13" s="20"/>
      <c r="SII13" s="20"/>
      <c r="SIJ13" s="20"/>
      <c r="SIK13" s="20"/>
      <c r="SIL13" s="20"/>
      <c r="SIM13" s="20"/>
      <c r="SIN13" s="20"/>
      <c r="SIO13" s="20"/>
      <c r="SIP13" s="20"/>
      <c r="SIQ13" s="20"/>
      <c r="SIR13" s="20"/>
      <c r="SIS13" s="20"/>
      <c r="SIT13" s="20"/>
      <c r="SIU13" s="20"/>
      <c r="SIV13" s="20"/>
      <c r="SIW13" s="20"/>
      <c r="SIX13" s="20"/>
      <c r="SIY13" s="20"/>
      <c r="SIZ13" s="20"/>
      <c r="SJA13" s="20"/>
      <c r="SJB13" s="20"/>
      <c r="SJC13" s="20"/>
      <c r="SJD13" s="20"/>
      <c r="SJE13" s="20"/>
      <c r="SJF13" s="20"/>
      <c r="SJG13" s="20"/>
      <c r="SJH13" s="20"/>
      <c r="SJI13" s="20"/>
      <c r="SJJ13" s="20"/>
      <c r="SJK13" s="20"/>
      <c r="SJL13" s="20"/>
      <c r="SJM13" s="20"/>
      <c r="SJN13" s="20"/>
      <c r="SJO13" s="20"/>
      <c r="SJP13" s="20"/>
      <c r="SJQ13" s="20"/>
      <c r="SJR13" s="20"/>
      <c r="SJS13" s="20"/>
      <c r="SJT13" s="20"/>
      <c r="SJU13" s="20"/>
      <c r="SJV13" s="20"/>
      <c r="SJW13" s="20"/>
      <c r="SJX13" s="20"/>
      <c r="SJY13" s="20"/>
      <c r="SJZ13" s="20"/>
      <c r="SKA13" s="20"/>
      <c r="SKB13" s="20"/>
      <c r="SKC13" s="20"/>
      <c r="SKD13" s="20"/>
      <c r="SKE13" s="20"/>
      <c r="SKF13" s="20"/>
      <c r="SKG13" s="20"/>
      <c r="SKH13" s="20"/>
      <c r="SKI13" s="20"/>
      <c r="SKJ13" s="20"/>
      <c r="SKK13" s="20"/>
      <c r="SKL13" s="20"/>
      <c r="SKM13" s="20"/>
      <c r="SKN13" s="20"/>
      <c r="SKO13" s="20"/>
      <c r="SKP13" s="20"/>
      <c r="SKQ13" s="20"/>
      <c r="SKR13" s="20"/>
      <c r="SKS13" s="20"/>
      <c r="SKT13" s="20"/>
      <c r="SKU13" s="20"/>
      <c r="SKV13" s="20"/>
      <c r="SKW13" s="20"/>
      <c r="SKX13" s="20"/>
      <c r="SKY13" s="20"/>
      <c r="SKZ13" s="20"/>
      <c r="SLA13" s="20"/>
      <c r="SLB13" s="20"/>
      <c r="SLC13" s="20"/>
      <c r="SLD13" s="20"/>
      <c r="SLE13" s="20"/>
      <c r="SLF13" s="20"/>
      <c r="SLG13" s="20"/>
      <c r="SLH13" s="20"/>
      <c r="SLI13" s="20"/>
      <c r="SLJ13" s="20"/>
      <c r="SLK13" s="20"/>
      <c r="SLL13" s="20"/>
      <c r="SLM13" s="20"/>
      <c r="SLN13" s="20"/>
      <c r="SLO13" s="20"/>
      <c r="SLP13" s="20"/>
      <c r="SLQ13" s="20"/>
      <c r="SLR13" s="20"/>
      <c r="SLS13" s="20"/>
      <c r="SLT13" s="20"/>
      <c r="SLU13" s="20"/>
      <c r="SLV13" s="20"/>
      <c r="SLW13" s="20"/>
      <c r="SLX13" s="20"/>
      <c r="SLY13" s="20"/>
      <c r="SLZ13" s="20"/>
      <c r="SMA13" s="20"/>
      <c r="SMB13" s="20"/>
      <c r="SMC13" s="20"/>
      <c r="SMD13" s="20"/>
      <c r="SME13" s="20"/>
      <c r="SMF13" s="20"/>
      <c r="SMG13" s="20"/>
      <c r="SMH13" s="20"/>
      <c r="SMI13" s="20"/>
      <c r="SMJ13" s="20"/>
      <c r="SMK13" s="20"/>
      <c r="SML13" s="20"/>
      <c r="SMM13" s="20"/>
      <c r="SMN13" s="20"/>
      <c r="SMO13" s="20"/>
      <c r="SMP13" s="20"/>
      <c r="SMQ13" s="20"/>
      <c r="SMR13" s="20"/>
      <c r="SMS13" s="20"/>
      <c r="SMT13" s="20"/>
      <c r="SMU13" s="20"/>
      <c r="SMV13" s="20"/>
      <c r="SMW13" s="20"/>
      <c r="SMX13" s="20"/>
      <c r="SMY13" s="20"/>
      <c r="SMZ13" s="20"/>
      <c r="SNA13" s="20"/>
      <c r="SNB13" s="20"/>
      <c r="SNC13" s="20"/>
      <c r="SND13" s="20"/>
      <c r="SNE13" s="20"/>
      <c r="SNF13" s="20"/>
      <c r="SNG13" s="20"/>
      <c r="SNH13" s="20"/>
      <c r="SNI13" s="20"/>
      <c r="SNJ13" s="20"/>
      <c r="SNK13" s="20"/>
      <c r="SNL13" s="20"/>
      <c r="SNM13" s="20"/>
      <c r="SNN13" s="20"/>
      <c r="SNO13" s="20"/>
      <c r="SNP13" s="20"/>
      <c r="SNQ13" s="20"/>
      <c r="SNR13" s="20"/>
      <c r="SNS13" s="20"/>
      <c r="SNT13" s="20"/>
      <c r="SNU13" s="20"/>
      <c r="SNV13" s="20"/>
      <c r="SNW13" s="20"/>
      <c r="SNX13" s="20"/>
      <c r="SNY13" s="20"/>
      <c r="SNZ13" s="20"/>
      <c r="SOA13" s="20"/>
      <c r="SOB13" s="20"/>
      <c r="SOC13" s="20"/>
      <c r="SOD13" s="20"/>
      <c r="SOE13" s="20"/>
      <c r="SOF13" s="20"/>
      <c r="SOG13" s="20"/>
      <c r="SOH13" s="20"/>
      <c r="SOI13" s="20"/>
      <c r="SOJ13" s="20"/>
      <c r="SOK13" s="20"/>
      <c r="SOL13" s="20"/>
      <c r="SOM13" s="20"/>
      <c r="SON13" s="20"/>
      <c r="SOO13" s="20"/>
      <c r="SOP13" s="20"/>
      <c r="SOQ13" s="20"/>
      <c r="SOR13" s="20"/>
      <c r="SOS13" s="20"/>
      <c r="SOT13" s="20"/>
      <c r="SOU13" s="20"/>
      <c r="SOV13" s="20"/>
      <c r="SOW13" s="20"/>
      <c r="SOX13" s="20"/>
      <c r="SOY13" s="20"/>
      <c r="SOZ13" s="20"/>
      <c r="SPA13" s="20"/>
      <c r="SPB13" s="20"/>
      <c r="SPC13" s="20"/>
      <c r="SPD13" s="20"/>
      <c r="SPE13" s="20"/>
      <c r="SPF13" s="20"/>
      <c r="SPG13" s="20"/>
      <c r="SPH13" s="20"/>
      <c r="SPI13" s="20"/>
      <c r="SPJ13" s="20"/>
      <c r="SPK13" s="20"/>
      <c r="SPL13" s="20"/>
      <c r="SPM13" s="20"/>
      <c r="SPN13" s="20"/>
      <c r="SPO13" s="20"/>
      <c r="SPP13" s="20"/>
      <c r="SPQ13" s="20"/>
      <c r="SPR13" s="20"/>
      <c r="SPS13" s="20"/>
      <c r="SPT13" s="20"/>
      <c r="SPU13" s="20"/>
      <c r="SPV13" s="20"/>
      <c r="SPW13" s="20"/>
      <c r="SPX13" s="20"/>
      <c r="SPY13" s="20"/>
      <c r="SPZ13" s="20"/>
      <c r="SQA13" s="20"/>
      <c r="SQB13" s="20"/>
      <c r="SQC13" s="20"/>
      <c r="SQD13" s="20"/>
      <c r="SQE13" s="20"/>
      <c r="SQF13" s="20"/>
      <c r="SQG13" s="20"/>
      <c r="SQH13" s="20"/>
      <c r="SQI13" s="20"/>
      <c r="SQJ13" s="20"/>
      <c r="SQK13" s="20"/>
      <c r="SQL13" s="20"/>
      <c r="SQM13" s="20"/>
      <c r="SQN13" s="20"/>
      <c r="SQO13" s="20"/>
      <c r="SQP13" s="20"/>
      <c r="SQQ13" s="20"/>
      <c r="SQR13" s="20"/>
      <c r="SQS13" s="20"/>
      <c r="SQT13" s="20"/>
      <c r="SQU13" s="20"/>
      <c r="SQV13" s="20"/>
      <c r="SQW13" s="20"/>
      <c r="SQX13" s="20"/>
      <c r="SQY13" s="20"/>
      <c r="SQZ13" s="20"/>
      <c r="SRA13" s="20"/>
      <c r="SRB13" s="20"/>
      <c r="SRC13" s="20"/>
      <c r="SRD13" s="20"/>
      <c r="SRE13" s="20"/>
      <c r="SRF13" s="20"/>
      <c r="SRG13" s="20"/>
      <c r="SRH13" s="20"/>
      <c r="SRI13" s="20"/>
      <c r="SRJ13" s="20"/>
      <c r="SRK13" s="20"/>
      <c r="SRL13" s="20"/>
      <c r="SRM13" s="20"/>
      <c r="SRN13" s="20"/>
      <c r="SRO13" s="20"/>
      <c r="SRP13" s="20"/>
      <c r="SRQ13" s="20"/>
      <c r="SRR13" s="20"/>
      <c r="SRS13" s="20"/>
      <c r="SRT13" s="20"/>
      <c r="SRU13" s="20"/>
      <c r="SRV13" s="20"/>
      <c r="SRW13" s="20"/>
      <c r="SRX13" s="20"/>
      <c r="SRY13" s="20"/>
      <c r="SRZ13" s="20"/>
      <c r="SSA13" s="20"/>
      <c r="SSB13" s="20"/>
      <c r="SSC13" s="20"/>
      <c r="SSD13" s="20"/>
      <c r="SSE13" s="20"/>
      <c r="SSF13" s="20"/>
      <c r="SSG13" s="20"/>
      <c r="SSH13" s="20"/>
      <c r="SSI13" s="20"/>
      <c r="SSJ13" s="20"/>
      <c r="SSK13" s="20"/>
      <c r="SSL13" s="20"/>
      <c r="SSM13" s="20"/>
      <c r="SSN13" s="20"/>
      <c r="SSO13" s="20"/>
      <c r="SSP13" s="20"/>
      <c r="SSQ13" s="20"/>
      <c r="SSR13" s="20"/>
      <c r="SSS13" s="20"/>
      <c r="SST13" s="20"/>
      <c r="SSU13" s="20"/>
      <c r="SSV13" s="20"/>
      <c r="SSW13" s="20"/>
      <c r="SSX13" s="20"/>
      <c r="SSY13" s="20"/>
      <c r="SSZ13" s="20"/>
      <c r="STA13" s="20"/>
      <c r="STB13" s="20"/>
      <c r="STC13" s="20"/>
      <c r="STD13" s="20"/>
      <c r="STE13" s="20"/>
      <c r="STF13" s="20"/>
      <c r="STG13" s="20"/>
      <c r="STH13" s="20"/>
      <c r="STI13" s="20"/>
      <c r="STJ13" s="20"/>
      <c r="STK13" s="20"/>
      <c r="STL13" s="20"/>
      <c r="STM13" s="20"/>
      <c r="STN13" s="20"/>
      <c r="STO13" s="20"/>
      <c r="STP13" s="20"/>
      <c r="STQ13" s="20"/>
      <c r="STR13" s="20"/>
      <c r="STS13" s="20"/>
      <c r="STT13" s="20"/>
      <c r="STU13" s="20"/>
      <c r="STV13" s="20"/>
      <c r="STW13" s="20"/>
      <c r="STX13" s="20"/>
      <c r="STY13" s="20"/>
      <c r="STZ13" s="20"/>
      <c r="SUA13" s="20"/>
      <c r="SUB13" s="20"/>
      <c r="SUC13" s="20"/>
      <c r="SUD13" s="20"/>
      <c r="SUE13" s="20"/>
      <c r="SUF13" s="20"/>
      <c r="SUG13" s="20"/>
      <c r="SUH13" s="20"/>
      <c r="SUI13" s="20"/>
      <c r="SUJ13" s="20"/>
      <c r="SUK13" s="20"/>
      <c r="SUL13" s="20"/>
      <c r="SUM13" s="20"/>
      <c r="SUN13" s="20"/>
      <c r="SUO13" s="20"/>
      <c r="SUP13" s="20"/>
      <c r="SUQ13" s="20"/>
      <c r="SUR13" s="20"/>
      <c r="SUS13" s="20"/>
      <c r="SUT13" s="20"/>
      <c r="SUU13" s="20"/>
      <c r="SUV13" s="20"/>
      <c r="SUW13" s="20"/>
      <c r="SUX13" s="20"/>
      <c r="SUY13" s="20"/>
      <c r="SUZ13" s="20"/>
      <c r="SVA13" s="20"/>
      <c r="SVB13" s="20"/>
      <c r="SVC13" s="20"/>
      <c r="SVD13" s="20"/>
      <c r="SVE13" s="20"/>
      <c r="SVF13" s="20"/>
      <c r="SVG13" s="20"/>
      <c r="SVH13" s="20"/>
      <c r="SVI13" s="20"/>
      <c r="SVJ13" s="20"/>
      <c r="SVK13" s="20"/>
      <c r="SVL13" s="20"/>
      <c r="SVM13" s="20"/>
      <c r="SVN13" s="20"/>
      <c r="SVO13" s="20"/>
      <c r="SVP13" s="20"/>
      <c r="SVQ13" s="20"/>
      <c r="SVR13" s="20"/>
      <c r="SVS13" s="20"/>
      <c r="SVT13" s="20"/>
      <c r="SVU13" s="20"/>
      <c r="SVV13" s="20"/>
      <c r="SVW13" s="20"/>
      <c r="SVX13" s="20"/>
      <c r="SVY13" s="20"/>
      <c r="SVZ13" s="20"/>
      <c r="SWA13" s="20"/>
      <c r="SWB13" s="20"/>
      <c r="SWC13" s="20"/>
      <c r="SWD13" s="20"/>
      <c r="SWE13" s="20"/>
      <c r="SWF13" s="20"/>
      <c r="SWG13" s="20"/>
      <c r="SWH13" s="20"/>
      <c r="SWI13" s="20"/>
      <c r="SWJ13" s="20"/>
      <c r="SWK13" s="20"/>
      <c r="SWL13" s="20"/>
      <c r="SWM13" s="20"/>
      <c r="SWN13" s="20"/>
      <c r="SWO13" s="20"/>
      <c r="SWP13" s="20"/>
      <c r="SWQ13" s="20"/>
      <c r="SWR13" s="20"/>
      <c r="SWS13" s="20"/>
      <c r="SWT13" s="20"/>
      <c r="SWU13" s="20"/>
      <c r="SWV13" s="20"/>
      <c r="SWW13" s="20"/>
      <c r="SWX13" s="20"/>
      <c r="SWY13" s="20"/>
      <c r="SWZ13" s="20"/>
      <c r="SXA13" s="20"/>
      <c r="SXB13" s="20"/>
      <c r="SXC13" s="20"/>
      <c r="SXD13" s="20"/>
      <c r="SXE13" s="20"/>
      <c r="SXF13" s="20"/>
      <c r="SXG13" s="20"/>
      <c r="SXH13" s="20"/>
      <c r="SXI13" s="20"/>
      <c r="SXJ13" s="20"/>
      <c r="SXK13" s="20"/>
      <c r="SXL13" s="20"/>
      <c r="SXM13" s="20"/>
      <c r="SXN13" s="20"/>
      <c r="SXO13" s="20"/>
      <c r="SXP13" s="20"/>
      <c r="SXQ13" s="20"/>
      <c r="SXR13" s="20"/>
      <c r="SXS13" s="20"/>
      <c r="SXT13" s="20"/>
      <c r="SXU13" s="20"/>
      <c r="SXV13" s="20"/>
      <c r="SXW13" s="20"/>
      <c r="SXX13" s="20"/>
      <c r="SXY13" s="20"/>
      <c r="SXZ13" s="20"/>
      <c r="SYA13" s="20"/>
      <c r="SYB13" s="20"/>
      <c r="SYC13" s="20"/>
      <c r="SYD13" s="20"/>
      <c r="SYE13" s="20"/>
      <c r="SYF13" s="20"/>
      <c r="SYG13" s="20"/>
      <c r="SYH13" s="20"/>
      <c r="SYI13" s="20"/>
      <c r="SYJ13" s="20"/>
      <c r="SYK13" s="20"/>
      <c r="SYL13" s="20"/>
      <c r="SYM13" s="20"/>
      <c r="SYN13" s="20"/>
      <c r="SYO13" s="20"/>
      <c r="SYP13" s="20"/>
      <c r="SYQ13" s="20"/>
      <c r="SYR13" s="20"/>
      <c r="SYS13" s="20"/>
      <c r="SYT13" s="20"/>
      <c r="SYU13" s="20"/>
      <c r="SYV13" s="20"/>
      <c r="SYW13" s="20"/>
      <c r="SYX13" s="20"/>
      <c r="SYY13" s="20"/>
      <c r="SYZ13" s="20"/>
      <c r="SZA13" s="20"/>
      <c r="SZB13" s="20"/>
      <c r="SZC13" s="20"/>
      <c r="SZD13" s="20"/>
      <c r="SZE13" s="20"/>
      <c r="SZF13" s="20"/>
      <c r="SZG13" s="20"/>
      <c r="SZH13" s="20"/>
      <c r="SZI13" s="20"/>
      <c r="SZJ13" s="20"/>
      <c r="SZK13" s="20"/>
      <c r="SZL13" s="20"/>
      <c r="SZM13" s="20"/>
      <c r="SZN13" s="20"/>
      <c r="SZO13" s="20"/>
      <c r="SZP13" s="20"/>
      <c r="SZQ13" s="20"/>
      <c r="SZR13" s="20"/>
      <c r="SZS13" s="20"/>
      <c r="SZT13" s="20"/>
      <c r="SZU13" s="20"/>
      <c r="SZV13" s="20"/>
      <c r="SZW13" s="20"/>
      <c r="SZX13" s="20"/>
      <c r="SZY13" s="20"/>
      <c r="SZZ13" s="20"/>
      <c r="TAA13" s="20"/>
      <c r="TAB13" s="20"/>
      <c r="TAC13" s="20"/>
      <c r="TAD13" s="20"/>
      <c r="TAE13" s="20"/>
      <c r="TAF13" s="20"/>
      <c r="TAG13" s="20"/>
      <c r="TAH13" s="20"/>
      <c r="TAI13" s="20"/>
      <c r="TAJ13" s="20"/>
      <c r="TAK13" s="20"/>
      <c r="TAL13" s="20"/>
      <c r="TAM13" s="20"/>
      <c r="TAN13" s="20"/>
      <c r="TAO13" s="20"/>
      <c r="TAP13" s="20"/>
      <c r="TAQ13" s="20"/>
      <c r="TAR13" s="20"/>
      <c r="TAS13" s="20"/>
      <c r="TAT13" s="20"/>
      <c r="TAU13" s="20"/>
      <c r="TAV13" s="20"/>
      <c r="TAW13" s="20"/>
      <c r="TAX13" s="20"/>
      <c r="TAY13" s="20"/>
      <c r="TAZ13" s="20"/>
      <c r="TBA13" s="20"/>
      <c r="TBB13" s="20"/>
      <c r="TBC13" s="20"/>
      <c r="TBD13" s="20"/>
      <c r="TBE13" s="20"/>
      <c r="TBF13" s="20"/>
      <c r="TBG13" s="20"/>
      <c r="TBH13" s="20"/>
      <c r="TBI13" s="20"/>
      <c r="TBJ13" s="20"/>
      <c r="TBK13" s="20"/>
      <c r="TBL13" s="20"/>
      <c r="TBM13" s="20"/>
      <c r="TBN13" s="20"/>
      <c r="TBO13" s="20"/>
      <c r="TBP13" s="20"/>
      <c r="TBQ13" s="20"/>
      <c r="TBR13" s="20"/>
      <c r="TBS13" s="20"/>
      <c r="TBT13" s="20"/>
      <c r="TBU13" s="20"/>
      <c r="TBV13" s="20"/>
      <c r="TBW13" s="20"/>
      <c r="TBX13" s="20"/>
      <c r="TBY13" s="20"/>
      <c r="TBZ13" s="20"/>
      <c r="TCA13" s="20"/>
      <c r="TCB13" s="20"/>
      <c r="TCC13" s="20"/>
      <c r="TCD13" s="20"/>
      <c r="TCE13" s="20"/>
      <c r="TCF13" s="20"/>
      <c r="TCG13" s="20"/>
      <c r="TCH13" s="20"/>
      <c r="TCI13" s="20"/>
      <c r="TCJ13" s="20"/>
      <c r="TCK13" s="20"/>
      <c r="TCL13" s="20"/>
      <c r="TCM13" s="20"/>
      <c r="TCN13" s="20"/>
      <c r="TCO13" s="20"/>
      <c r="TCP13" s="20"/>
      <c r="TCQ13" s="20"/>
      <c r="TCR13" s="20"/>
      <c r="TCS13" s="20"/>
      <c r="TCT13" s="20"/>
      <c r="TCU13" s="20"/>
      <c r="TCV13" s="20"/>
      <c r="TCW13" s="20"/>
      <c r="TCX13" s="20"/>
      <c r="TCY13" s="20"/>
      <c r="TCZ13" s="20"/>
      <c r="TDA13" s="20"/>
      <c r="TDB13" s="20"/>
      <c r="TDC13" s="20"/>
      <c r="TDD13" s="20"/>
      <c r="TDE13" s="20"/>
      <c r="TDF13" s="20"/>
      <c r="TDG13" s="20"/>
      <c r="TDH13" s="20"/>
      <c r="TDI13" s="20"/>
      <c r="TDJ13" s="20"/>
      <c r="TDK13" s="20"/>
      <c r="TDL13" s="20"/>
      <c r="TDM13" s="20"/>
      <c r="TDN13" s="20"/>
      <c r="TDO13" s="20"/>
      <c r="TDP13" s="20"/>
      <c r="TDQ13" s="20"/>
      <c r="TDR13" s="20"/>
      <c r="TDS13" s="20"/>
      <c r="TDT13" s="20"/>
      <c r="TDU13" s="20"/>
      <c r="TDV13" s="20"/>
      <c r="TDW13" s="20"/>
      <c r="TDX13" s="20"/>
      <c r="TDY13" s="20"/>
      <c r="TDZ13" s="20"/>
      <c r="TEA13" s="20"/>
      <c r="TEB13" s="20"/>
      <c r="TEC13" s="20"/>
      <c r="TED13" s="20"/>
      <c r="TEE13" s="20"/>
      <c r="TEF13" s="20"/>
      <c r="TEG13" s="20"/>
      <c r="TEH13" s="20"/>
      <c r="TEI13" s="20"/>
      <c r="TEJ13" s="20"/>
      <c r="TEK13" s="20"/>
      <c r="TEL13" s="20"/>
      <c r="TEM13" s="20"/>
      <c r="TEN13" s="20"/>
      <c r="TEO13" s="20"/>
      <c r="TEP13" s="20"/>
      <c r="TEQ13" s="20"/>
      <c r="TER13" s="20"/>
      <c r="TES13" s="20"/>
      <c r="TET13" s="20"/>
      <c r="TEU13" s="20"/>
      <c r="TEV13" s="20"/>
      <c r="TEW13" s="20"/>
      <c r="TEX13" s="20"/>
      <c r="TEY13" s="20"/>
      <c r="TEZ13" s="20"/>
      <c r="TFA13" s="20"/>
      <c r="TFB13" s="20"/>
      <c r="TFC13" s="20"/>
      <c r="TFD13" s="20"/>
      <c r="TFE13" s="20"/>
      <c r="TFF13" s="20"/>
      <c r="TFG13" s="20"/>
      <c r="TFH13" s="20"/>
      <c r="TFI13" s="20"/>
      <c r="TFJ13" s="20"/>
      <c r="TFK13" s="20"/>
      <c r="TFL13" s="20"/>
      <c r="TFM13" s="20"/>
      <c r="TFN13" s="20"/>
      <c r="TFO13" s="20"/>
      <c r="TFP13" s="20"/>
      <c r="TFQ13" s="20"/>
      <c r="TFR13" s="20"/>
      <c r="TFS13" s="20"/>
      <c r="TFT13" s="20"/>
      <c r="TFU13" s="20"/>
      <c r="TFV13" s="20"/>
      <c r="TFW13" s="20"/>
      <c r="TFX13" s="20"/>
      <c r="TFY13" s="20"/>
      <c r="TFZ13" s="20"/>
      <c r="TGA13" s="20"/>
      <c r="TGB13" s="20"/>
      <c r="TGC13" s="20"/>
      <c r="TGD13" s="20"/>
      <c r="TGE13" s="20"/>
      <c r="TGF13" s="20"/>
      <c r="TGG13" s="20"/>
      <c r="TGH13" s="20"/>
      <c r="TGI13" s="20"/>
      <c r="TGJ13" s="20"/>
      <c r="TGK13" s="20"/>
      <c r="TGL13" s="20"/>
      <c r="TGM13" s="20"/>
      <c r="TGN13" s="20"/>
      <c r="TGO13" s="20"/>
      <c r="TGP13" s="20"/>
      <c r="TGQ13" s="20"/>
      <c r="TGR13" s="20"/>
      <c r="TGS13" s="20"/>
      <c r="TGT13" s="20"/>
      <c r="TGU13" s="20"/>
      <c r="TGV13" s="20"/>
      <c r="TGW13" s="20"/>
      <c r="TGX13" s="20"/>
      <c r="TGY13" s="20"/>
      <c r="TGZ13" s="20"/>
      <c r="THA13" s="20"/>
      <c r="THB13" s="20"/>
      <c r="THC13" s="20"/>
      <c r="THD13" s="20"/>
      <c r="THE13" s="20"/>
      <c r="THF13" s="20"/>
      <c r="THG13" s="20"/>
      <c r="THH13" s="20"/>
      <c r="THI13" s="20"/>
      <c r="THJ13" s="20"/>
      <c r="THK13" s="20"/>
      <c r="THL13" s="20"/>
      <c r="THM13" s="20"/>
      <c r="THN13" s="20"/>
      <c r="THO13" s="20"/>
      <c r="THP13" s="20"/>
      <c r="THQ13" s="20"/>
      <c r="THR13" s="20"/>
      <c r="THS13" s="20"/>
      <c r="THT13" s="20"/>
      <c r="THU13" s="20"/>
      <c r="THV13" s="20"/>
      <c r="THW13" s="20"/>
      <c r="THX13" s="20"/>
      <c r="THY13" s="20"/>
      <c r="THZ13" s="20"/>
      <c r="TIA13" s="20"/>
      <c r="TIB13" s="20"/>
      <c r="TIC13" s="20"/>
      <c r="TID13" s="20"/>
      <c r="TIE13" s="20"/>
      <c r="TIF13" s="20"/>
      <c r="TIG13" s="20"/>
      <c r="TIH13" s="20"/>
      <c r="TII13" s="20"/>
      <c r="TIJ13" s="20"/>
      <c r="TIK13" s="20"/>
      <c r="TIL13" s="20"/>
      <c r="TIM13" s="20"/>
      <c r="TIN13" s="20"/>
      <c r="TIO13" s="20"/>
      <c r="TIP13" s="20"/>
      <c r="TIQ13" s="20"/>
      <c r="TIR13" s="20"/>
      <c r="TIS13" s="20"/>
      <c r="TIT13" s="20"/>
      <c r="TIU13" s="20"/>
      <c r="TIV13" s="20"/>
      <c r="TIW13" s="20"/>
      <c r="TIX13" s="20"/>
      <c r="TIY13" s="20"/>
      <c r="TIZ13" s="20"/>
      <c r="TJA13" s="20"/>
      <c r="TJB13" s="20"/>
      <c r="TJC13" s="20"/>
      <c r="TJD13" s="20"/>
      <c r="TJE13" s="20"/>
      <c r="TJF13" s="20"/>
      <c r="TJG13" s="20"/>
      <c r="TJH13" s="20"/>
      <c r="TJI13" s="20"/>
      <c r="TJJ13" s="20"/>
      <c r="TJK13" s="20"/>
      <c r="TJL13" s="20"/>
      <c r="TJM13" s="20"/>
      <c r="TJN13" s="20"/>
      <c r="TJO13" s="20"/>
      <c r="TJP13" s="20"/>
      <c r="TJQ13" s="20"/>
      <c r="TJR13" s="20"/>
      <c r="TJS13" s="20"/>
      <c r="TJT13" s="20"/>
      <c r="TJU13" s="20"/>
      <c r="TJV13" s="20"/>
      <c r="TJW13" s="20"/>
      <c r="TJX13" s="20"/>
      <c r="TJY13" s="20"/>
      <c r="TJZ13" s="20"/>
      <c r="TKA13" s="20"/>
      <c r="TKB13" s="20"/>
      <c r="TKC13" s="20"/>
      <c r="TKD13" s="20"/>
      <c r="TKE13" s="20"/>
      <c r="TKF13" s="20"/>
      <c r="TKG13" s="20"/>
      <c r="TKH13" s="20"/>
      <c r="TKI13" s="20"/>
      <c r="TKJ13" s="20"/>
      <c r="TKK13" s="20"/>
      <c r="TKL13" s="20"/>
      <c r="TKM13" s="20"/>
      <c r="TKN13" s="20"/>
      <c r="TKO13" s="20"/>
      <c r="TKP13" s="20"/>
      <c r="TKQ13" s="20"/>
      <c r="TKR13" s="20"/>
      <c r="TKS13" s="20"/>
      <c r="TKT13" s="20"/>
      <c r="TKU13" s="20"/>
      <c r="TKV13" s="20"/>
      <c r="TKW13" s="20"/>
      <c r="TKX13" s="20"/>
      <c r="TKY13" s="20"/>
      <c r="TKZ13" s="20"/>
      <c r="TLA13" s="20"/>
      <c r="TLB13" s="20"/>
      <c r="TLC13" s="20"/>
      <c r="TLD13" s="20"/>
      <c r="TLE13" s="20"/>
      <c r="TLF13" s="20"/>
      <c r="TLG13" s="20"/>
      <c r="TLH13" s="20"/>
      <c r="TLI13" s="20"/>
      <c r="TLJ13" s="20"/>
      <c r="TLK13" s="20"/>
      <c r="TLL13" s="20"/>
      <c r="TLM13" s="20"/>
      <c r="TLN13" s="20"/>
      <c r="TLO13" s="20"/>
      <c r="TLP13" s="20"/>
      <c r="TLQ13" s="20"/>
      <c r="TLR13" s="20"/>
      <c r="TLS13" s="20"/>
      <c r="TLT13" s="20"/>
      <c r="TLU13" s="20"/>
      <c r="TLV13" s="20"/>
      <c r="TLW13" s="20"/>
      <c r="TLX13" s="20"/>
      <c r="TLY13" s="20"/>
      <c r="TLZ13" s="20"/>
      <c r="TMA13" s="20"/>
      <c r="TMB13" s="20"/>
      <c r="TMC13" s="20"/>
      <c r="TMD13" s="20"/>
      <c r="TME13" s="20"/>
      <c r="TMF13" s="20"/>
      <c r="TMG13" s="20"/>
      <c r="TMH13" s="20"/>
      <c r="TMI13" s="20"/>
      <c r="TMJ13" s="20"/>
      <c r="TMK13" s="20"/>
      <c r="TML13" s="20"/>
      <c r="TMM13" s="20"/>
      <c r="TMN13" s="20"/>
      <c r="TMO13" s="20"/>
      <c r="TMP13" s="20"/>
      <c r="TMQ13" s="20"/>
      <c r="TMR13" s="20"/>
      <c r="TMS13" s="20"/>
      <c r="TMT13" s="20"/>
      <c r="TMU13" s="20"/>
      <c r="TMV13" s="20"/>
      <c r="TMW13" s="20"/>
      <c r="TMX13" s="20"/>
      <c r="TMY13" s="20"/>
      <c r="TMZ13" s="20"/>
      <c r="TNA13" s="20"/>
      <c r="TNB13" s="20"/>
      <c r="TNC13" s="20"/>
      <c r="TND13" s="20"/>
      <c r="TNE13" s="20"/>
      <c r="TNF13" s="20"/>
      <c r="TNG13" s="20"/>
      <c r="TNH13" s="20"/>
      <c r="TNI13" s="20"/>
      <c r="TNJ13" s="20"/>
      <c r="TNK13" s="20"/>
      <c r="TNL13" s="20"/>
      <c r="TNM13" s="20"/>
      <c r="TNN13" s="20"/>
      <c r="TNO13" s="20"/>
      <c r="TNP13" s="20"/>
      <c r="TNQ13" s="20"/>
      <c r="TNR13" s="20"/>
      <c r="TNS13" s="20"/>
      <c r="TNT13" s="20"/>
      <c r="TNU13" s="20"/>
      <c r="TNV13" s="20"/>
      <c r="TNW13" s="20"/>
      <c r="TNX13" s="20"/>
      <c r="TNY13" s="20"/>
      <c r="TNZ13" s="20"/>
      <c r="TOA13" s="20"/>
      <c r="TOB13" s="20"/>
      <c r="TOC13" s="20"/>
      <c r="TOD13" s="20"/>
      <c r="TOE13" s="20"/>
      <c r="TOF13" s="20"/>
      <c r="TOG13" s="20"/>
      <c r="TOH13" s="20"/>
      <c r="TOI13" s="20"/>
      <c r="TOJ13" s="20"/>
      <c r="TOK13" s="20"/>
      <c r="TOL13" s="20"/>
      <c r="TOM13" s="20"/>
      <c r="TON13" s="20"/>
      <c r="TOO13" s="20"/>
      <c r="TOP13" s="20"/>
      <c r="TOQ13" s="20"/>
      <c r="TOR13" s="20"/>
      <c r="TOS13" s="20"/>
      <c r="TOT13" s="20"/>
      <c r="TOU13" s="20"/>
      <c r="TOV13" s="20"/>
      <c r="TOW13" s="20"/>
      <c r="TOX13" s="20"/>
      <c r="TOY13" s="20"/>
      <c r="TOZ13" s="20"/>
      <c r="TPA13" s="20"/>
      <c r="TPB13" s="20"/>
      <c r="TPC13" s="20"/>
      <c r="TPD13" s="20"/>
      <c r="TPE13" s="20"/>
      <c r="TPF13" s="20"/>
      <c r="TPG13" s="20"/>
      <c r="TPH13" s="20"/>
      <c r="TPI13" s="20"/>
      <c r="TPJ13" s="20"/>
      <c r="TPK13" s="20"/>
      <c r="TPL13" s="20"/>
      <c r="TPM13" s="20"/>
      <c r="TPN13" s="20"/>
      <c r="TPO13" s="20"/>
      <c r="TPP13" s="20"/>
      <c r="TPQ13" s="20"/>
      <c r="TPR13" s="20"/>
      <c r="TPS13" s="20"/>
      <c r="TPT13" s="20"/>
      <c r="TPU13" s="20"/>
      <c r="TPV13" s="20"/>
      <c r="TPW13" s="20"/>
      <c r="TPX13" s="20"/>
      <c r="TPY13" s="20"/>
      <c r="TPZ13" s="20"/>
      <c r="TQA13" s="20"/>
      <c r="TQB13" s="20"/>
      <c r="TQC13" s="20"/>
      <c r="TQD13" s="20"/>
      <c r="TQE13" s="20"/>
      <c r="TQF13" s="20"/>
      <c r="TQG13" s="20"/>
      <c r="TQH13" s="20"/>
      <c r="TQI13" s="20"/>
      <c r="TQJ13" s="20"/>
      <c r="TQK13" s="20"/>
      <c r="TQL13" s="20"/>
      <c r="TQM13" s="20"/>
      <c r="TQN13" s="20"/>
      <c r="TQO13" s="20"/>
      <c r="TQP13" s="20"/>
      <c r="TQQ13" s="20"/>
      <c r="TQR13" s="20"/>
      <c r="TQS13" s="20"/>
      <c r="TQT13" s="20"/>
      <c r="TQU13" s="20"/>
      <c r="TQV13" s="20"/>
      <c r="TQW13" s="20"/>
      <c r="TQX13" s="20"/>
      <c r="TQY13" s="20"/>
      <c r="TQZ13" s="20"/>
      <c r="TRA13" s="20"/>
      <c r="TRB13" s="20"/>
      <c r="TRC13" s="20"/>
      <c r="TRD13" s="20"/>
      <c r="TRE13" s="20"/>
      <c r="TRF13" s="20"/>
      <c r="TRG13" s="20"/>
      <c r="TRH13" s="20"/>
      <c r="TRI13" s="20"/>
      <c r="TRJ13" s="20"/>
      <c r="TRK13" s="20"/>
      <c r="TRL13" s="20"/>
      <c r="TRM13" s="20"/>
      <c r="TRN13" s="20"/>
      <c r="TRO13" s="20"/>
      <c r="TRP13" s="20"/>
      <c r="TRQ13" s="20"/>
      <c r="TRR13" s="20"/>
      <c r="TRS13" s="20"/>
      <c r="TRT13" s="20"/>
      <c r="TRU13" s="20"/>
      <c r="TRV13" s="20"/>
      <c r="TRW13" s="20"/>
      <c r="TRX13" s="20"/>
      <c r="TRY13" s="20"/>
      <c r="TRZ13" s="20"/>
      <c r="TSA13" s="20"/>
      <c r="TSB13" s="20"/>
      <c r="TSC13" s="20"/>
      <c r="TSD13" s="20"/>
      <c r="TSE13" s="20"/>
      <c r="TSF13" s="20"/>
      <c r="TSG13" s="20"/>
      <c r="TSH13" s="20"/>
      <c r="TSI13" s="20"/>
      <c r="TSJ13" s="20"/>
      <c r="TSK13" s="20"/>
      <c r="TSL13" s="20"/>
      <c r="TSM13" s="20"/>
      <c r="TSN13" s="20"/>
      <c r="TSO13" s="20"/>
      <c r="TSP13" s="20"/>
      <c r="TSQ13" s="20"/>
      <c r="TSR13" s="20"/>
      <c r="TSS13" s="20"/>
      <c r="TST13" s="20"/>
      <c r="TSU13" s="20"/>
      <c r="TSV13" s="20"/>
      <c r="TSW13" s="20"/>
      <c r="TSX13" s="20"/>
      <c r="TSY13" s="20"/>
      <c r="TSZ13" s="20"/>
      <c r="TTA13" s="20"/>
      <c r="TTB13" s="20"/>
      <c r="TTC13" s="20"/>
      <c r="TTD13" s="20"/>
      <c r="TTE13" s="20"/>
      <c r="TTF13" s="20"/>
      <c r="TTG13" s="20"/>
      <c r="TTH13" s="20"/>
      <c r="TTI13" s="20"/>
      <c r="TTJ13" s="20"/>
      <c r="TTK13" s="20"/>
      <c r="TTL13" s="20"/>
      <c r="TTM13" s="20"/>
      <c r="TTN13" s="20"/>
      <c r="TTO13" s="20"/>
      <c r="TTP13" s="20"/>
      <c r="TTQ13" s="20"/>
      <c r="TTR13" s="20"/>
      <c r="TTS13" s="20"/>
      <c r="TTT13" s="20"/>
      <c r="TTU13" s="20"/>
      <c r="TTV13" s="20"/>
      <c r="TTW13" s="20"/>
      <c r="TTX13" s="20"/>
      <c r="TTY13" s="20"/>
      <c r="TTZ13" s="20"/>
      <c r="TUA13" s="20"/>
      <c r="TUB13" s="20"/>
      <c r="TUC13" s="20"/>
      <c r="TUD13" s="20"/>
      <c r="TUE13" s="20"/>
      <c r="TUF13" s="20"/>
      <c r="TUG13" s="20"/>
      <c r="TUH13" s="20"/>
      <c r="TUI13" s="20"/>
      <c r="TUJ13" s="20"/>
      <c r="TUK13" s="20"/>
      <c r="TUL13" s="20"/>
      <c r="TUM13" s="20"/>
      <c r="TUN13" s="20"/>
      <c r="TUO13" s="20"/>
      <c r="TUP13" s="20"/>
      <c r="TUQ13" s="20"/>
      <c r="TUR13" s="20"/>
      <c r="TUS13" s="20"/>
      <c r="TUT13" s="20"/>
      <c r="TUU13" s="20"/>
      <c r="TUV13" s="20"/>
      <c r="TUW13" s="20"/>
      <c r="TUX13" s="20"/>
      <c r="TUY13" s="20"/>
      <c r="TUZ13" s="20"/>
      <c r="TVA13" s="20"/>
      <c r="TVB13" s="20"/>
      <c r="TVC13" s="20"/>
      <c r="TVD13" s="20"/>
      <c r="TVE13" s="20"/>
      <c r="TVF13" s="20"/>
      <c r="TVG13" s="20"/>
      <c r="TVH13" s="20"/>
      <c r="TVI13" s="20"/>
      <c r="TVJ13" s="20"/>
      <c r="TVK13" s="20"/>
      <c r="TVL13" s="20"/>
      <c r="TVM13" s="20"/>
      <c r="TVN13" s="20"/>
      <c r="TVO13" s="20"/>
      <c r="TVP13" s="20"/>
      <c r="TVQ13" s="20"/>
      <c r="TVR13" s="20"/>
      <c r="TVS13" s="20"/>
      <c r="TVT13" s="20"/>
      <c r="TVU13" s="20"/>
      <c r="TVV13" s="20"/>
      <c r="TVW13" s="20"/>
      <c r="TVX13" s="20"/>
      <c r="TVY13" s="20"/>
      <c r="TVZ13" s="20"/>
      <c r="TWA13" s="20"/>
      <c r="TWB13" s="20"/>
      <c r="TWC13" s="20"/>
      <c r="TWD13" s="20"/>
      <c r="TWE13" s="20"/>
      <c r="TWF13" s="20"/>
      <c r="TWG13" s="20"/>
      <c r="TWH13" s="20"/>
      <c r="TWI13" s="20"/>
      <c r="TWJ13" s="20"/>
      <c r="TWK13" s="20"/>
      <c r="TWL13" s="20"/>
      <c r="TWM13" s="20"/>
      <c r="TWN13" s="20"/>
      <c r="TWO13" s="20"/>
      <c r="TWP13" s="20"/>
      <c r="TWQ13" s="20"/>
      <c r="TWR13" s="20"/>
      <c r="TWS13" s="20"/>
      <c r="TWT13" s="20"/>
      <c r="TWU13" s="20"/>
      <c r="TWV13" s="20"/>
      <c r="TWW13" s="20"/>
      <c r="TWX13" s="20"/>
      <c r="TWY13" s="20"/>
      <c r="TWZ13" s="20"/>
      <c r="TXA13" s="20"/>
      <c r="TXB13" s="20"/>
      <c r="TXC13" s="20"/>
      <c r="TXD13" s="20"/>
      <c r="TXE13" s="20"/>
      <c r="TXF13" s="20"/>
      <c r="TXG13" s="20"/>
      <c r="TXH13" s="20"/>
      <c r="TXI13" s="20"/>
      <c r="TXJ13" s="20"/>
      <c r="TXK13" s="20"/>
      <c r="TXL13" s="20"/>
      <c r="TXM13" s="20"/>
      <c r="TXN13" s="20"/>
      <c r="TXO13" s="20"/>
      <c r="TXP13" s="20"/>
      <c r="TXQ13" s="20"/>
      <c r="TXR13" s="20"/>
      <c r="TXS13" s="20"/>
      <c r="TXT13" s="20"/>
      <c r="TXU13" s="20"/>
      <c r="TXV13" s="20"/>
      <c r="TXW13" s="20"/>
      <c r="TXX13" s="20"/>
      <c r="TXY13" s="20"/>
      <c r="TXZ13" s="20"/>
      <c r="TYA13" s="20"/>
      <c r="TYB13" s="20"/>
      <c r="TYC13" s="20"/>
      <c r="TYD13" s="20"/>
      <c r="TYE13" s="20"/>
      <c r="TYF13" s="20"/>
      <c r="TYG13" s="20"/>
      <c r="TYH13" s="20"/>
      <c r="TYI13" s="20"/>
      <c r="TYJ13" s="20"/>
      <c r="TYK13" s="20"/>
      <c r="TYL13" s="20"/>
      <c r="TYM13" s="20"/>
      <c r="TYN13" s="20"/>
      <c r="TYO13" s="20"/>
      <c r="TYP13" s="20"/>
      <c r="TYQ13" s="20"/>
      <c r="TYR13" s="20"/>
      <c r="TYS13" s="20"/>
      <c r="TYT13" s="20"/>
      <c r="TYU13" s="20"/>
      <c r="TYV13" s="20"/>
      <c r="TYW13" s="20"/>
      <c r="TYX13" s="20"/>
      <c r="TYY13" s="20"/>
      <c r="TYZ13" s="20"/>
      <c r="TZA13" s="20"/>
      <c r="TZB13" s="20"/>
      <c r="TZC13" s="20"/>
      <c r="TZD13" s="20"/>
      <c r="TZE13" s="20"/>
      <c r="TZF13" s="20"/>
      <c r="TZG13" s="20"/>
      <c r="TZH13" s="20"/>
      <c r="TZI13" s="20"/>
      <c r="TZJ13" s="20"/>
      <c r="TZK13" s="20"/>
      <c r="TZL13" s="20"/>
      <c r="TZM13" s="20"/>
      <c r="TZN13" s="20"/>
      <c r="TZO13" s="20"/>
      <c r="TZP13" s="20"/>
      <c r="TZQ13" s="20"/>
      <c r="TZR13" s="20"/>
      <c r="TZS13" s="20"/>
      <c r="TZT13" s="20"/>
      <c r="TZU13" s="20"/>
      <c r="TZV13" s="20"/>
      <c r="TZW13" s="20"/>
      <c r="TZX13" s="20"/>
      <c r="TZY13" s="20"/>
      <c r="TZZ13" s="20"/>
      <c r="UAA13" s="20"/>
      <c r="UAB13" s="20"/>
      <c r="UAC13" s="20"/>
      <c r="UAD13" s="20"/>
      <c r="UAE13" s="20"/>
      <c r="UAF13" s="20"/>
      <c r="UAG13" s="20"/>
      <c r="UAH13" s="20"/>
      <c r="UAI13" s="20"/>
      <c r="UAJ13" s="20"/>
      <c r="UAK13" s="20"/>
      <c r="UAL13" s="20"/>
      <c r="UAM13" s="20"/>
      <c r="UAN13" s="20"/>
      <c r="UAO13" s="20"/>
      <c r="UAP13" s="20"/>
      <c r="UAQ13" s="20"/>
      <c r="UAR13" s="20"/>
      <c r="UAS13" s="20"/>
      <c r="UAT13" s="20"/>
      <c r="UAU13" s="20"/>
      <c r="UAV13" s="20"/>
      <c r="UAW13" s="20"/>
      <c r="UAX13" s="20"/>
      <c r="UAY13" s="20"/>
      <c r="UAZ13" s="20"/>
      <c r="UBA13" s="20"/>
      <c r="UBB13" s="20"/>
      <c r="UBC13" s="20"/>
      <c r="UBD13" s="20"/>
      <c r="UBE13" s="20"/>
      <c r="UBF13" s="20"/>
      <c r="UBG13" s="20"/>
      <c r="UBH13" s="20"/>
      <c r="UBI13" s="20"/>
      <c r="UBJ13" s="20"/>
      <c r="UBK13" s="20"/>
      <c r="UBL13" s="20"/>
      <c r="UBM13" s="20"/>
      <c r="UBN13" s="20"/>
      <c r="UBO13" s="20"/>
      <c r="UBP13" s="20"/>
      <c r="UBQ13" s="20"/>
      <c r="UBR13" s="20"/>
      <c r="UBS13" s="20"/>
      <c r="UBT13" s="20"/>
      <c r="UBU13" s="20"/>
      <c r="UBV13" s="20"/>
      <c r="UBW13" s="20"/>
      <c r="UBX13" s="20"/>
      <c r="UBY13" s="20"/>
      <c r="UBZ13" s="20"/>
      <c r="UCA13" s="20"/>
      <c r="UCB13" s="20"/>
      <c r="UCC13" s="20"/>
      <c r="UCD13" s="20"/>
      <c r="UCE13" s="20"/>
      <c r="UCF13" s="20"/>
      <c r="UCG13" s="20"/>
      <c r="UCH13" s="20"/>
      <c r="UCI13" s="20"/>
      <c r="UCJ13" s="20"/>
      <c r="UCK13" s="20"/>
      <c r="UCL13" s="20"/>
      <c r="UCM13" s="20"/>
      <c r="UCN13" s="20"/>
      <c r="UCO13" s="20"/>
      <c r="UCP13" s="20"/>
      <c r="UCQ13" s="20"/>
      <c r="UCR13" s="20"/>
      <c r="UCS13" s="20"/>
      <c r="UCT13" s="20"/>
      <c r="UCU13" s="20"/>
      <c r="UCV13" s="20"/>
      <c r="UCW13" s="20"/>
      <c r="UCX13" s="20"/>
      <c r="UCY13" s="20"/>
      <c r="UCZ13" s="20"/>
      <c r="UDA13" s="20"/>
      <c r="UDB13" s="20"/>
      <c r="UDC13" s="20"/>
      <c r="UDD13" s="20"/>
      <c r="UDE13" s="20"/>
      <c r="UDF13" s="20"/>
      <c r="UDG13" s="20"/>
      <c r="UDH13" s="20"/>
      <c r="UDI13" s="20"/>
      <c r="UDJ13" s="20"/>
      <c r="UDK13" s="20"/>
      <c r="UDL13" s="20"/>
      <c r="UDM13" s="20"/>
      <c r="UDN13" s="20"/>
      <c r="UDO13" s="20"/>
      <c r="UDP13" s="20"/>
      <c r="UDQ13" s="20"/>
      <c r="UDR13" s="20"/>
      <c r="UDS13" s="20"/>
      <c r="UDT13" s="20"/>
      <c r="UDU13" s="20"/>
      <c r="UDV13" s="20"/>
      <c r="UDW13" s="20"/>
      <c r="UDX13" s="20"/>
      <c r="UDY13" s="20"/>
      <c r="UDZ13" s="20"/>
      <c r="UEA13" s="20"/>
      <c r="UEB13" s="20"/>
      <c r="UEC13" s="20"/>
      <c r="UED13" s="20"/>
      <c r="UEE13" s="20"/>
      <c r="UEF13" s="20"/>
      <c r="UEG13" s="20"/>
      <c r="UEH13" s="20"/>
      <c r="UEI13" s="20"/>
      <c r="UEJ13" s="20"/>
      <c r="UEK13" s="20"/>
      <c r="UEL13" s="20"/>
      <c r="UEM13" s="20"/>
      <c r="UEN13" s="20"/>
      <c r="UEO13" s="20"/>
      <c r="UEP13" s="20"/>
      <c r="UEQ13" s="20"/>
      <c r="UER13" s="20"/>
      <c r="UES13" s="20"/>
      <c r="UET13" s="20"/>
      <c r="UEU13" s="20"/>
      <c r="UEV13" s="20"/>
      <c r="UEW13" s="20"/>
      <c r="UEX13" s="20"/>
      <c r="UEY13" s="20"/>
      <c r="UEZ13" s="20"/>
      <c r="UFA13" s="20"/>
      <c r="UFB13" s="20"/>
      <c r="UFC13" s="20"/>
      <c r="UFD13" s="20"/>
      <c r="UFE13" s="20"/>
      <c r="UFF13" s="20"/>
      <c r="UFG13" s="20"/>
      <c r="UFH13" s="20"/>
      <c r="UFI13" s="20"/>
      <c r="UFJ13" s="20"/>
      <c r="UFK13" s="20"/>
      <c r="UFL13" s="20"/>
      <c r="UFM13" s="20"/>
      <c r="UFN13" s="20"/>
      <c r="UFO13" s="20"/>
      <c r="UFP13" s="20"/>
      <c r="UFQ13" s="20"/>
      <c r="UFR13" s="20"/>
      <c r="UFS13" s="20"/>
      <c r="UFT13" s="20"/>
      <c r="UFU13" s="20"/>
      <c r="UFV13" s="20"/>
      <c r="UFW13" s="20"/>
      <c r="UFX13" s="20"/>
      <c r="UFY13" s="20"/>
      <c r="UFZ13" s="20"/>
      <c r="UGA13" s="20"/>
      <c r="UGB13" s="20"/>
      <c r="UGC13" s="20"/>
      <c r="UGD13" s="20"/>
      <c r="UGE13" s="20"/>
      <c r="UGF13" s="20"/>
      <c r="UGG13" s="20"/>
      <c r="UGH13" s="20"/>
      <c r="UGI13" s="20"/>
      <c r="UGJ13" s="20"/>
      <c r="UGK13" s="20"/>
      <c r="UGL13" s="20"/>
      <c r="UGM13" s="20"/>
      <c r="UGN13" s="20"/>
      <c r="UGO13" s="20"/>
      <c r="UGP13" s="20"/>
      <c r="UGQ13" s="20"/>
      <c r="UGR13" s="20"/>
      <c r="UGS13" s="20"/>
      <c r="UGT13" s="20"/>
      <c r="UGU13" s="20"/>
      <c r="UGV13" s="20"/>
      <c r="UGW13" s="20"/>
      <c r="UGX13" s="20"/>
      <c r="UGY13" s="20"/>
      <c r="UGZ13" s="20"/>
      <c r="UHA13" s="20"/>
      <c r="UHB13" s="20"/>
      <c r="UHC13" s="20"/>
      <c r="UHD13" s="20"/>
      <c r="UHE13" s="20"/>
      <c r="UHF13" s="20"/>
      <c r="UHG13" s="20"/>
      <c r="UHH13" s="20"/>
      <c r="UHI13" s="20"/>
      <c r="UHJ13" s="20"/>
      <c r="UHK13" s="20"/>
      <c r="UHL13" s="20"/>
      <c r="UHM13" s="20"/>
      <c r="UHN13" s="20"/>
      <c r="UHO13" s="20"/>
      <c r="UHP13" s="20"/>
      <c r="UHQ13" s="20"/>
      <c r="UHR13" s="20"/>
      <c r="UHS13" s="20"/>
      <c r="UHT13" s="20"/>
      <c r="UHU13" s="20"/>
      <c r="UHV13" s="20"/>
      <c r="UHW13" s="20"/>
      <c r="UHX13" s="20"/>
      <c r="UHY13" s="20"/>
      <c r="UHZ13" s="20"/>
      <c r="UIA13" s="20"/>
      <c r="UIB13" s="20"/>
      <c r="UIC13" s="20"/>
      <c r="UID13" s="20"/>
      <c r="UIE13" s="20"/>
      <c r="UIF13" s="20"/>
      <c r="UIG13" s="20"/>
      <c r="UIH13" s="20"/>
      <c r="UII13" s="20"/>
      <c r="UIJ13" s="20"/>
      <c r="UIK13" s="20"/>
      <c r="UIL13" s="20"/>
      <c r="UIM13" s="20"/>
      <c r="UIN13" s="20"/>
      <c r="UIO13" s="20"/>
      <c r="UIP13" s="20"/>
      <c r="UIQ13" s="20"/>
      <c r="UIR13" s="20"/>
      <c r="UIS13" s="20"/>
      <c r="UIT13" s="20"/>
      <c r="UIU13" s="20"/>
      <c r="UIV13" s="20"/>
      <c r="UIW13" s="20"/>
      <c r="UIX13" s="20"/>
      <c r="UIY13" s="20"/>
      <c r="UIZ13" s="20"/>
      <c r="UJA13" s="20"/>
      <c r="UJB13" s="20"/>
      <c r="UJC13" s="20"/>
      <c r="UJD13" s="20"/>
      <c r="UJE13" s="20"/>
      <c r="UJF13" s="20"/>
      <c r="UJG13" s="20"/>
      <c r="UJH13" s="20"/>
      <c r="UJI13" s="20"/>
      <c r="UJJ13" s="20"/>
      <c r="UJK13" s="20"/>
      <c r="UJL13" s="20"/>
      <c r="UJM13" s="20"/>
      <c r="UJN13" s="20"/>
      <c r="UJO13" s="20"/>
      <c r="UJP13" s="20"/>
      <c r="UJQ13" s="20"/>
      <c r="UJR13" s="20"/>
      <c r="UJS13" s="20"/>
      <c r="UJT13" s="20"/>
      <c r="UJU13" s="20"/>
      <c r="UJV13" s="20"/>
      <c r="UJW13" s="20"/>
      <c r="UJX13" s="20"/>
      <c r="UJY13" s="20"/>
      <c r="UJZ13" s="20"/>
      <c r="UKA13" s="20"/>
      <c r="UKB13" s="20"/>
      <c r="UKC13" s="20"/>
      <c r="UKD13" s="20"/>
      <c r="UKE13" s="20"/>
      <c r="UKF13" s="20"/>
      <c r="UKG13" s="20"/>
      <c r="UKH13" s="20"/>
      <c r="UKI13" s="20"/>
      <c r="UKJ13" s="20"/>
      <c r="UKK13" s="20"/>
      <c r="UKL13" s="20"/>
      <c r="UKM13" s="20"/>
      <c r="UKN13" s="20"/>
      <c r="UKO13" s="20"/>
      <c r="UKP13" s="20"/>
      <c r="UKQ13" s="20"/>
      <c r="UKR13" s="20"/>
      <c r="UKS13" s="20"/>
      <c r="UKT13" s="20"/>
      <c r="UKU13" s="20"/>
      <c r="UKV13" s="20"/>
      <c r="UKW13" s="20"/>
      <c r="UKX13" s="20"/>
      <c r="UKY13" s="20"/>
      <c r="UKZ13" s="20"/>
      <c r="ULA13" s="20"/>
      <c r="ULB13" s="20"/>
      <c r="ULC13" s="20"/>
      <c r="ULD13" s="20"/>
      <c r="ULE13" s="20"/>
      <c r="ULF13" s="20"/>
      <c r="ULG13" s="20"/>
      <c r="ULH13" s="20"/>
      <c r="ULI13" s="20"/>
      <c r="ULJ13" s="20"/>
      <c r="ULK13" s="20"/>
      <c r="ULL13" s="20"/>
      <c r="ULM13" s="20"/>
      <c r="ULN13" s="20"/>
      <c r="ULO13" s="20"/>
      <c r="ULP13" s="20"/>
      <c r="ULQ13" s="20"/>
      <c r="ULR13" s="20"/>
      <c r="ULS13" s="20"/>
      <c r="ULT13" s="20"/>
      <c r="ULU13" s="20"/>
      <c r="ULV13" s="20"/>
      <c r="ULW13" s="20"/>
      <c r="ULX13" s="20"/>
      <c r="ULY13" s="20"/>
      <c r="ULZ13" s="20"/>
      <c r="UMA13" s="20"/>
      <c r="UMB13" s="20"/>
      <c r="UMC13" s="20"/>
      <c r="UMD13" s="20"/>
      <c r="UME13" s="20"/>
      <c r="UMF13" s="20"/>
      <c r="UMG13" s="20"/>
      <c r="UMH13" s="20"/>
      <c r="UMI13" s="20"/>
      <c r="UMJ13" s="20"/>
      <c r="UMK13" s="20"/>
      <c r="UML13" s="20"/>
      <c r="UMM13" s="20"/>
      <c r="UMN13" s="20"/>
      <c r="UMO13" s="20"/>
      <c r="UMP13" s="20"/>
      <c r="UMQ13" s="20"/>
      <c r="UMR13" s="20"/>
      <c r="UMS13" s="20"/>
      <c r="UMT13" s="20"/>
      <c r="UMU13" s="20"/>
      <c r="UMV13" s="20"/>
      <c r="UMW13" s="20"/>
      <c r="UMX13" s="20"/>
      <c r="UMY13" s="20"/>
      <c r="UMZ13" s="20"/>
      <c r="UNA13" s="20"/>
      <c r="UNB13" s="20"/>
      <c r="UNC13" s="20"/>
      <c r="UND13" s="20"/>
      <c r="UNE13" s="20"/>
      <c r="UNF13" s="20"/>
      <c r="UNG13" s="20"/>
      <c r="UNH13" s="20"/>
      <c r="UNI13" s="20"/>
      <c r="UNJ13" s="20"/>
      <c r="UNK13" s="20"/>
      <c r="UNL13" s="20"/>
      <c r="UNM13" s="20"/>
      <c r="UNN13" s="20"/>
      <c r="UNO13" s="20"/>
      <c r="UNP13" s="20"/>
      <c r="UNQ13" s="20"/>
      <c r="UNR13" s="20"/>
      <c r="UNS13" s="20"/>
      <c r="UNT13" s="20"/>
      <c r="UNU13" s="20"/>
      <c r="UNV13" s="20"/>
      <c r="UNW13" s="20"/>
      <c r="UNX13" s="20"/>
      <c r="UNY13" s="20"/>
      <c r="UNZ13" s="20"/>
      <c r="UOA13" s="20"/>
      <c r="UOB13" s="20"/>
      <c r="UOC13" s="20"/>
      <c r="UOD13" s="20"/>
      <c r="UOE13" s="20"/>
      <c r="UOF13" s="20"/>
      <c r="UOG13" s="20"/>
      <c r="UOH13" s="20"/>
      <c r="UOI13" s="20"/>
      <c r="UOJ13" s="20"/>
      <c r="UOK13" s="20"/>
      <c r="UOL13" s="20"/>
      <c r="UOM13" s="20"/>
      <c r="UON13" s="20"/>
      <c r="UOO13" s="20"/>
      <c r="UOP13" s="20"/>
      <c r="UOQ13" s="20"/>
      <c r="UOR13" s="20"/>
      <c r="UOS13" s="20"/>
      <c r="UOT13" s="20"/>
      <c r="UOU13" s="20"/>
      <c r="UOV13" s="20"/>
      <c r="UOW13" s="20"/>
      <c r="UOX13" s="20"/>
      <c r="UOY13" s="20"/>
      <c r="UOZ13" s="20"/>
      <c r="UPA13" s="20"/>
      <c r="UPB13" s="20"/>
      <c r="UPC13" s="20"/>
      <c r="UPD13" s="20"/>
      <c r="UPE13" s="20"/>
      <c r="UPF13" s="20"/>
      <c r="UPG13" s="20"/>
      <c r="UPH13" s="20"/>
      <c r="UPI13" s="20"/>
      <c r="UPJ13" s="20"/>
      <c r="UPK13" s="20"/>
      <c r="UPL13" s="20"/>
      <c r="UPM13" s="20"/>
      <c r="UPN13" s="20"/>
      <c r="UPO13" s="20"/>
      <c r="UPP13" s="20"/>
      <c r="UPQ13" s="20"/>
      <c r="UPR13" s="20"/>
      <c r="UPS13" s="20"/>
      <c r="UPT13" s="20"/>
      <c r="UPU13" s="20"/>
      <c r="UPV13" s="20"/>
      <c r="UPW13" s="20"/>
      <c r="UPX13" s="20"/>
      <c r="UPY13" s="20"/>
      <c r="UPZ13" s="20"/>
      <c r="UQA13" s="20"/>
      <c r="UQB13" s="20"/>
      <c r="UQC13" s="20"/>
      <c r="UQD13" s="20"/>
      <c r="UQE13" s="20"/>
      <c r="UQF13" s="20"/>
      <c r="UQG13" s="20"/>
      <c r="UQH13" s="20"/>
      <c r="UQI13" s="20"/>
      <c r="UQJ13" s="20"/>
      <c r="UQK13" s="20"/>
      <c r="UQL13" s="20"/>
      <c r="UQM13" s="20"/>
      <c r="UQN13" s="20"/>
      <c r="UQO13" s="20"/>
      <c r="UQP13" s="20"/>
      <c r="UQQ13" s="20"/>
      <c r="UQR13" s="20"/>
      <c r="UQS13" s="20"/>
      <c r="UQT13" s="20"/>
      <c r="UQU13" s="20"/>
      <c r="UQV13" s="20"/>
      <c r="UQW13" s="20"/>
      <c r="UQX13" s="20"/>
      <c r="UQY13" s="20"/>
      <c r="UQZ13" s="20"/>
      <c r="URA13" s="20"/>
      <c r="URB13" s="20"/>
      <c r="URC13" s="20"/>
      <c r="URD13" s="20"/>
      <c r="URE13" s="20"/>
      <c r="URF13" s="20"/>
      <c r="URG13" s="20"/>
      <c r="URH13" s="20"/>
      <c r="URI13" s="20"/>
      <c r="URJ13" s="20"/>
      <c r="URK13" s="20"/>
      <c r="URL13" s="20"/>
      <c r="URM13" s="20"/>
      <c r="URN13" s="20"/>
      <c r="URO13" s="20"/>
      <c r="URP13" s="20"/>
      <c r="URQ13" s="20"/>
      <c r="URR13" s="20"/>
      <c r="URS13" s="20"/>
      <c r="URT13" s="20"/>
      <c r="URU13" s="20"/>
      <c r="URV13" s="20"/>
      <c r="URW13" s="20"/>
      <c r="URX13" s="20"/>
      <c r="URY13" s="20"/>
      <c r="URZ13" s="20"/>
      <c r="USA13" s="20"/>
      <c r="USB13" s="20"/>
      <c r="USC13" s="20"/>
      <c r="USD13" s="20"/>
      <c r="USE13" s="20"/>
      <c r="USF13" s="20"/>
      <c r="USG13" s="20"/>
      <c r="USH13" s="20"/>
      <c r="USI13" s="20"/>
      <c r="USJ13" s="20"/>
      <c r="USK13" s="20"/>
      <c r="USL13" s="20"/>
      <c r="USM13" s="20"/>
      <c r="USN13" s="20"/>
      <c r="USO13" s="20"/>
      <c r="USP13" s="20"/>
      <c r="USQ13" s="20"/>
      <c r="USR13" s="20"/>
      <c r="USS13" s="20"/>
      <c r="UST13" s="20"/>
      <c r="USU13" s="20"/>
      <c r="USV13" s="20"/>
      <c r="USW13" s="20"/>
      <c r="USX13" s="20"/>
      <c r="USY13" s="20"/>
      <c r="USZ13" s="20"/>
      <c r="UTA13" s="20"/>
      <c r="UTB13" s="20"/>
      <c r="UTC13" s="20"/>
      <c r="UTD13" s="20"/>
      <c r="UTE13" s="20"/>
      <c r="UTF13" s="20"/>
      <c r="UTG13" s="20"/>
      <c r="UTH13" s="20"/>
      <c r="UTI13" s="20"/>
      <c r="UTJ13" s="20"/>
      <c r="UTK13" s="20"/>
      <c r="UTL13" s="20"/>
      <c r="UTM13" s="20"/>
      <c r="UTN13" s="20"/>
      <c r="UTO13" s="20"/>
      <c r="UTP13" s="20"/>
      <c r="UTQ13" s="20"/>
      <c r="UTR13" s="20"/>
      <c r="UTS13" s="20"/>
      <c r="UTT13" s="20"/>
      <c r="UTU13" s="20"/>
      <c r="UTV13" s="20"/>
      <c r="UTW13" s="20"/>
      <c r="UTX13" s="20"/>
      <c r="UTY13" s="20"/>
      <c r="UTZ13" s="20"/>
      <c r="UUA13" s="20"/>
      <c r="UUB13" s="20"/>
      <c r="UUC13" s="20"/>
      <c r="UUD13" s="20"/>
      <c r="UUE13" s="20"/>
      <c r="UUF13" s="20"/>
      <c r="UUG13" s="20"/>
      <c r="UUH13" s="20"/>
      <c r="UUI13" s="20"/>
      <c r="UUJ13" s="20"/>
      <c r="UUK13" s="20"/>
      <c r="UUL13" s="20"/>
      <c r="UUM13" s="20"/>
      <c r="UUN13" s="20"/>
      <c r="UUO13" s="20"/>
      <c r="UUP13" s="20"/>
      <c r="UUQ13" s="20"/>
      <c r="UUR13" s="20"/>
      <c r="UUS13" s="20"/>
      <c r="UUT13" s="20"/>
      <c r="UUU13" s="20"/>
      <c r="UUV13" s="20"/>
      <c r="UUW13" s="20"/>
      <c r="UUX13" s="20"/>
      <c r="UUY13" s="20"/>
      <c r="UUZ13" s="20"/>
      <c r="UVA13" s="20"/>
      <c r="UVB13" s="20"/>
      <c r="UVC13" s="20"/>
      <c r="UVD13" s="20"/>
      <c r="UVE13" s="20"/>
      <c r="UVF13" s="20"/>
      <c r="UVG13" s="20"/>
      <c r="UVH13" s="20"/>
      <c r="UVI13" s="20"/>
      <c r="UVJ13" s="20"/>
      <c r="UVK13" s="20"/>
      <c r="UVL13" s="20"/>
      <c r="UVM13" s="20"/>
      <c r="UVN13" s="20"/>
      <c r="UVO13" s="20"/>
      <c r="UVP13" s="20"/>
      <c r="UVQ13" s="20"/>
      <c r="UVR13" s="20"/>
      <c r="UVS13" s="20"/>
      <c r="UVT13" s="20"/>
      <c r="UVU13" s="20"/>
      <c r="UVV13" s="20"/>
      <c r="UVW13" s="20"/>
      <c r="UVX13" s="20"/>
      <c r="UVY13" s="20"/>
      <c r="UVZ13" s="20"/>
      <c r="UWA13" s="20"/>
      <c r="UWB13" s="20"/>
      <c r="UWC13" s="20"/>
      <c r="UWD13" s="20"/>
      <c r="UWE13" s="20"/>
      <c r="UWF13" s="20"/>
      <c r="UWG13" s="20"/>
      <c r="UWH13" s="20"/>
      <c r="UWI13" s="20"/>
      <c r="UWJ13" s="20"/>
      <c r="UWK13" s="20"/>
      <c r="UWL13" s="20"/>
      <c r="UWM13" s="20"/>
      <c r="UWN13" s="20"/>
      <c r="UWO13" s="20"/>
      <c r="UWP13" s="20"/>
      <c r="UWQ13" s="20"/>
      <c r="UWR13" s="20"/>
      <c r="UWS13" s="20"/>
      <c r="UWT13" s="20"/>
      <c r="UWU13" s="20"/>
      <c r="UWV13" s="20"/>
      <c r="UWW13" s="20"/>
      <c r="UWX13" s="20"/>
      <c r="UWY13" s="20"/>
      <c r="UWZ13" s="20"/>
      <c r="UXA13" s="20"/>
      <c r="UXB13" s="20"/>
      <c r="UXC13" s="20"/>
      <c r="UXD13" s="20"/>
      <c r="UXE13" s="20"/>
      <c r="UXF13" s="20"/>
      <c r="UXG13" s="20"/>
      <c r="UXH13" s="20"/>
      <c r="UXI13" s="20"/>
      <c r="UXJ13" s="20"/>
      <c r="UXK13" s="20"/>
      <c r="UXL13" s="20"/>
      <c r="UXM13" s="20"/>
      <c r="UXN13" s="20"/>
      <c r="UXO13" s="20"/>
      <c r="UXP13" s="20"/>
      <c r="UXQ13" s="20"/>
      <c r="UXR13" s="20"/>
      <c r="UXS13" s="20"/>
      <c r="UXT13" s="20"/>
      <c r="UXU13" s="20"/>
      <c r="UXV13" s="20"/>
      <c r="UXW13" s="20"/>
      <c r="UXX13" s="20"/>
      <c r="UXY13" s="20"/>
      <c r="UXZ13" s="20"/>
      <c r="UYA13" s="20"/>
      <c r="UYB13" s="20"/>
      <c r="UYC13" s="20"/>
      <c r="UYD13" s="20"/>
      <c r="UYE13" s="20"/>
      <c r="UYF13" s="20"/>
      <c r="UYG13" s="20"/>
      <c r="UYH13" s="20"/>
      <c r="UYI13" s="20"/>
      <c r="UYJ13" s="20"/>
      <c r="UYK13" s="20"/>
      <c r="UYL13" s="20"/>
      <c r="UYM13" s="20"/>
      <c r="UYN13" s="20"/>
      <c r="UYO13" s="20"/>
      <c r="UYP13" s="20"/>
      <c r="UYQ13" s="20"/>
      <c r="UYR13" s="20"/>
      <c r="UYS13" s="20"/>
      <c r="UYT13" s="20"/>
      <c r="UYU13" s="20"/>
      <c r="UYV13" s="20"/>
      <c r="UYW13" s="20"/>
      <c r="UYX13" s="20"/>
      <c r="UYY13" s="20"/>
      <c r="UYZ13" s="20"/>
      <c r="UZA13" s="20"/>
      <c r="UZB13" s="20"/>
      <c r="UZC13" s="20"/>
      <c r="UZD13" s="20"/>
      <c r="UZE13" s="20"/>
      <c r="UZF13" s="20"/>
      <c r="UZG13" s="20"/>
      <c r="UZH13" s="20"/>
      <c r="UZI13" s="20"/>
      <c r="UZJ13" s="20"/>
      <c r="UZK13" s="20"/>
      <c r="UZL13" s="20"/>
      <c r="UZM13" s="20"/>
      <c r="UZN13" s="20"/>
      <c r="UZO13" s="20"/>
      <c r="UZP13" s="20"/>
      <c r="UZQ13" s="20"/>
      <c r="UZR13" s="20"/>
      <c r="UZS13" s="20"/>
      <c r="UZT13" s="20"/>
      <c r="UZU13" s="20"/>
      <c r="UZV13" s="20"/>
      <c r="UZW13" s="20"/>
      <c r="UZX13" s="20"/>
      <c r="UZY13" s="20"/>
      <c r="UZZ13" s="20"/>
      <c r="VAA13" s="20"/>
      <c r="VAB13" s="20"/>
      <c r="VAC13" s="20"/>
      <c r="VAD13" s="20"/>
      <c r="VAE13" s="20"/>
      <c r="VAF13" s="20"/>
      <c r="VAG13" s="20"/>
      <c r="VAH13" s="20"/>
      <c r="VAI13" s="20"/>
      <c r="VAJ13" s="20"/>
      <c r="VAK13" s="20"/>
      <c r="VAL13" s="20"/>
      <c r="VAM13" s="20"/>
      <c r="VAN13" s="20"/>
      <c r="VAO13" s="20"/>
      <c r="VAP13" s="20"/>
      <c r="VAQ13" s="20"/>
      <c r="VAR13" s="20"/>
      <c r="VAS13" s="20"/>
      <c r="VAT13" s="20"/>
      <c r="VAU13" s="20"/>
      <c r="VAV13" s="20"/>
      <c r="VAW13" s="20"/>
      <c r="VAX13" s="20"/>
      <c r="VAY13" s="20"/>
      <c r="VAZ13" s="20"/>
      <c r="VBA13" s="20"/>
      <c r="VBB13" s="20"/>
      <c r="VBC13" s="20"/>
      <c r="VBD13" s="20"/>
      <c r="VBE13" s="20"/>
      <c r="VBF13" s="20"/>
      <c r="VBG13" s="20"/>
      <c r="VBH13" s="20"/>
      <c r="VBI13" s="20"/>
      <c r="VBJ13" s="20"/>
      <c r="VBK13" s="20"/>
      <c r="VBL13" s="20"/>
      <c r="VBM13" s="20"/>
      <c r="VBN13" s="20"/>
      <c r="VBO13" s="20"/>
      <c r="VBP13" s="20"/>
      <c r="VBQ13" s="20"/>
      <c r="VBR13" s="20"/>
      <c r="VBS13" s="20"/>
      <c r="VBT13" s="20"/>
      <c r="VBU13" s="20"/>
      <c r="VBV13" s="20"/>
      <c r="VBW13" s="20"/>
      <c r="VBX13" s="20"/>
      <c r="VBY13" s="20"/>
      <c r="VBZ13" s="20"/>
      <c r="VCA13" s="20"/>
      <c r="VCB13" s="20"/>
      <c r="VCC13" s="20"/>
      <c r="VCD13" s="20"/>
      <c r="VCE13" s="20"/>
      <c r="VCF13" s="20"/>
      <c r="VCG13" s="20"/>
      <c r="VCH13" s="20"/>
      <c r="VCI13" s="20"/>
      <c r="VCJ13" s="20"/>
      <c r="VCK13" s="20"/>
      <c r="VCL13" s="20"/>
      <c r="VCM13" s="20"/>
      <c r="VCN13" s="20"/>
      <c r="VCO13" s="20"/>
      <c r="VCP13" s="20"/>
      <c r="VCQ13" s="20"/>
      <c r="VCR13" s="20"/>
      <c r="VCS13" s="20"/>
      <c r="VCT13" s="20"/>
      <c r="VCU13" s="20"/>
      <c r="VCV13" s="20"/>
      <c r="VCW13" s="20"/>
      <c r="VCX13" s="20"/>
      <c r="VCY13" s="20"/>
      <c r="VCZ13" s="20"/>
      <c r="VDA13" s="20"/>
      <c r="VDB13" s="20"/>
      <c r="VDC13" s="20"/>
      <c r="VDD13" s="20"/>
      <c r="VDE13" s="20"/>
      <c r="VDF13" s="20"/>
      <c r="VDG13" s="20"/>
      <c r="VDH13" s="20"/>
      <c r="VDI13" s="20"/>
      <c r="VDJ13" s="20"/>
      <c r="VDK13" s="20"/>
      <c r="VDL13" s="20"/>
      <c r="VDM13" s="20"/>
      <c r="VDN13" s="20"/>
      <c r="VDO13" s="20"/>
      <c r="VDP13" s="20"/>
      <c r="VDQ13" s="20"/>
      <c r="VDR13" s="20"/>
      <c r="VDS13" s="20"/>
      <c r="VDT13" s="20"/>
      <c r="VDU13" s="20"/>
      <c r="VDV13" s="20"/>
      <c r="VDW13" s="20"/>
      <c r="VDX13" s="20"/>
      <c r="VDY13" s="20"/>
      <c r="VDZ13" s="20"/>
      <c r="VEA13" s="20"/>
      <c r="VEB13" s="20"/>
      <c r="VEC13" s="20"/>
      <c r="VED13" s="20"/>
      <c r="VEE13" s="20"/>
      <c r="VEF13" s="20"/>
      <c r="VEG13" s="20"/>
      <c r="VEH13" s="20"/>
      <c r="VEI13" s="20"/>
      <c r="VEJ13" s="20"/>
      <c r="VEK13" s="20"/>
      <c r="VEL13" s="20"/>
      <c r="VEM13" s="20"/>
      <c r="VEN13" s="20"/>
      <c r="VEO13" s="20"/>
      <c r="VEP13" s="20"/>
      <c r="VEQ13" s="20"/>
      <c r="VER13" s="20"/>
      <c r="VES13" s="20"/>
      <c r="VET13" s="20"/>
      <c r="VEU13" s="20"/>
      <c r="VEV13" s="20"/>
      <c r="VEW13" s="20"/>
      <c r="VEX13" s="20"/>
      <c r="VEY13" s="20"/>
      <c r="VEZ13" s="20"/>
      <c r="VFA13" s="20"/>
      <c r="VFB13" s="20"/>
      <c r="VFC13" s="20"/>
      <c r="VFD13" s="20"/>
      <c r="VFE13" s="20"/>
      <c r="VFF13" s="20"/>
      <c r="VFG13" s="20"/>
      <c r="VFH13" s="20"/>
      <c r="VFI13" s="20"/>
      <c r="VFJ13" s="20"/>
      <c r="VFK13" s="20"/>
      <c r="VFL13" s="20"/>
      <c r="VFM13" s="20"/>
      <c r="VFN13" s="20"/>
      <c r="VFO13" s="20"/>
      <c r="VFP13" s="20"/>
      <c r="VFQ13" s="20"/>
      <c r="VFR13" s="20"/>
      <c r="VFS13" s="20"/>
      <c r="VFT13" s="20"/>
      <c r="VFU13" s="20"/>
      <c r="VFV13" s="20"/>
      <c r="VFW13" s="20"/>
      <c r="VFX13" s="20"/>
      <c r="VFY13" s="20"/>
      <c r="VFZ13" s="20"/>
      <c r="VGA13" s="20"/>
      <c r="VGB13" s="20"/>
      <c r="VGC13" s="20"/>
      <c r="VGD13" s="20"/>
      <c r="VGE13" s="20"/>
      <c r="VGF13" s="20"/>
      <c r="VGG13" s="20"/>
      <c r="VGH13" s="20"/>
      <c r="VGI13" s="20"/>
      <c r="VGJ13" s="20"/>
      <c r="VGK13" s="20"/>
      <c r="VGL13" s="20"/>
      <c r="VGM13" s="20"/>
      <c r="VGN13" s="20"/>
      <c r="VGO13" s="20"/>
      <c r="VGP13" s="20"/>
      <c r="VGQ13" s="20"/>
      <c r="VGR13" s="20"/>
      <c r="VGS13" s="20"/>
      <c r="VGT13" s="20"/>
      <c r="VGU13" s="20"/>
      <c r="VGV13" s="20"/>
      <c r="VGW13" s="20"/>
      <c r="VGX13" s="20"/>
      <c r="VGY13" s="20"/>
      <c r="VGZ13" s="20"/>
      <c r="VHA13" s="20"/>
      <c r="VHB13" s="20"/>
      <c r="VHC13" s="20"/>
      <c r="VHD13" s="20"/>
      <c r="VHE13" s="20"/>
      <c r="VHF13" s="20"/>
      <c r="VHG13" s="20"/>
      <c r="VHH13" s="20"/>
      <c r="VHI13" s="20"/>
      <c r="VHJ13" s="20"/>
      <c r="VHK13" s="20"/>
      <c r="VHL13" s="20"/>
      <c r="VHM13" s="20"/>
      <c r="VHN13" s="20"/>
      <c r="VHO13" s="20"/>
      <c r="VHP13" s="20"/>
      <c r="VHQ13" s="20"/>
      <c r="VHR13" s="20"/>
      <c r="VHS13" s="20"/>
      <c r="VHT13" s="20"/>
      <c r="VHU13" s="20"/>
      <c r="VHV13" s="20"/>
      <c r="VHW13" s="20"/>
      <c r="VHX13" s="20"/>
      <c r="VHY13" s="20"/>
      <c r="VHZ13" s="20"/>
      <c r="VIA13" s="20"/>
      <c r="VIB13" s="20"/>
      <c r="VIC13" s="20"/>
      <c r="VID13" s="20"/>
      <c r="VIE13" s="20"/>
      <c r="VIF13" s="20"/>
      <c r="VIG13" s="20"/>
      <c r="VIH13" s="20"/>
      <c r="VII13" s="20"/>
      <c r="VIJ13" s="20"/>
      <c r="VIK13" s="20"/>
      <c r="VIL13" s="20"/>
      <c r="VIM13" s="20"/>
      <c r="VIN13" s="20"/>
      <c r="VIO13" s="20"/>
      <c r="VIP13" s="20"/>
      <c r="VIQ13" s="20"/>
      <c r="VIR13" s="20"/>
      <c r="VIS13" s="20"/>
      <c r="VIT13" s="20"/>
      <c r="VIU13" s="20"/>
      <c r="VIV13" s="20"/>
      <c r="VIW13" s="20"/>
      <c r="VIX13" s="20"/>
      <c r="VIY13" s="20"/>
      <c r="VIZ13" s="20"/>
      <c r="VJA13" s="20"/>
      <c r="VJB13" s="20"/>
      <c r="VJC13" s="20"/>
      <c r="VJD13" s="20"/>
      <c r="VJE13" s="20"/>
      <c r="VJF13" s="20"/>
      <c r="VJG13" s="20"/>
      <c r="VJH13" s="20"/>
      <c r="VJI13" s="20"/>
      <c r="VJJ13" s="20"/>
      <c r="VJK13" s="20"/>
      <c r="VJL13" s="20"/>
      <c r="VJM13" s="20"/>
      <c r="VJN13" s="20"/>
      <c r="VJO13" s="20"/>
      <c r="VJP13" s="20"/>
      <c r="VJQ13" s="20"/>
      <c r="VJR13" s="20"/>
      <c r="VJS13" s="20"/>
      <c r="VJT13" s="20"/>
      <c r="VJU13" s="20"/>
      <c r="VJV13" s="20"/>
      <c r="VJW13" s="20"/>
      <c r="VJX13" s="20"/>
      <c r="VJY13" s="20"/>
      <c r="VJZ13" s="20"/>
      <c r="VKA13" s="20"/>
      <c r="VKB13" s="20"/>
      <c r="VKC13" s="20"/>
      <c r="VKD13" s="20"/>
      <c r="VKE13" s="20"/>
      <c r="VKF13" s="20"/>
      <c r="VKG13" s="20"/>
      <c r="VKH13" s="20"/>
      <c r="VKI13" s="20"/>
      <c r="VKJ13" s="20"/>
      <c r="VKK13" s="20"/>
      <c r="VKL13" s="20"/>
      <c r="VKM13" s="20"/>
      <c r="VKN13" s="20"/>
      <c r="VKO13" s="20"/>
      <c r="VKP13" s="20"/>
      <c r="VKQ13" s="20"/>
      <c r="VKR13" s="20"/>
      <c r="VKS13" s="20"/>
      <c r="VKT13" s="20"/>
      <c r="VKU13" s="20"/>
      <c r="VKV13" s="20"/>
      <c r="VKW13" s="20"/>
      <c r="VKX13" s="20"/>
      <c r="VKY13" s="20"/>
      <c r="VKZ13" s="20"/>
      <c r="VLA13" s="20"/>
      <c r="VLB13" s="20"/>
      <c r="VLC13" s="20"/>
      <c r="VLD13" s="20"/>
      <c r="VLE13" s="20"/>
      <c r="VLF13" s="20"/>
      <c r="VLG13" s="20"/>
      <c r="VLH13" s="20"/>
      <c r="VLI13" s="20"/>
      <c r="VLJ13" s="20"/>
      <c r="VLK13" s="20"/>
      <c r="VLL13" s="20"/>
      <c r="VLM13" s="20"/>
      <c r="VLN13" s="20"/>
      <c r="VLO13" s="20"/>
      <c r="VLP13" s="20"/>
      <c r="VLQ13" s="20"/>
      <c r="VLR13" s="20"/>
      <c r="VLS13" s="20"/>
      <c r="VLT13" s="20"/>
      <c r="VLU13" s="20"/>
      <c r="VLV13" s="20"/>
      <c r="VLW13" s="20"/>
      <c r="VLX13" s="20"/>
      <c r="VLY13" s="20"/>
      <c r="VLZ13" s="20"/>
      <c r="VMA13" s="20"/>
      <c r="VMB13" s="20"/>
      <c r="VMC13" s="20"/>
      <c r="VMD13" s="20"/>
      <c r="VME13" s="20"/>
      <c r="VMF13" s="20"/>
      <c r="VMG13" s="20"/>
      <c r="VMH13" s="20"/>
      <c r="VMI13" s="20"/>
      <c r="VMJ13" s="20"/>
      <c r="VMK13" s="20"/>
      <c r="VML13" s="20"/>
      <c r="VMM13" s="20"/>
      <c r="VMN13" s="20"/>
      <c r="VMO13" s="20"/>
      <c r="VMP13" s="20"/>
      <c r="VMQ13" s="20"/>
      <c r="VMR13" s="20"/>
      <c r="VMS13" s="20"/>
      <c r="VMT13" s="20"/>
      <c r="VMU13" s="20"/>
      <c r="VMV13" s="20"/>
      <c r="VMW13" s="20"/>
      <c r="VMX13" s="20"/>
      <c r="VMY13" s="20"/>
      <c r="VMZ13" s="20"/>
      <c r="VNA13" s="20"/>
      <c r="VNB13" s="20"/>
      <c r="VNC13" s="20"/>
      <c r="VND13" s="20"/>
      <c r="VNE13" s="20"/>
      <c r="VNF13" s="20"/>
      <c r="VNG13" s="20"/>
      <c r="VNH13" s="20"/>
      <c r="VNI13" s="20"/>
      <c r="VNJ13" s="20"/>
      <c r="VNK13" s="20"/>
      <c r="VNL13" s="20"/>
      <c r="VNM13" s="20"/>
      <c r="VNN13" s="20"/>
      <c r="VNO13" s="20"/>
      <c r="VNP13" s="20"/>
      <c r="VNQ13" s="20"/>
      <c r="VNR13" s="20"/>
      <c r="VNS13" s="20"/>
      <c r="VNT13" s="20"/>
      <c r="VNU13" s="20"/>
      <c r="VNV13" s="20"/>
      <c r="VNW13" s="20"/>
      <c r="VNX13" s="20"/>
      <c r="VNY13" s="20"/>
      <c r="VNZ13" s="20"/>
      <c r="VOA13" s="20"/>
      <c r="VOB13" s="20"/>
      <c r="VOC13" s="20"/>
      <c r="VOD13" s="20"/>
      <c r="VOE13" s="20"/>
      <c r="VOF13" s="20"/>
      <c r="VOG13" s="20"/>
      <c r="VOH13" s="20"/>
      <c r="VOI13" s="20"/>
      <c r="VOJ13" s="20"/>
      <c r="VOK13" s="20"/>
      <c r="VOL13" s="20"/>
      <c r="VOM13" s="20"/>
      <c r="VON13" s="20"/>
      <c r="VOO13" s="20"/>
      <c r="VOP13" s="20"/>
      <c r="VOQ13" s="20"/>
      <c r="VOR13" s="20"/>
      <c r="VOS13" s="20"/>
      <c r="VOT13" s="20"/>
      <c r="VOU13" s="20"/>
      <c r="VOV13" s="20"/>
      <c r="VOW13" s="20"/>
      <c r="VOX13" s="20"/>
      <c r="VOY13" s="20"/>
      <c r="VOZ13" s="20"/>
      <c r="VPA13" s="20"/>
      <c r="VPB13" s="20"/>
      <c r="VPC13" s="20"/>
      <c r="VPD13" s="20"/>
      <c r="VPE13" s="20"/>
      <c r="VPF13" s="20"/>
      <c r="VPG13" s="20"/>
      <c r="VPH13" s="20"/>
      <c r="VPI13" s="20"/>
      <c r="VPJ13" s="20"/>
      <c r="VPK13" s="20"/>
      <c r="VPL13" s="20"/>
      <c r="VPM13" s="20"/>
      <c r="VPN13" s="20"/>
      <c r="VPO13" s="20"/>
      <c r="VPP13" s="20"/>
      <c r="VPQ13" s="20"/>
      <c r="VPR13" s="20"/>
      <c r="VPS13" s="20"/>
      <c r="VPT13" s="20"/>
      <c r="VPU13" s="20"/>
      <c r="VPV13" s="20"/>
      <c r="VPW13" s="20"/>
      <c r="VPX13" s="20"/>
      <c r="VPY13" s="20"/>
      <c r="VPZ13" s="20"/>
      <c r="VQA13" s="20"/>
      <c r="VQB13" s="20"/>
      <c r="VQC13" s="20"/>
      <c r="VQD13" s="20"/>
      <c r="VQE13" s="20"/>
      <c r="VQF13" s="20"/>
      <c r="VQG13" s="20"/>
      <c r="VQH13" s="20"/>
      <c r="VQI13" s="20"/>
      <c r="VQJ13" s="20"/>
      <c r="VQK13" s="20"/>
      <c r="VQL13" s="20"/>
      <c r="VQM13" s="20"/>
      <c r="VQN13" s="20"/>
      <c r="VQO13" s="20"/>
      <c r="VQP13" s="20"/>
      <c r="VQQ13" s="20"/>
      <c r="VQR13" s="20"/>
      <c r="VQS13" s="20"/>
      <c r="VQT13" s="20"/>
      <c r="VQU13" s="20"/>
      <c r="VQV13" s="20"/>
      <c r="VQW13" s="20"/>
      <c r="VQX13" s="20"/>
      <c r="VQY13" s="20"/>
      <c r="VQZ13" s="20"/>
      <c r="VRA13" s="20"/>
      <c r="VRB13" s="20"/>
      <c r="VRC13" s="20"/>
      <c r="VRD13" s="20"/>
      <c r="VRE13" s="20"/>
      <c r="VRF13" s="20"/>
      <c r="VRG13" s="20"/>
      <c r="VRH13" s="20"/>
      <c r="VRI13" s="20"/>
      <c r="VRJ13" s="20"/>
      <c r="VRK13" s="20"/>
      <c r="VRL13" s="20"/>
      <c r="VRM13" s="20"/>
      <c r="VRN13" s="20"/>
      <c r="VRO13" s="20"/>
      <c r="VRP13" s="20"/>
      <c r="VRQ13" s="20"/>
      <c r="VRR13" s="20"/>
      <c r="VRS13" s="20"/>
      <c r="VRT13" s="20"/>
      <c r="VRU13" s="20"/>
      <c r="VRV13" s="20"/>
      <c r="VRW13" s="20"/>
      <c r="VRX13" s="20"/>
      <c r="VRY13" s="20"/>
      <c r="VRZ13" s="20"/>
      <c r="VSA13" s="20"/>
      <c r="VSB13" s="20"/>
      <c r="VSC13" s="20"/>
      <c r="VSD13" s="20"/>
      <c r="VSE13" s="20"/>
      <c r="VSF13" s="20"/>
      <c r="VSG13" s="20"/>
      <c r="VSH13" s="20"/>
      <c r="VSI13" s="20"/>
      <c r="VSJ13" s="20"/>
      <c r="VSK13" s="20"/>
      <c r="VSL13" s="20"/>
      <c r="VSM13" s="20"/>
      <c r="VSN13" s="20"/>
      <c r="VSO13" s="20"/>
      <c r="VSP13" s="20"/>
      <c r="VSQ13" s="20"/>
      <c r="VSR13" s="20"/>
      <c r="VSS13" s="20"/>
      <c r="VST13" s="20"/>
      <c r="VSU13" s="20"/>
      <c r="VSV13" s="20"/>
      <c r="VSW13" s="20"/>
      <c r="VSX13" s="20"/>
      <c r="VSY13" s="20"/>
      <c r="VSZ13" s="20"/>
      <c r="VTA13" s="20"/>
      <c r="VTB13" s="20"/>
      <c r="VTC13" s="20"/>
      <c r="VTD13" s="20"/>
      <c r="VTE13" s="20"/>
      <c r="VTF13" s="20"/>
      <c r="VTG13" s="20"/>
      <c r="VTH13" s="20"/>
      <c r="VTI13" s="20"/>
      <c r="VTJ13" s="20"/>
      <c r="VTK13" s="20"/>
      <c r="VTL13" s="20"/>
      <c r="VTM13" s="20"/>
      <c r="VTN13" s="20"/>
      <c r="VTO13" s="20"/>
      <c r="VTP13" s="20"/>
      <c r="VTQ13" s="20"/>
      <c r="VTR13" s="20"/>
      <c r="VTS13" s="20"/>
      <c r="VTT13" s="20"/>
      <c r="VTU13" s="20"/>
      <c r="VTV13" s="20"/>
      <c r="VTW13" s="20"/>
      <c r="VTX13" s="20"/>
      <c r="VTY13" s="20"/>
      <c r="VTZ13" s="20"/>
      <c r="VUA13" s="20"/>
      <c r="VUB13" s="20"/>
      <c r="VUC13" s="20"/>
      <c r="VUD13" s="20"/>
      <c r="VUE13" s="20"/>
      <c r="VUF13" s="20"/>
      <c r="VUG13" s="20"/>
      <c r="VUH13" s="20"/>
      <c r="VUI13" s="20"/>
      <c r="VUJ13" s="20"/>
      <c r="VUK13" s="20"/>
      <c r="VUL13" s="20"/>
      <c r="VUM13" s="20"/>
      <c r="VUN13" s="20"/>
      <c r="VUO13" s="20"/>
      <c r="VUP13" s="20"/>
      <c r="VUQ13" s="20"/>
      <c r="VUR13" s="20"/>
      <c r="VUS13" s="20"/>
      <c r="VUT13" s="20"/>
      <c r="VUU13" s="20"/>
      <c r="VUV13" s="20"/>
      <c r="VUW13" s="20"/>
      <c r="VUX13" s="20"/>
      <c r="VUY13" s="20"/>
      <c r="VUZ13" s="20"/>
      <c r="VVA13" s="20"/>
      <c r="VVB13" s="20"/>
      <c r="VVC13" s="20"/>
      <c r="VVD13" s="20"/>
      <c r="VVE13" s="20"/>
      <c r="VVF13" s="20"/>
      <c r="VVG13" s="20"/>
      <c r="VVH13" s="20"/>
      <c r="VVI13" s="20"/>
      <c r="VVJ13" s="20"/>
      <c r="VVK13" s="20"/>
      <c r="VVL13" s="20"/>
      <c r="VVM13" s="20"/>
      <c r="VVN13" s="20"/>
      <c r="VVO13" s="20"/>
      <c r="VVP13" s="20"/>
      <c r="VVQ13" s="20"/>
      <c r="VVR13" s="20"/>
      <c r="VVS13" s="20"/>
      <c r="VVT13" s="20"/>
      <c r="VVU13" s="20"/>
      <c r="VVV13" s="20"/>
      <c r="VVW13" s="20"/>
      <c r="VVX13" s="20"/>
      <c r="VVY13" s="20"/>
      <c r="VVZ13" s="20"/>
      <c r="VWA13" s="20"/>
      <c r="VWB13" s="20"/>
      <c r="VWC13" s="20"/>
      <c r="VWD13" s="20"/>
      <c r="VWE13" s="20"/>
      <c r="VWF13" s="20"/>
      <c r="VWG13" s="20"/>
      <c r="VWH13" s="20"/>
      <c r="VWI13" s="20"/>
      <c r="VWJ13" s="20"/>
      <c r="VWK13" s="20"/>
      <c r="VWL13" s="20"/>
      <c r="VWM13" s="20"/>
      <c r="VWN13" s="20"/>
      <c r="VWO13" s="20"/>
      <c r="VWP13" s="20"/>
      <c r="VWQ13" s="20"/>
      <c r="VWR13" s="20"/>
      <c r="VWS13" s="20"/>
      <c r="VWT13" s="20"/>
      <c r="VWU13" s="20"/>
      <c r="VWV13" s="20"/>
      <c r="VWW13" s="20"/>
      <c r="VWX13" s="20"/>
      <c r="VWY13" s="20"/>
      <c r="VWZ13" s="20"/>
      <c r="VXA13" s="20"/>
      <c r="VXB13" s="20"/>
      <c r="VXC13" s="20"/>
      <c r="VXD13" s="20"/>
      <c r="VXE13" s="20"/>
      <c r="VXF13" s="20"/>
      <c r="VXG13" s="20"/>
      <c r="VXH13" s="20"/>
      <c r="VXI13" s="20"/>
      <c r="VXJ13" s="20"/>
      <c r="VXK13" s="20"/>
      <c r="VXL13" s="20"/>
      <c r="VXM13" s="20"/>
      <c r="VXN13" s="20"/>
      <c r="VXO13" s="20"/>
      <c r="VXP13" s="20"/>
      <c r="VXQ13" s="20"/>
      <c r="VXR13" s="20"/>
      <c r="VXS13" s="20"/>
      <c r="VXT13" s="20"/>
      <c r="VXU13" s="20"/>
      <c r="VXV13" s="20"/>
      <c r="VXW13" s="20"/>
      <c r="VXX13" s="20"/>
      <c r="VXY13" s="20"/>
      <c r="VXZ13" s="20"/>
      <c r="VYA13" s="20"/>
      <c r="VYB13" s="20"/>
      <c r="VYC13" s="20"/>
      <c r="VYD13" s="20"/>
      <c r="VYE13" s="20"/>
      <c r="VYF13" s="20"/>
      <c r="VYG13" s="20"/>
      <c r="VYH13" s="20"/>
      <c r="VYI13" s="20"/>
      <c r="VYJ13" s="20"/>
      <c r="VYK13" s="20"/>
      <c r="VYL13" s="20"/>
      <c r="VYM13" s="20"/>
      <c r="VYN13" s="20"/>
      <c r="VYO13" s="20"/>
      <c r="VYP13" s="20"/>
      <c r="VYQ13" s="20"/>
      <c r="VYR13" s="20"/>
      <c r="VYS13" s="20"/>
      <c r="VYT13" s="20"/>
      <c r="VYU13" s="20"/>
      <c r="VYV13" s="20"/>
      <c r="VYW13" s="20"/>
      <c r="VYX13" s="20"/>
      <c r="VYY13" s="20"/>
      <c r="VYZ13" s="20"/>
      <c r="VZA13" s="20"/>
      <c r="VZB13" s="20"/>
      <c r="VZC13" s="20"/>
      <c r="VZD13" s="20"/>
      <c r="VZE13" s="20"/>
      <c r="VZF13" s="20"/>
      <c r="VZG13" s="20"/>
      <c r="VZH13" s="20"/>
      <c r="VZI13" s="20"/>
      <c r="VZJ13" s="20"/>
      <c r="VZK13" s="20"/>
      <c r="VZL13" s="20"/>
      <c r="VZM13" s="20"/>
      <c r="VZN13" s="20"/>
      <c r="VZO13" s="20"/>
      <c r="VZP13" s="20"/>
      <c r="VZQ13" s="20"/>
      <c r="VZR13" s="20"/>
      <c r="VZS13" s="20"/>
      <c r="VZT13" s="20"/>
      <c r="VZU13" s="20"/>
      <c r="VZV13" s="20"/>
      <c r="VZW13" s="20"/>
      <c r="VZX13" s="20"/>
      <c r="VZY13" s="20"/>
      <c r="VZZ13" s="20"/>
      <c r="WAA13" s="20"/>
      <c r="WAB13" s="20"/>
      <c r="WAC13" s="20"/>
      <c r="WAD13" s="20"/>
      <c r="WAE13" s="20"/>
      <c r="WAF13" s="20"/>
      <c r="WAG13" s="20"/>
      <c r="WAH13" s="20"/>
      <c r="WAI13" s="20"/>
      <c r="WAJ13" s="20"/>
      <c r="WAK13" s="20"/>
      <c r="WAL13" s="20"/>
      <c r="WAM13" s="20"/>
      <c r="WAN13" s="20"/>
      <c r="WAO13" s="20"/>
      <c r="WAP13" s="20"/>
      <c r="WAQ13" s="20"/>
      <c r="WAR13" s="20"/>
      <c r="WAS13" s="20"/>
      <c r="WAT13" s="20"/>
      <c r="WAU13" s="20"/>
      <c r="WAV13" s="20"/>
      <c r="WAW13" s="20"/>
      <c r="WAX13" s="20"/>
      <c r="WAY13" s="20"/>
      <c r="WAZ13" s="20"/>
      <c r="WBA13" s="20"/>
      <c r="WBB13" s="20"/>
      <c r="WBC13" s="20"/>
      <c r="WBD13" s="20"/>
      <c r="WBE13" s="20"/>
      <c r="WBF13" s="20"/>
      <c r="WBG13" s="20"/>
      <c r="WBH13" s="20"/>
      <c r="WBI13" s="20"/>
      <c r="WBJ13" s="20"/>
      <c r="WBK13" s="20"/>
      <c r="WBL13" s="20"/>
      <c r="WBM13" s="20"/>
      <c r="WBN13" s="20"/>
      <c r="WBO13" s="20"/>
      <c r="WBP13" s="20"/>
      <c r="WBQ13" s="20"/>
      <c r="WBR13" s="20"/>
      <c r="WBS13" s="20"/>
      <c r="WBT13" s="20"/>
      <c r="WBU13" s="20"/>
      <c r="WBV13" s="20"/>
      <c r="WBW13" s="20"/>
      <c r="WBX13" s="20"/>
      <c r="WBY13" s="20"/>
      <c r="WBZ13" s="20"/>
      <c r="WCA13" s="20"/>
      <c r="WCB13" s="20"/>
      <c r="WCC13" s="20"/>
      <c r="WCD13" s="20"/>
      <c r="WCE13" s="20"/>
      <c r="WCF13" s="20"/>
      <c r="WCG13" s="20"/>
      <c r="WCH13" s="20"/>
      <c r="WCI13" s="20"/>
      <c r="WCJ13" s="20"/>
      <c r="WCK13" s="20"/>
      <c r="WCL13" s="20"/>
      <c r="WCM13" s="20"/>
      <c r="WCN13" s="20"/>
      <c r="WCO13" s="20"/>
      <c r="WCP13" s="20"/>
      <c r="WCQ13" s="20"/>
      <c r="WCR13" s="20"/>
      <c r="WCS13" s="20"/>
      <c r="WCT13" s="20"/>
      <c r="WCU13" s="20"/>
      <c r="WCV13" s="20"/>
      <c r="WCW13" s="20"/>
      <c r="WCX13" s="20"/>
      <c r="WCY13" s="20"/>
      <c r="WCZ13" s="20"/>
      <c r="WDA13" s="20"/>
      <c r="WDB13" s="20"/>
      <c r="WDC13" s="20"/>
      <c r="WDD13" s="20"/>
      <c r="WDE13" s="20"/>
      <c r="WDF13" s="20"/>
      <c r="WDG13" s="20"/>
      <c r="WDH13" s="20"/>
      <c r="WDI13" s="20"/>
      <c r="WDJ13" s="20"/>
      <c r="WDK13" s="20"/>
      <c r="WDL13" s="20"/>
      <c r="WDM13" s="20"/>
      <c r="WDN13" s="20"/>
      <c r="WDO13" s="20"/>
      <c r="WDP13" s="20"/>
      <c r="WDQ13" s="20"/>
      <c r="WDR13" s="20"/>
      <c r="WDS13" s="20"/>
      <c r="WDT13" s="20"/>
      <c r="WDU13" s="20"/>
      <c r="WDV13" s="20"/>
      <c r="WDW13" s="20"/>
      <c r="WDX13" s="20"/>
      <c r="WDY13" s="20"/>
      <c r="WDZ13" s="20"/>
      <c r="WEA13" s="20"/>
      <c r="WEB13" s="20"/>
      <c r="WEC13" s="20"/>
      <c r="WED13" s="20"/>
      <c r="WEE13" s="20"/>
      <c r="WEF13" s="20"/>
      <c r="WEG13" s="20"/>
      <c r="WEH13" s="20"/>
      <c r="WEI13" s="20"/>
      <c r="WEJ13" s="20"/>
      <c r="WEK13" s="20"/>
      <c r="WEL13" s="20"/>
      <c r="WEM13" s="20"/>
      <c r="WEN13" s="20"/>
      <c r="WEO13" s="20"/>
      <c r="WEP13" s="20"/>
      <c r="WEQ13" s="20"/>
      <c r="WER13" s="20"/>
      <c r="WES13" s="20"/>
      <c r="WET13" s="20"/>
      <c r="WEU13" s="20"/>
      <c r="WEV13" s="20"/>
      <c r="WEW13" s="20"/>
      <c r="WEX13" s="20"/>
      <c r="WEY13" s="20"/>
      <c r="WEZ13" s="20"/>
      <c r="WFA13" s="20"/>
      <c r="WFB13" s="20"/>
      <c r="WFC13" s="20"/>
      <c r="WFD13" s="20"/>
      <c r="WFE13" s="20"/>
      <c r="WFF13" s="20"/>
      <c r="WFG13" s="20"/>
      <c r="WFH13" s="20"/>
      <c r="WFI13" s="20"/>
      <c r="WFJ13" s="20"/>
      <c r="WFK13" s="20"/>
      <c r="WFL13" s="20"/>
      <c r="WFM13" s="20"/>
      <c r="WFN13" s="20"/>
      <c r="WFO13" s="20"/>
      <c r="WFP13" s="20"/>
      <c r="WFQ13" s="20"/>
      <c r="WFR13" s="20"/>
      <c r="WFS13" s="20"/>
      <c r="WFT13" s="20"/>
      <c r="WFU13" s="20"/>
      <c r="WFV13" s="20"/>
      <c r="WFW13" s="20"/>
      <c r="WFX13" s="20"/>
      <c r="WFY13" s="20"/>
      <c r="WFZ13" s="20"/>
      <c r="WGA13" s="20"/>
      <c r="WGB13" s="20"/>
      <c r="WGC13" s="20"/>
      <c r="WGD13" s="20"/>
      <c r="WGE13" s="20"/>
      <c r="WGF13" s="20"/>
      <c r="WGG13" s="20"/>
      <c r="WGH13" s="20"/>
      <c r="WGI13" s="20"/>
      <c r="WGJ13" s="20"/>
      <c r="WGK13" s="20"/>
      <c r="WGL13" s="20"/>
      <c r="WGM13" s="20"/>
      <c r="WGN13" s="20"/>
      <c r="WGO13" s="20"/>
      <c r="WGP13" s="20"/>
      <c r="WGQ13" s="20"/>
      <c r="WGR13" s="20"/>
      <c r="WGS13" s="20"/>
      <c r="WGT13" s="20"/>
      <c r="WGU13" s="20"/>
      <c r="WGV13" s="20"/>
      <c r="WGW13" s="20"/>
      <c r="WGX13" s="20"/>
      <c r="WGY13" s="20"/>
      <c r="WGZ13" s="20"/>
      <c r="WHA13" s="20"/>
      <c r="WHB13" s="20"/>
      <c r="WHC13" s="20"/>
      <c r="WHD13" s="20"/>
      <c r="WHE13" s="20"/>
      <c r="WHF13" s="20"/>
      <c r="WHG13" s="20"/>
      <c r="WHH13" s="20"/>
      <c r="WHI13" s="20"/>
      <c r="WHJ13" s="20"/>
      <c r="WHK13" s="20"/>
      <c r="WHL13" s="20"/>
      <c r="WHM13" s="20"/>
      <c r="WHN13" s="20"/>
      <c r="WHO13" s="20"/>
      <c r="WHP13" s="20"/>
      <c r="WHQ13" s="20"/>
      <c r="WHR13" s="20"/>
      <c r="WHS13" s="20"/>
      <c r="WHT13" s="20"/>
      <c r="WHU13" s="20"/>
      <c r="WHV13" s="20"/>
      <c r="WHW13" s="20"/>
      <c r="WHX13" s="20"/>
      <c r="WHY13" s="20"/>
      <c r="WHZ13" s="20"/>
      <c r="WIA13" s="20"/>
      <c r="WIB13" s="20"/>
      <c r="WIC13" s="20"/>
      <c r="WID13" s="20"/>
      <c r="WIE13" s="20"/>
      <c r="WIF13" s="20"/>
      <c r="WIG13" s="20"/>
      <c r="WIH13" s="20"/>
      <c r="WII13" s="20"/>
      <c r="WIJ13" s="20"/>
      <c r="WIK13" s="20"/>
      <c r="WIL13" s="20"/>
      <c r="WIM13" s="20"/>
      <c r="WIN13" s="20"/>
      <c r="WIO13" s="20"/>
      <c r="WIP13" s="20"/>
      <c r="WIQ13" s="20"/>
      <c r="WIR13" s="20"/>
      <c r="WIS13" s="20"/>
      <c r="WIT13" s="20"/>
      <c r="WIU13" s="20"/>
      <c r="WIV13" s="20"/>
      <c r="WIW13" s="20"/>
      <c r="WIX13" s="20"/>
      <c r="WIY13" s="20"/>
      <c r="WIZ13" s="20"/>
      <c r="WJA13" s="20"/>
      <c r="WJB13" s="20"/>
      <c r="WJC13" s="20"/>
      <c r="WJD13" s="20"/>
      <c r="WJE13" s="20"/>
      <c r="WJF13" s="20"/>
      <c r="WJG13" s="20"/>
      <c r="WJH13" s="20"/>
      <c r="WJI13" s="20"/>
      <c r="WJJ13" s="20"/>
      <c r="WJK13" s="20"/>
      <c r="WJL13" s="20"/>
      <c r="WJM13" s="20"/>
      <c r="WJN13" s="20"/>
      <c r="WJO13" s="20"/>
      <c r="WJP13" s="20"/>
      <c r="WJQ13" s="20"/>
      <c r="WJR13" s="20"/>
      <c r="WJS13" s="20"/>
      <c r="WJT13" s="20"/>
      <c r="WJU13" s="20"/>
      <c r="WJV13" s="20"/>
      <c r="WJW13" s="20"/>
      <c r="WJX13" s="20"/>
      <c r="WJY13" s="20"/>
      <c r="WJZ13" s="20"/>
      <c r="WKA13" s="20"/>
      <c r="WKB13" s="20"/>
      <c r="WKC13" s="20"/>
      <c r="WKD13" s="20"/>
      <c r="WKE13" s="20"/>
      <c r="WKF13" s="20"/>
      <c r="WKG13" s="20"/>
      <c r="WKH13" s="20"/>
      <c r="WKI13" s="20"/>
      <c r="WKJ13" s="20"/>
      <c r="WKK13" s="20"/>
      <c r="WKL13" s="20"/>
      <c r="WKM13" s="20"/>
      <c r="WKN13" s="20"/>
      <c r="WKO13" s="20"/>
      <c r="WKP13" s="20"/>
      <c r="WKQ13" s="20"/>
      <c r="WKR13" s="20"/>
      <c r="WKS13" s="20"/>
      <c r="WKT13" s="20"/>
      <c r="WKU13" s="20"/>
      <c r="WKV13" s="20"/>
      <c r="WKW13" s="20"/>
      <c r="WKX13" s="20"/>
      <c r="WKY13" s="20"/>
      <c r="WKZ13" s="20"/>
      <c r="WLA13" s="20"/>
      <c r="WLB13" s="20"/>
      <c r="WLC13" s="20"/>
      <c r="WLD13" s="20"/>
      <c r="WLE13" s="20"/>
      <c r="WLF13" s="20"/>
      <c r="WLG13" s="20"/>
      <c r="WLH13" s="20"/>
      <c r="WLI13" s="20"/>
      <c r="WLJ13" s="20"/>
      <c r="WLK13" s="20"/>
      <c r="WLL13" s="20"/>
      <c r="WLM13" s="20"/>
      <c r="WLN13" s="20"/>
      <c r="WLO13" s="20"/>
      <c r="WLP13" s="20"/>
      <c r="WLQ13" s="20"/>
      <c r="WLR13" s="20"/>
      <c r="WLS13" s="20"/>
      <c r="WLT13" s="20"/>
      <c r="WLU13" s="20"/>
      <c r="WLV13" s="20"/>
      <c r="WLW13" s="20"/>
      <c r="WLX13" s="20"/>
      <c r="WLY13" s="20"/>
      <c r="WLZ13" s="20"/>
      <c r="WMA13" s="20"/>
      <c r="WMB13" s="20"/>
      <c r="WMC13" s="20"/>
      <c r="WMD13" s="20"/>
      <c r="WME13" s="20"/>
      <c r="WMF13" s="20"/>
      <c r="WMG13" s="20"/>
      <c r="WMH13" s="20"/>
      <c r="WMI13" s="20"/>
      <c r="WMJ13" s="20"/>
      <c r="WMK13" s="20"/>
      <c r="WML13" s="20"/>
      <c r="WMM13" s="20"/>
      <c r="WMN13" s="20"/>
      <c r="WMO13" s="20"/>
      <c r="WMP13" s="20"/>
      <c r="WMQ13" s="20"/>
      <c r="WMR13" s="20"/>
      <c r="WMS13" s="20"/>
      <c r="WMT13" s="20"/>
      <c r="WMU13" s="20"/>
      <c r="WMV13" s="20"/>
      <c r="WMW13" s="20"/>
      <c r="WMX13" s="20"/>
      <c r="WMY13" s="20"/>
      <c r="WMZ13" s="20"/>
      <c r="WNA13" s="20"/>
      <c r="WNB13" s="20"/>
      <c r="WNC13" s="20"/>
      <c r="WND13" s="20"/>
      <c r="WNE13" s="20"/>
      <c r="WNF13" s="20"/>
      <c r="WNG13" s="20"/>
      <c r="WNH13" s="20"/>
      <c r="WNI13" s="20"/>
      <c r="WNJ13" s="20"/>
      <c r="WNK13" s="20"/>
      <c r="WNL13" s="20"/>
      <c r="WNM13" s="20"/>
      <c r="WNN13" s="20"/>
      <c r="WNO13" s="20"/>
      <c r="WNP13" s="20"/>
      <c r="WNQ13" s="20"/>
      <c r="WNR13" s="20"/>
      <c r="WNS13" s="20"/>
      <c r="WNT13" s="20"/>
      <c r="WNU13" s="20"/>
      <c r="WNV13" s="20"/>
      <c r="WNW13" s="20"/>
      <c r="WNX13" s="20"/>
      <c r="WNY13" s="20"/>
      <c r="WNZ13" s="20"/>
      <c r="WOA13" s="20"/>
      <c r="WOB13" s="20"/>
      <c r="WOC13" s="20"/>
      <c r="WOD13" s="20"/>
      <c r="WOE13" s="20"/>
      <c r="WOF13" s="20"/>
      <c r="WOG13" s="20"/>
      <c r="WOH13" s="20"/>
      <c r="WOI13" s="20"/>
      <c r="WOJ13" s="20"/>
      <c r="WOK13" s="20"/>
      <c r="WOL13" s="20"/>
      <c r="WOM13" s="20"/>
      <c r="WON13" s="20"/>
      <c r="WOO13" s="20"/>
      <c r="WOP13" s="20"/>
      <c r="WOQ13" s="20"/>
      <c r="WOR13" s="20"/>
      <c r="WOS13" s="20"/>
      <c r="WOT13" s="20"/>
      <c r="WOU13" s="20"/>
      <c r="WOV13" s="20"/>
      <c r="WOW13" s="20"/>
      <c r="WOX13" s="20"/>
      <c r="WOY13" s="20"/>
      <c r="WOZ13" s="20"/>
      <c r="WPA13" s="20"/>
      <c r="WPB13" s="20"/>
      <c r="WPC13" s="20"/>
      <c r="WPD13" s="20"/>
      <c r="WPE13" s="20"/>
      <c r="WPF13" s="20"/>
      <c r="WPG13" s="20"/>
      <c r="WPH13" s="20"/>
      <c r="WPI13" s="20"/>
      <c r="WPJ13" s="20"/>
      <c r="WPK13" s="20"/>
      <c r="WPL13" s="20"/>
      <c r="WPM13" s="20"/>
      <c r="WPN13" s="20"/>
      <c r="WPO13" s="20"/>
      <c r="WPP13" s="20"/>
      <c r="WPQ13" s="20"/>
      <c r="WPR13" s="20"/>
      <c r="WPS13" s="20"/>
      <c r="WPT13" s="20"/>
      <c r="WPU13" s="20"/>
      <c r="WPV13" s="20"/>
      <c r="WPW13" s="20"/>
      <c r="WPX13" s="20"/>
      <c r="WPY13" s="20"/>
      <c r="WPZ13" s="20"/>
      <c r="WQA13" s="20"/>
      <c r="WQB13" s="20"/>
      <c r="WQC13" s="20"/>
      <c r="WQD13" s="20"/>
      <c r="WQE13" s="20"/>
      <c r="WQF13" s="20"/>
      <c r="WQG13" s="20"/>
      <c r="WQH13" s="20"/>
      <c r="WQI13" s="20"/>
      <c r="WQJ13" s="20"/>
      <c r="WQK13" s="20"/>
      <c r="WQL13" s="20"/>
      <c r="WQM13" s="20"/>
      <c r="WQN13" s="20"/>
      <c r="WQO13" s="20"/>
      <c r="WQP13" s="20"/>
      <c r="WQQ13" s="20"/>
      <c r="WQR13" s="20"/>
      <c r="WQS13" s="20"/>
      <c r="WQT13" s="20"/>
      <c r="WQU13" s="20"/>
      <c r="WQV13" s="20"/>
      <c r="WQW13" s="20"/>
      <c r="WQX13" s="20"/>
      <c r="WQY13" s="20"/>
      <c r="WQZ13" s="20"/>
      <c r="WRA13" s="20"/>
      <c r="WRB13" s="20"/>
      <c r="WRC13" s="20"/>
      <c r="WRD13" s="20"/>
      <c r="WRE13" s="20"/>
      <c r="WRF13" s="20"/>
      <c r="WRG13" s="20"/>
      <c r="WRH13" s="20"/>
      <c r="WRI13" s="20"/>
      <c r="WRJ13" s="20"/>
      <c r="WRK13" s="20"/>
      <c r="WRL13" s="20"/>
      <c r="WRM13" s="20"/>
      <c r="WRN13" s="20"/>
      <c r="WRO13" s="20"/>
      <c r="WRP13" s="20"/>
      <c r="WRQ13" s="20"/>
      <c r="WRR13" s="20"/>
      <c r="WRS13" s="20"/>
      <c r="WRT13" s="20"/>
      <c r="WRU13" s="20"/>
      <c r="WRV13" s="20"/>
      <c r="WRW13" s="20"/>
      <c r="WRX13" s="20"/>
      <c r="WRY13" s="20"/>
      <c r="WRZ13" s="20"/>
      <c r="WSA13" s="20"/>
      <c r="WSB13" s="20"/>
      <c r="WSC13" s="20"/>
      <c r="WSD13" s="20"/>
      <c r="WSE13" s="20"/>
      <c r="WSF13" s="20"/>
      <c r="WSG13" s="20"/>
      <c r="WSH13" s="20"/>
      <c r="WSI13" s="20"/>
      <c r="WSJ13" s="20"/>
      <c r="WSK13" s="20"/>
      <c r="WSL13" s="20"/>
      <c r="WSM13" s="20"/>
      <c r="WSN13" s="20"/>
      <c r="WSO13" s="20"/>
      <c r="WSP13" s="20"/>
      <c r="WSQ13" s="20"/>
      <c r="WSR13" s="20"/>
      <c r="WSS13" s="20"/>
      <c r="WST13" s="20"/>
      <c r="WSU13" s="20"/>
      <c r="WSV13" s="20"/>
      <c r="WSW13" s="20"/>
      <c r="WSX13" s="20"/>
      <c r="WSY13" s="20"/>
      <c r="WSZ13" s="20"/>
      <c r="WTA13" s="20"/>
      <c r="WTB13" s="20"/>
      <c r="WTC13" s="20"/>
      <c r="WTD13" s="20"/>
      <c r="WTE13" s="20"/>
      <c r="WTF13" s="20"/>
      <c r="WTG13" s="20"/>
      <c r="WTH13" s="20"/>
      <c r="WTI13" s="20"/>
      <c r="WTJ13" s="20"/>
      <c r="WTK13" s="20"/>
      <c r="WTL13" s="20"/>
      <c r="WTM13" s="20"/>
      <c r="WTN13" s="20"/>
      <c r="WTO13" s="20"/>
      <c r="WTP13" s="20"/>
      <c r="WTQ13" s="20"/>
      <c r="WTR13" s="20"/>
      <c r="WTS13" s="20"/>
      <c r="WTT13" s="20"/>
      <c r="WTU13" s="20"/>
      <c r="WTV13" s="20"/>
      <c r="WTW13" s="20"/>
      <c r="WTX13" s="20"/>
      <c r="WTY13" s="20"/>
      <c r="WTZ13" s="20"/>
      <c r="WUA13" s="20"/>
      <c r="WUB13" s="20"/>
      <c r="WUC13" s="20"/>
      <c r="WUD13" s="20"/>
      <c r="WUE13" s="20"/>
      <c r="WUF13" s="20"/>
      <c r="WUG13" s="20"/>
      <c r="WUH13" s="20"/>
      <c r="WUI13" s="20"/>
      <c r="WUJ13" s="20"/>
      <c r="WUK13" s="20"/>
      <c r="WUL13" s="20"/>
      <c r="WUM13" s="20"/>
      <c r="WUN13" s="20"/>
      <c r="WUO13" s="20"/>
      <c r="WUP13" s="20"/>
      <c r="WUQ13" s="20"/>
      <c r="WUR13" s="20"/>
      <c r="WUS13" s="20"/>
      <c r="WUT13" s="20"/>
      <c r="WUU13" s="20"/>
      <c r="WUV13" s="20"/>
      <c r="WUW13" s="20"/>
      <c r="WUX13" s="20"/>
      <c r="WUY13" s="20"/>
      <c r="WUZ13" s="20"/>
      <c r="WVA13" s="20"/>
      <c r="WVB13" s="20"/>
      <c r="WVC13" s="20"/>
      <c r="WVD13" s="20"/>
      <c r="WVE13" s="20"/>
      <c r="WVF13" s="20"/>
      <c r="WVG13" s="20"/>
      <c r="WVH13" s="20"/>
      <c r="WVI13" s="20"/>
      <c r="WVJ13" s="20"/>
      <c r="WVK13" s="20"/>
      <c r="WVL13" s="20"/>
      <c r="WVM13" s="20"/>
      <c r="WVN13" s="20"/>
    </row>
    <row r="14" spans="1:16134" s="391" customFormat="1" ht="52.5" customHeight="1">
      <c r="A14" s="715" t="s">
        <v>897</v>
      </c>
      <c r="B14" s="393">
        <v>3000000</v>
      </c>
      <c r="C14" s="399"/>
      <c r="D14" s="403"/>
      <c r="E14" s="403"/>
      <c r="F14" s="4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  <c r="ZP14" s="20"/>
      <c r="ZQ14" s="20"/>
      <c r="ZR14" s="20"/>
      <c r="ZS14" s="20"/>
      <c r="ZT14" s="20"/>
      <c r="ZU14" s="20"/>
      <c r="ZV14" s="20"/>
      <c r="ZW14" s="20"/>
      <c r="ZX14" s="20"/>
      <c r="ZY14" s="20"/>
      <c r="ZZ14" s="20"/>
      <c r="AAA14" s="20"/>
      <c r="AAB14" s="20"/>
      <c r="AAC14" s="20"/>
      <c r="AAD14" s="20"/>
      <c r="AAE14" s="20"/>
      <c r="AAF14" s="20"/>
      <c r="AAG14" s="20"/>
      <c r="AAH14" s="20"/>
      <c r="AAI14" s="20"/>
      <c r="AAJ14" s="20"/>
      <c r="AAK14" s="20"/>
      <c r="AAL14" s="20"/>
      <c r="AAM14" s="20"/>
      <c r="AAN14" s="20"/>
      <c r="AAO14" s="20"/>
      <c r="AAP14" s="20"/>
      <c r="AAQ14" s="20"/>
      <c r="AAR14" s="20"/>
      <c r="AAS14" s="20"/>
      <c r="AAT14" s="20"/>
      <c r="AAU14" s="20"/>
      <c r="AAV14" s="20"/>
      <c r="AAW14" s="20"/>
      <c r="AAX14" s="20"/>
      <c r="AAY14" s="20"/>
      <c r="AAZ14" s="20"/>
      <c r="ABA14" s="20"/>
      <c r="ABB14" s="20"/>
      <c r="ABC14" s="20"/>
      <c r="ABD14" s="20"/>
      <c r="ABE14" s="20"/>
      <c r="ABF14" s="20"/>
      <c r="ABG14" s="20"/>
      <c r="ABH14" s="20"/>
      <c r="ABI14" s="20"/>
      <c r="ABJ14" s="20"/>
      <c r="ABK14" s="20"/>
      <c r="ABL14" s="20"/>
      <c r="ABM14" s="20"/>
      <c r="ABN14" s="20"/>
      <c r="ABO14" s="20"/>
      <c r="ABP14" s="20"/>
      <c r="ABQ14" s="20"/>
      <c r="ABR14" s="20"/>
      <c r="ABS14" s="20"/>
      <c r="ABT14" s="20"/>
      <c r="ABU14" s="20"/>
      <c r="ABV14" s="20"/>
      <c r="ABW14" s="20"/>
      <c r="ABX14" s="20"/>
      <c r="ABY14" s="20"/>
      <c r="ABZ14" s="20"/>
      <c r="ACA14" s="20"/>
      <c r="ACB14" s="20"/>
      <c r="ACC14" s="20"/>
      <c r="ACD14" s="20"/>
      <c r="ACE14" s="20"/>
      <c r="ACF14" s="20"/>
      <c r="ACG14" s="20"/>
      <c r="ACH14" s="20"/>
      <c r="ACI14" s="20"/>
      <c r="ACJ14" s="20"/>
      <c r="ACK14" s="20"/>
      <c r="ACL14" s="20"/>
      <c r="ACM14" s="20"/>
      <c r="ACN14" s="20"/>
      <c r="ACO14" s="20"/>
      <c r="ACP14" s="20"/>
      <c r="ACQ14" s="20"/>
      <c r="ACR14" s="20"/>
      <c r="ACS14" s="20"/>
      <c r="ACT14" s="20"/>
      <c r="ACU14" s="20"/>
      <c r="ACV14" s="20"/>
      <c r="ACW14" s="20"/>
      <c r="ACX14" s="20"/>
      <c r="ACY14" s="20"/>
      <c r="ACZ14" s="20"/>
      <c r="ADA14" s="20"/>
      <c r="ADB14" s="20"/>
      <c r="ADC14" s="20"/>
      <c r="ADD14" s="20"/>
      <c r="ADE14" s="20"/>
      <c r="ADF14" s="20"/>
      <c r="ADG14" s="20"/>
      <c r="ADH14" s="20"/>
      <c r="ADI14" s="20"/>
      <c r="ADJ14" s="20"/>
      <c r="ADK14" s="20"/>
      <c r="ADL14" s="20"/>
      <c r="ADM14" s="20"/>
      <c r="ADN14" s="20"/>
      <c r="ADO14" s="20"/>
      <c r="ADP14" s="20"/>
      <c r="ADQ14" s="20"/>
      <c r="ADR14" s="20"/>
      <c r="ADS14" s="20"/>
      <c r="ADT14" s="20"/>
      <c r="ADU14" s="20"/>
      <c r="ADV14" s="20"/>
      <c r="ADW14" s="20"/>
      <c r="ADX14" s="20"/>
      <c r="ADY14" s="20"/>
      <c r="ADZ14" s="20"/>
      <c r="AEA14" s="20"/>
      <c r="AEB14" s="20"/>
      <c r="AEC14" s="20"/>
      <c r="AED14" s="20"/>
      <c r="AEE14" s="20"/>
      <c r="AEF14" s="20"/>
      <c r="AEG14" s="20"/>
      <c r="AEH14" s="20"/>
      <c r="AEI14" s="20"/>
      <c r="AEJ14" s="20"/>
      <c r="AEK14" s="20"/>
      <c r="AEL14" s="20"/>
      <c r="AEM14" s="20"/>
      <c r="AEN14" s="20"/>
      <c r="AEO14" s="20"/>
      <c r="AEP14" s="20"/>
      <c r="AEQ14" s="20"/>
      <c r="AER14" s="20"/>
      <c r="AES14" s="20"/>
      <c r="AET14" s="20"/>
      <c r="AEU14" s="20"/>
      <c r="AEV14" s="20"/>
      <c r="AEW14" s="20"/>
      <c r="AEX14" s="20"/>
      <c r="AEY14" s="20"/>
      <c r="AEZ14" s="20"/>
      <c r="AFA14" s="20"/>
      <c r="AFB14" s="20"/>
      <c r="AFC14" s="20"/>
      <c r="AFD14" s="20"/>
      <c r="AFE14" s="20"/>
      <c r="AFF14" s="20"/>
      <c r="AFG14" s="20"/>
      <c r="AFH14" s="20"/>
      <c r="AFI14" s="20"/>
      <c r="AFJ14" s="20"/>
      <c r="AFK14" s="20"/>
      <c r="AFL14" s="20"/>
      <c r="AFM14" s="20"/>
      <c r="AFN14" s="20"/>
      <c r="AFO14" s="20"/>
      <c r="AFP14" s="20"/>
      <c r="AFQ14" s="20"/>
      <c r="AFR14" s="20"/>
      <c r="AFS14" s="20"/>
      <c r="AFT14" s="20"/>
      <c r="AFU14" s="20"/>
      <c r="AFV14" s="20"/>
      <c r="AFW14" s="20"/>
      <c r="AFX14" s="20"/>
      <c r="AFY14" s="20"/>
      <c r="AFZ14" s="20"/>
      <c r="AGA14" s="20"/>
      <c r="AGB14" s="20"/>
      <c r="AGC14" s="20"/>
      <c r="AGD14" s="20"/>
      <c r="AGE14" s="20"/>
      <c r="AGF14" s="20"/>
      <c r="AGG14" s="20"/>
      <c r="AGH14" s="20"/>
      <c r="AGI14" s="20"/>
      <c r="AGJ14" s="20"/>
      <c r="AGK14" s="20"/>
      <c r="AGL14" s="20"/>
      <c r="AGM14" s="20"/>
      <c r="AGN14" s="20"/>
      <c r="AGO14" s="20"/>
      <c r="AGP14" s="20"/>
      <c r="AGQ14" s="20"/>
      <c r="AGR14" s="20"/>
      <c r="AGS14" s="20"/>
      <c r="AGT14" s="20"/>
      <c r="AGU14" s="20"/>
      <c r="AGV14" s="20"/>
      <c r="AGW14" s="20"/>
      <c r="AGX14" s="20"/>
      <c r="AGY14" s="20"/>
      <c r="AGZ14" s="20"/>
      <c r="AHA14" s="20"/>
      <c r="AHB14" s="20"/>
      <c r="AHC14" s="20"/>
      <c r="AHD14" s="20"/>
      <c r="AHE14" s="20"/>
      <c r="AHF14" s="20"/>
      <c r="AHG14" s="20"/>
      <c r="AHH14" s="20"/>
      <c r="AHI14" s="20"/>
      <c r="AHJ14" s="20"/>
      <c r="AHK14" s="20"/>
      <c r="AHL14" s="20"/>
      <c r="AHM14" s="20"/>
      <c r="AHN14" s="20"/>
      <c r="AHO14" s="20"/>
      <c r="AHP14" s="20"/>
      <c r="AHQ14" s="20"/>
      <c r="AHR14" s="20"/>
      <c r="AHS14" s="20"/>
      <c r="AHT14" s="20"/>
      <c r="AHU14" s="20"/>
      <c r="AHV14" s="20"/>
      <c r="AHW14" s="20"/>
      <c r="AHX14" s="20"/>
      <c r="AHY14" s="20"/>
      <c r="AHZ14" s="20"/>
      <c r="AIA14" s="20"/>
      <c r="AIB14" s="20"/>
      <c r="AIC14" s="20"/>
      <c r="AID14" s="20"/>
      <c r="AIE14" s="20"/>
      <c r="AIF14" s="20"/>
      <c r="AIG14" s="20"/>
      <c r="AIH14" s="20"/>
      <c r="AII14" s="20"/>
      <c r="AIJ14" s="20"/>
      <c r="AIK14" s="20"/>
      <c r="AIL14" s="20"/>
      <c r="AIM14" s="20"/>
      <c r="AIN14" s="20"/>
      <c r="AIO14" s="20"/>
      <c r="AIP14" s="20"/>
      <c r="AIQ14" s="20"/>
      <c r="AIR14" s="20"/>
      <c r="AIS14" s="20"/>
      <c r="AIT14" s="20"/>
      <c r="AIU14" s="20"/>
      <c r="AIV14" s="20"/>
      <c r="AIW14" s="20"/>
      <c r="AIX14" s="20"/>
      <c r="AIY14" s="20"/>
      <c r="AIZ14" s="20"/>
      <c r="AJA14" s="20"/>
      <c r="AJB14" s="20"/>
      <c r="AJC14" s="20"/>
      <c r="AJD14" s="20"/>
      <c r="AJE14" s="20"/>
      <c r="AJF14" s="20"/>
      <c r="AJG14" s="20"/>
      <c r="AJH14" s="20"/>
      <c r="AJI14" s="20"/>
      <c r="AJJ14" s="20"/>
      <c r="AJK14" s="20"/>
      <c r="AJL14" s="20"/>
      <c r="AJM14" s="20"/>
      <c r="AJN14" s="20"/>
      <c r="AJO14" s="20"/>
      <c r="AJP14" s="20"/>
      <c r="AJQ14" s="20"/>
      <c r="AJR14" s="20"/>
      <c r="AJS14" s="20"/>
      <c r="AJT14" s="20"/>
      <c r="AJU14" s="20"/>
      <c r="AJV14" s="20"/>
      <c r="AJW14" s="20"/>
      <c r="AJX14" s="20"/>
      <c r="AJY14" s="20"/>
      <c r="AJZ14" s="20"/>
      <c r="AKA14" s="20"/>
      <c r="AKB14" s="20"/>
      <c r="AKC14" s="20"/>
      <c r="AKD14" s="20"/>
      <c r="AKE14" s="20"/>
      <c r="AKF14" s="20"/>
      <c r="AKG14" s="20"/>
      <c r="AKH14" s="20"/>
      <c r="AKI14" s="20"/>
      <c r="AKJ14" s="20"/>
      <c r="AKK14" s="20"/>
      <c r="AKL14" s="20"/>
      <c r="AKM14" s="20"/>
      <c r="AKN14" s="20"/>
      <c r="AKO14" s="20"/>
      <c r="AKP14" s="20"/>
      <c r="AKQ14" s="20"/>
      <c r="AKR14" s="20"/>
      <c r="AKS14" s="20"/>
      <c r="AKT14" s="20"/>
      <c r="AKU14" s="20"/>
      <c r="AKV14" s="20"/>
      <c r="AKW14" s="20"/>
      <c r="AKX14" s="20"/>
      <c r="AKY14" s="20"/>
      <c r="AKZ14" s="20"/>
      <c r="ALA14" s="20"/>
      <c r="ALB14" s="20"/>
      <c r="ALC14" s="20"/>
      <c r="ALD14" s="20"/>
      <c r="ALE14" s="20"/>
      <c r="ALF14" s="20"/>
      <c r="ALG14" s="20"/>
      <c r="ALH14" s="20"/>
      <c r="ALI14" s="20"/>
      <c r="ALJ14" s="20"/>
      <c r="ALK14" s="20"/>
      <c r="ALL14" s="20"/>
      <c r="ALM14" s="20"/>
      <c r="ALN14" s="20"/>
      <c r="ALO14" s="20"/>
      <c r="ALP14" s="20"/>
      <c r="ALQ14" s="20"/>
      <c r="ALR14" s="20"/>
      <c r="ALS14" s="20"/>
      <c r="ALT14" s="20"/>
      <c r="ALU14" s="20"/>
      <c r="ALV14" s="20"/>
      <c r="ALW14" s="20"/>
      <c r="ALX14" s="20"/>
      <c r="ALY14" s="20"/>
      <c r="ALZ14" s="20"/>
      <c r="AMA14" s="20"/>
      <c r="AMB14" s="20"/>
      <c r="AMC14" s="20"/>
      <c r="AMD14" s="20"/>
      <c r="AME14" s="20"/>
      <c r="AMF14" s="20"/>
      <c r="AMG14" s="20"/>
      <c r="AMH14" s="20"/>
      <c r="AMI14" s="20"/>
      <c r="AMJ14" s="20"/>
      <c r="AMK14" s="20"/>
      <c r="AML14" s="20"/>
      <c r="AMM14" s="20"/>
      <c r="AMN14" s="20"/>
      <c r="AMO14" s="20"/>
      <c r="AMP14" s="20"/>
      <c r="AMQ14" s="20"/>
      <c r="AMR14" s="20"/>
      <c r="AMS14" s="20"/>
      <c r="AMT14" s="20"/>
      <c r="AMU14" s="20"/>
      <c r="AMV14" s="20"/>
      <c r="AMW14" s="20"/>
      <c r="AMX14" s="20"/>
      <c r="AMY14" s="20"/>
      <c r="AMZ14" s="20"/>
      <c r="ANA14" s="20"/>
      <c r="ANB14" s="20"/>
      <c r="ANC14" s="20"/>
      <c r="AND14" s="20"/>
      <c r="ANE14" s="20"/>
      <c r="ANF14" s="20"/>
      <c r="ANG14" s="20"/>
      <c r="ANH14" s="20"/>
      <c r="ANI14" s="20"/>
      <c r="ANJ14" s="20"/>
      <c r="ANK14" s="20"/>
      <c r="ANL14" s="20"/>
      <c r="ANM14" s="20"/>
      <c r="ANN14" s="20"/>
      <c r="ANO14" s="20"/>
      <c r="ANP14" s="20"/>
      <c r="ANQ14" s="20"/>
      <c r="ANR14" s="20"/>
      <c r="ANS14" s="20"/>
      <c r="ANT14" s="20"/>
      <c r="ANU14" s="20"/>
      <c r="ANV14" s="20"/>
      <c r="ANW14" s="20"/>
      <c r="ANX14" s="20"/>
      <c r="ANY14" s="20"/>
      <c r="ANZ14" s="20"/>
      <c r="AOA14" s="20"/>
      <c r="AOB14" s="20"/>
      <c r="AOC14" s="20"/>
      <c r="AOD14" s="20"/>
      <c r="AOE14" s="20"/>
      <c r="AOF14" s="20"/>
      <c r="AOG14" s="20"/>
      <c r="AOH14" s="20"/>
      <c r="AOI14" s="20"/>
      <c r="AOJ14" s="20"/>
      <c r="AOK14" s="20"/>
      <c r="AOL14" s="20"/>
      <c r="AOM14" s="20"/>
      <c r="AON14" s="20"/>
      <c r="AOO14" s="20"/>
      <c r="AOP14" s="20"/>
      <c r="AOQ14" s="20"/>
      <c r="AOR14" s="20"/>
      <c r="AOS14" s="20"/>
      <c r="AOT14" s="20"/>
      <c r="AOU14" s="20"/>
      <c r="AOV14" s="20"/>
      <c r="AOW14" s="20"/>
      <c r="AOX14" s="20"/>
      <c r="AOY14" s="20"/>
      <c r="AOZ14" s="20"/>
      <c r="APA14" s="20"/>
      <c r="APB14" s="20"/>
      <c r="APC14" s="20"/>
      <c r="APD14" s="20"/>
      <c r="APE14" s="20"/>
      <c r="APF14" s="20"/>
      <c r="APG14" s="20"/>
      <c r="APH14" s="20"/>
      <c r="API14" s="20"/>
      <c r="APJ14" s="20"/>
      <c r="APK14" s="20"/>
      <c r="APL14" s="20"/>
      <c r="APM14" s="20"/>
      <c r="APN14" s="20"/>
      <c r="APO14" s="20"/>
      <c r="APP14" s="20"/>
      <c r="APQ14" s="20"/>
      <c r="APR14" s="20"/>
      <c r="APS14" s="20"/>
      <c r="APT14" s="20"/>
      <c r="APU14" s="20"/>
      <c r="APV14" s="20"/>
      <c r="APW14" s="20"/>
      <c r="APX14" s="20"/>
      <c r="APY14" s="20"/>
      <c r="APZ14" s="20"/>
      <c r="AQA14" s="20"/>
      <c r="AQB14" s="20"/>
      <c r="AQC14" s="20"/>
      <c r="AQD14" s="20"/>
      <c r="AQE14" s="20"/>
      <c r="AQF14" s="20"/>
      <c r="AQG14" s="20"/>
      <c r="AQH14" s="20"/>
      <c r="AQI14" s="20"/>
      <c r="AQJ14" s="20"/>
      <c r="AQK14" s="20"/>
      <c r="AQL14" s="20"/>
      <c r="AQM14" s="20"/>
      <c r="AQN14" s="20"/>
      <c r="AQO14" s="20"/>
      <c r="AQP14" s="20"/>
      <c r="AQQ14" s="20"/>
      <c r="AQR14" s="20"/>
      <c r="AQS14" s="20"/>
      <c r="AQT14" s="20"/>
      <c r="AQU14" s="20"/>
      <c r="AQV14" s="20"/>
      <c r="AQW14" s="20"/>
      <c r="AQX14" s="20"/>
      <c r="AQY14" s="20"/>
      <c r="AQZ14" s="20"/>
      <c r="ARA14" s="20"/>
      <c r="ARB14" s="20"/>
      <c r="ARC14" s="20"/>
      <c r="ARD14" s="20"/>
      <c r="ARE14" s="20"/>
      <c r="ARF14" s="20"/>
      <c r="ARG14" s="20"/>
      <c r="ARH14" s="20"/>
      <c r="ARI14" s="20"/>
      <c r="ARJ14" s="20"/>
      <c r="ARK14" s="20"/>
      <c r="ARL14" s="20"/>
      <c r="ARM14" s="20"/>
      <c r="ARN14" s="20"/>
      <c r="ARO14" s="20"/>
      <c r="ARP14" s="20"/>
      <c r="ARQ14" s="20"/>
      <c r="ARR14" s="20"/>
      <c r="ARS14" s="20"/>
      <c r="ART14" s="20"/>
      <c r="ARU14" s="20"/>
      <c r="ARV14" s="20"/>
      <c r="ARW14" s="20"/>
      <c r="ARX14" s="20"/>
      <c r="ARY14" s="20"/>
      <c r="ARZ14" s="20"/>
      <c r="ASA14" s="20"/>
      <c r="ASB14" s="20"/>
      <c r="ASC14" s="20"/>
      <c r="ASD14" s="20"/>
      <c r="ASE14" s="20"/>
      <c r="ASF14" s="20"/>
      <c r="ASG14" s="20"/>
      <c r="ASH14" s="20"/>
      <c r="ASI14" s="20"/>
      <c r="ASJ14" s="20"/>
      <c r="ASK14" s="20"/>
      <c r="ASL14" s="20"/>
      <c r="ASM14" s="20"/>
      <c r="ASN14" s="20"/>
      <c r="ASO14" s="20"/>
      <c r="ASP14" s="20"/>
      <c r="ASQ14" s="20"/>
      <c r="ASR14" s="20"/>
      <c r="ASS14" s="20"/>
      <c r="AST14" s="20"/>
      <c r="ASU14" s="20"/>
      <c r="ASV14" s="20"/>
      <c r="ASW14" s="20"/>
      <c r="ASX14" s="20"/>
      <c r="ASY14" s="20"/>
      <c r="ASZ14" s="20"/>
      <c r="ATA14" s="20"/>
      <c r="ATB14" s="20"/>
      <c r="ATC14" s="20"/>
      <c r="ATD14" s="20"/>
      <c r="ATE14" s="20"/>
      <c r="ATF14" s="20"/>
      <c r="ATG14" s="20"/>
      <c r="ATH14" s="20"/>
      <c r="ATI14" s="20"/>
      <c r="ATJ14" s="20"/>
      <c r="ATK14" s="20"/>
      <c r="ATL14" s="20"/>
      <c r="ATM14" s="20"/>
      <c r="ATN14" s="20"/>
      <c r="ATO14" s="20"/>
      <c r="ATP14" s="20"/>
      <c r="ATQ14" s="20"/>
      <c r="ATR14" s="20"/>
      <c r="ATS14" s="20"/>
      <c r="ATT14" s="20"/>
      <c r="ATU14" s="20"/>
      <c r="ATV14" s="20"/>
      <c r="ATW14" s="20"/>
      <c r="ATX14" s="20"/>
      <c r="ATY14" s="20"/>
      <c r="ATZ14" s="20"/>
      <c r="AUA14" s="20"/>
      <c r="AUB14" s="20"/>
      <c r="AUC14" s="20"/>
      <c r="AUD14" s="20"/>
      <c r="AUE14" s="20"/>
      <c r="AUF14" s="20"/>
      <c r="AUG14" s="20"/>
      <c r="AUH14" s="20"/>
      <c r="AUI14" s="20"/>
      <c r="AUJ14" s="20"/>
      <c r="AUK14" s="20"/>
      <c r="AUL14" s="20"/>
      <c r="AUM14" s="20"/>
      <c r="AUN14" s="20"/>
      <c r="AUO14" s="20"/>
      <c r="AUP14" s="20"/>
      <c r="AUQ14" s="20"/>
      <c r="AUR14" s="20"/>
      <c r="AUS14" s="20"/>
      <c r="AUT14" s="20"/>
      <c r="AUU14" s="20"/>
      <c r="AUV14" s="20"/>
      <c r="AUW14" s="20"/>
      <c r="AUX14" s="20"/>
      <c r="AUY14" s="20"/>
      <c r="AUZ14" s="20"/>
      <c r="AVA14" s="20"/>
      <c r="AVB14" s="20"/>
      <c r="AVC14" s="20"/>
      <c r="AVD14" s="20"/>
      <c r="AVE14" s="20"/>
      <c r="AVF14" s="20"/>
      <c r="AVG14" s="20"/>
      <c r="AVH14" s="20"/>
      <c r="AVI14" s="20"/>
      <c r="AVJ14" s="20"/>
      <c r="AVK14" s="20"/>
      <c r="AVL14" s="20"/>
      <c r="AVM14" s="20"/>
      <c r="AVN14" s="20"/>
      <c r="AVO14" s="20"/>
      <c r="AVP14" s="20"/>
      <c r="AVQ14" s="20"/>
      <c r="AVR14" s="20"/>
      <c r="AVS14" s="20"/>
      <c r="AVT14" s="20"/>
      <c r="AVU14" s="20"/>
      <c r="AVV14" s="20"/>
      <c r="AVW14" s="20"/>
      <c r="AVX14" s="20"/>
      <c r="AVY14" s="20"/>
      <c r="AVZ14" s="20"/>
      <c r="AWA14" s="20"/>
      <c r="AWB14" s="20"/>
      <c r="AWC14" s="20"/>
      <c r="AWD14" s="20"/>
      <c r="AWE14" s="20"/>
      <c r="AWF14" s="20"/>
      <c r="AWG14" s="20"/>
      <c r="AWH14" s="20"/>
      <c r="AWI14" s="20"/>
      <c r="AWJ14" s="20"/>
      <c r="AWK14" s="20"/>
      <c r="AWL14" s="20"/>
      <c r="AWM14" s="20"/>
      <c r="AWN14" s="20"/>
      <c r="AWO14" s="20"/>
      <c r="AWP14" s="20"/>
      <c r="AWQ14" s="20"/>
      <c r="AWR14" s="20"/>
      <c r="AWS14" s="20"/>
      <c r="AWT14" s="20"/>
      <c r="AWU14" s="20"/>
      <c r="AWV14" s="20"/>
      <c r="AWW14" s="20"/>
      <c r="AWX14" s="20"/>
      <c r="AWY14" s="20"/>
      <c r="AWZ14" s="20"/>
      <c r="AXA14" s="20"/>
      <c r="AXB14" s="20"/>
      <c r="AXC14" s="20"/>
      <c r="AXD14" s="20"/>
      <c r="AXE14" s="20"/>
      <c r="AXF14" s="20"/>
      <c r="AXG14" s="20"/>
      <c r="AXH14" s="20"/>
      <c r="AXI14" s="20"/>
      <c r="AXJ14" s="20"/>
      <c r="AXK14" s="20"/>
      <c r="AXL14" s="20"/>
      <c r="AXM14" s="20"/>
      <c r="AXN14" s="20"/>
      <c r="AXO14" s="20"/>
      <c r="AXP14" s="20"/>
      <c r="AXQ14" s="20"/>
      <c r="AXR14" s="20"/>
      <c r="AXS14" s="20"/>
      <c r="AXT14" s="20"/>
      <c r="AXU14" s="20"/>
      <c r="AXV14" s="20"/>
      <c r="AXW14" s="20"/>
      <c r="AXX14" s="20"/>
      <c r="AXY14" s="20"/>
      <c r="AXZ14" s="20"/>
      <c r="AYA14" s="20"/>
      <c r="AYB14" s="20"/>
      <c r="AYC14" s="20"/>
      <c r="AYD14" s="20"/>
      <c r="AYE14" s="20"/>
      <c r="AYF14" s="20"/>
      <c r="AYG14" s="20"/>
      <c r="AYH14" s="20"/>
      <c r="AYI14" s="20"/>
      <c r="AYJ14" s="20"/>
      <c r="AYK14" s="20"/>
      <c r="AYL14" s="20"/>
      <c r="AYM14" s="20"/>
      <c r="AYN14" s="20"/>
      <c r="AYO14" s="20"/>
      <c r="AYP14" s="20"/>
      <c r="AYQ14" s="20"/>
      <c r="AYR14" s="20"/>
      <c r="AYS14" s="20"/>
      <c r="AYT14" s="20"/>
      <c r="AYU14" s="20"/>
      <c r="AYV14" s="20"/>
      <c r="AYW14" s="20"/>
      <c r="AYX14" s="20"/>
      <c r="AYY14" s="20"/>
      <c r="AYZ14" s="20"/>
      <c r="AZA14" s="20"/>
      <c r="AZB14" s="20"/>
      <c r="AZC14" s="20"/>
      <c r="AZD14" s="20"/>
      <c r="AZE14" s="20"/>
      <c r="AZF14" s="20"/>
      <c r="AZG14" s="20"/>
      <c r="AZH14" s="20"/>
      <c r="AZI14" s="20"/>
      <c r="AZJ14" s="20"/>
      <c r="AZK14" s="20"/>
      <c r="AZL14" s="20"/>
      <c r="AZM14" s="20"/>
      <c r="AZN14" s="20"/>
      <c r="AZO14" s="20"/>
      <c r="AZP14" s="20"/>
      <c r="AZQ14" s="20"/>
      <c r="AZR14" s="20"/>
      <c r="AZS14" s="20"/>
      <c r="AZT14" s="20"/>
      <c r="AZU14" s="20"/>
      <c r="AZV14" s="20"/>
      <c r="AZW14" s="20"/>
      <c r="AZX14" s="20"/>
      <c r="AZY14" s="20"/>
      <c r="AZZ14" s="20"/>
      <c r="BAA14" s="20"/>
      <c r="BAB14" s="20"/>
      <c r="BAC14" s="20"/>
      <c r="BAD14" s="20"/>
      <c r="BAE14" s="20"/>
      <c r="BAF14" s="20"/>
      <c r="BAG14" s="20"/>
      <c r="BAH14" s="20"/>
      <c r="BAI14" s="20"/>
      <c r="BAJ14" s="20"/>
      <c r="BAK14" s="20"/>
      <c r="BAL14" s="20"/>
      <c r="BAM14" s="20"/>
      <c r="BAN14" s="20"/>
      <c r="BAO14" s="20"/>
      <c r="BAP14" s="20"/>
      <c r="BAQ14" s="20"/>
      <c r="BAR14" s="20"/>
      <c r="BAS14" s="20"/>
      <c r="BAT14" s="20"/>
      <c r="BAU14" s="20"/>
      <c r="BAV14" s="20"/>
      <c r="BAW14" s="20"/>
      <c r="BAX14" s="20"/>
      <c r="BAY14" s="20"/>
      <c r="BAZ14" s="20"/>
      <c r="BBA14" s="20"/>
      <c r="BBB14" s="20"/>
      <c r="BBC14" s="20"/>
      <c r="BBD14" s="20"/>
      <c r="BBE14" s="20"/>
      <c r="BBF14" s="20"/>
      <c r="BBG14" s="20"/>
      <c r="BBH14" s="20"/>
      <c r="BBI14" s="20"/>
      <c r="BBJ14" s="20"/>
      <c r="BBK14" s="20"/>
      <c r="BBL14" s="20"/>
      <c r="BBM14" s="20"/>
      <c r="BBN14" s="20"/>
      <c r="BBO14" s="20"/>
      <c r="BBP14" s="20"/>
      <c r="BBQ14" s="20"/>
      <c r="BBR14" s="20"/>
      <c r="BBS14" s="20"/>
      <c r="BBT14" s="20"/>
      <c r="BBU14" s="20"/>
      <c r="BBV14" s="20"/>
      <c r="BBW14" s="20"/>
      <c r="BBX14" s="20"/>
      <c r="BBY14" s="20"/>
      <c r="BBZ14" s="20"/>
      <c r="BCA14" s="20"/>
      <c r="BCB14" s="20"/>
      <c r="BCC14" s="20"/>
      <c r="BCD14" s="20"/>
      <c r="BCE14" s="20"/>
      <c r="BCF14" s="20"/>
      <c r="BCG14" s="20"/>
      <c r="BCH14" s="20"/>
      <c r="BCI14" s="20"/>
      <c r="BCJ14" s="20"/>
      <c r="BCK14" s="20"/>
      <c r="BCL14" s="20"/>
      <c r="BCM14" s="20"/>
      <c r="BCN14" s="20"/>
      <c r="BCO14" s="20"/>
      <c r="BCP14" s="20"/>
      <c r="BCQ14" s="20"/>
      <c r="BCR14" s="20"/>
      <c r="BCS14" s="20"/>
      <c r="BCT14" s="20"/>
      <c r="BCU14" s="20"/>
      <c r="BCV14" s="20"/>
      <c r="BCW14" s="20"/>
      <c r="BCX14" s="20"/>
      <c r="BCY14" s="20"/>
      <c r="BCZ14" s="20"/>
      <c r="BDA14" s="20"/>
      <c r="BDB14" s="20"/>
      <c r="BDC14" s="20"/>
      <c r="BDD14" s="20"/>
      <c r="BDE14" s="20"/>
      <c r="BDF14" s="20"/>
      <c r="BDG14" s="20"/>
      <c r="BDH14" s="20"/>
      <c r="BDI14" s="20"/>
      <c r="BDJ14" s="20"/>
      <c r="BDK14" s="20"/>
      <c r="BDL14" s="20"/>
      <c r="BDM14" s="20"/>
      <c r="BDN14" s="20"/>
      <c r="BDO14" s="20"/>
      <c r="BDP14" s="20"/>
      <c r="BDQ14" s="20"/>
      <c r="BDR14" s="20"/>
      <c r="BDS14" s="20"/>
      <c r="BDT14" s="20"/>
      <c r="BDU14" s="20"/>
      <c r="BDV14" s="20"/>
      <c r="BDW14" s="20"/>
      <c r="BDX14" s="20"/>
      <c r="BDY14" s="20"/>
      <c r="BDZ14" s="20"/>
      <c r="BEA14" s="20"/>
      <c r="BEB14" s="20"/>
      <c r="BEC14" s="20"/>
      <c r="BED14" s="20"/>
      <c r="BEE14" s="20"/>
      <c r="BEF14" s="20"/>
      <c r="BEG14" s="20"/>
      <c r="BEH14" s="20"/>
      <c r="BEI14" s="20"/>
      <c r="BEJ14" s="20"/>
      <c r="BEK14" s="20"/>
      <c r="BEL14" s="20"/>
      <c r="BEM14" s="20"/>
      <c r="BEN14" s="20"/>
      <c r="BEO14" s="20"/>
      <c r="BEP14" s="20"/>
      <c r="BEQ14" s="20"/>
      <c r="BER14" s="20"/>
      <c r="BES14" s="20"/>
      <c r="BET14" s="20"/>
      <c r="BEU14" s="20"/>
      <c r="BEV14" s="20"/>
      <c r="BEW14" s="20"/>
      <c r="BEX14" s="20"/>
      <c r="BEY14" s="20"/>
      <c r="BEZ14" s="20"/>
      <c r="BFA14" s="20"/>
      <c r="BFB14" s="20"/>
      <c r="BFC14" s="20"/>
      <c r="BFD14" s="20"/>
      <c r="BFE14" s="20"/>
      <c r="BFF14" s="20"/>
      <c r="BFG14" s="20"/>
      <c r="BFH14" s="20"/>
      <c r="BFI14" s="20"/>
      <c r="BFJ14" s="20"/>
      <c r="BFK14" s="20"/>
      <c r="BFL14" s="20"/>
      <c r="BFM14" s="20"/>
      <c r="BFN14" s="20"/>
      <c r="BFO14" s="20"/>
      <c r="BFP14" s="20"/>
      <c r="BFQ14" s="20"/>
      <c r="BFR14" s="20"/>
      <c r="BFS14" s="20"/>
      <c r="BFT14" s="20"/>
      <c r="BFU14" s="20"/>
      <c r="BFV14" s="20"/>
      <c r="BFW14" s="20"/>
      <c r="BFX14" s="20"/>
      <c r="BFY14" s="20"/>
      <c r="BFZ14" s="20"/>
      <c r="BGA14" s="20"/>
      <c r="BGB14" s="20"/>
      <c r="BGC14" s="20"/>
      <c r="BGD14" s="20"/>
      <c r="BGE14" s="20"/>
      <c r="BGF14" s="20"/>
      <c r="BGG14" s="20"/>
      <c r="BGH14" s="20"/>
      <c r="BGI14" s="20"/>
      <c r="BGJ14" s="20"/>
      <c r="BGK14" s="20"/>
      <c r="BGL14" s="20"/>
      <c r="BGM14" s="20"/>
      <c r="BGN14" s="20"/>
      <c r="BGO14" s="20"/>
      <c r="BGP14" s="20"/>
      <c r="BGQ14" s="20"/>
      <c r="BGR14" s="20"/>
      <c r="BGS14" s="20"/>
      <c r="BGT14" s="20"/>
      <c r="BGU14" s="20"/>
      <c r="BGV14" s="20"/>
      <c r="BGW14" s="20"/>
      <c r="BGX14" s="20"/>
      <c r="BGY14" s="20"/>
      <c r="BGZ14" s="20"/>
      <c r="BHA14" s="20"/>
      <c r="BHB14" s="20"/>
      <c r="BHC14" s="20"/>
      <c r="BHD14" s="20"/>
      <c r="BHE14" s="20"/>
      <c r="BHF14" s="20"/>
      <c r="BHG14" s="20"/>
      <c r="BHH14" s="20"/>
      <c r="BHI14" s="20"/>
      <c r="BHJ14" s="20"/>
      <c r="BHK14" s="20"/>
      <c r="BHL14" s="20"/>
      <c r="BHM14" s="20"/>
      <c r="BHN14" s="20"/>
      <c r="BHO14" s="20"/>
      <c r="BHP14" s="20"/>
      <c r="BHQ14" s="20"/>
      <c r="BHR14" s="20"/>
      <c r="BHS14" s="20"/>
      <c r="BHT14" s="20"/>
      <c r="BHU14" s="20"/>
      <c r="BHV14" s="20"/>
      <c r="BHW14" s="20"/>
      <c r="BHX14" s="20"/>
      <c r="BHY14" s="20"/>
      <c r="BHZ14" s="20"/>
      <c r="BIA14" s="20"/>
      <c r="BIB14" s="20"/>
      <c r="BIC14" s="20"/>
      <c r="BID14" s="20"/>
      <c r="BIE14" s="20"/>
      <c r="BIF14" s="20"/>
      <c r="BIG14" s="20"/>
      <c r="BIH14" s="20"/>
      <c r="BII14" s="20"/>
      <c r="BIJ14" s="20"/>
      <c r="BIK14" s="20"/>
      <c r="BIL14" s="20"/>
      <c r="BIM14" s="20"/>
      <c r="BIN14" s="20"/>
      <c r="BIO14" s="20"/>
      <c r="BIP14" s="20"/>
      <c r="BIQ14" s="20"/>
      <c r="BIR14" s="20"/>
      <c r="BIS14" s="20"/>
      <c r="BIT14" s="20"/>
      <c r="BIU14" s="20"/>
      <c r="BIV14" s="20"/>
      <c r="BIW14" s="20"/>
      <c r="BIX14" s="20"/>
      <c r="BIY14" s="20"/>
      <c r="BIZ14" s="20"/>
      <c r="BJA14" s="20"/>
      <c r="BJB14" s="20"/>
      <c r="BJC14" s="20"/>
      <c r="BJD14" s="20"/>
      <c r="BJE14" s="20"/>
      <c r="BJF14" s="20"/>
      <c r="BJG14" s="20"/>
      <c r="BJH14" s="20"/>
      <c r="BJI14" s="20"/>
      <c r="BJJ14" s="20"/>
      <c r="BJK14" s="20"/>
      <c r="BJL14" s="20"/>
      <c r="BJM14" s="20"/>
      <c r="BJN14" s="20"/>
      <c r="BJO14" s="20"/>
      <c r="BJP14" s="20"/>
      <c r="BJQ14" s="20"/>
      <c r="BJR14" s="20"/>
      <c r="BJS14" s="20"/>
      <c r="BJT14" s="20"/>
      <c r="BJU14" s="20"/>
      <c r="BJV14" s="20"/>
      <c r="BJW14" s="20"/>
      <c r="BJX14" s="20"/>
      <c r="BJY14" s="20"/>
      <c r="BJZ14" s="20"/>
      <c r="BKA14" s="20"/>
      <c r="BKB14" s="20"/>
      <c r="BKC14" s="20"/>
      <c r="BKD14" s="20"/>
      <c r="BKE14" s="20"/>
      <c r="BKF14" s="20"/>
      <c r="BKG14" s="20"/>
      <c r="BKH14" s="20"/>
      <c r="BKI14" s="20"/>
      <c r="BKJ14" s="20"/>
      <c r="BKK14" s="20"/>
      <c r="BKL14" s="20"/>
      <c r="BKM14" s="20"/>
      <c r="BKN14" s="20"/>
      <c r="BKO14" s="20"/>
      <c r="BKP14" s="20"/>
      <c r="BKQ14" s="20"/>
      <c r="BKR14" s="20"/>
      <c r="BKS14" s="20"/>
      <c r="BKT14" s="20"/>
      <c r="BKU14" s="20"/>
      <c r="BKV14" s="20"/>
      <c r="BKW14" s="20"/>
      <c r="BKX14" s="20"/>
      <c r="BKY14" s="20"/>
      <c r="BKZ14" s="20"/>
      <c r="BLA14" s="20"/>
      <c r="BLB14" s="20"/>
      <c r="BLC14" s="20"/>
      <c r="BLD14" s="20"/>
      <c r="BLE14" s="20"/>
      <c r="BLF14" s="20"/>
      <c r="BLG14" s="20"/>
      <c r="BLH14" s="20"/>
      <c r="BLI14" s="20"/>
      <c r="BLJ14" s="20"/>
      <c r="BLK14" s="20"/>
      <c r="BLL14" s="20"/>
      <c r="BLM14" s="20"/>
      <c r="BLN14" s="20"/>
      <c r="BLO14" s="20"/>
      <c r="BLP14" s="20"/>
      <c r="BLQ14" s="20"/>
      <c r="BLR14" s="20"/>
      <c r="BLS14" s="20"/>
      <c r="BLT14" s="20"/>
      <c r="BLU14" s="20"/>
      <c r="BLV14" s="20"/>
      <c r="BLW14" s="20"/>
      <c r="BLX14" s="20"/>
      <c r="BLY14" s="20"/>
      <c r="BLZ14" s="20"/>
      <c r="BMA14" s="20"/>
      <c r="BMB14" s="20"/>
      <c r="BMC14" s="20"/>
      <c r="BMD14" s="20"/>
      <c r="BME14" s="20"/>
      <c r="BMF14" s="20"/>
      <c r="BMG14" s="20"/>
      <c r="BMH14" s="20"/>
      <c r="BMI14" s="20"/>
      <c r="BMJ14" s="20"/>
      <c r="BMK14" s="20"/>
      <c r="BML14" s="20"/>
      <c r="BMM14" s="20"/>
      <c r="BMN14" s="20"/>
      <c r="BMO14" s="20"/>
      <c r="BMP14" s="20"/>
      <c r="BMQ14" s="20"/>
      <c r="BMR14" s="20"/>
      <c r="BMS14" s="20"/>
      <c r="BMT14" s="20"/>
      <c r="BMU14" s="20"/>
      <c r="BMV14" s="20"/>
      <c r="BMW14" s="20"/>
      <c r="BMX14" s="20"/>
      <c r="BMY14" s="20"/>
      <c r="BMZ14" s="20"/>
      <c r="BNA14" s="20"/>
      <c r="BNB14" s="20"/>
      <c r="BNC14" s="20"/>
      <c r="BND14" s="20"/>
      <c r="BNE14" s="20"/>
      <c r="BNF14" s="20"/>
      <c r="BNG14" s="20"/>
      <c r="BNH14" s="20"/>
      <c r="BNI14" s="20"/>
      <c r="BNJ14" s="20"/>
      <c r="BNK14" s="20"/>
      <c r="BNL14" s="20"/>
      <c r="BNM14" s="20"/>
      <c r="BNN14" s="20"/>
      <c r="BNO14" s="20"/>
      <c r="BNP14" s="20"/>
      <c r="BNQ14" s="20"/>
      <c r="BNR14" s="20"/>
      <c r="BNS14" s="20"/>
      <c r="BNT14" s="20"/>
      <c r="BNU14" s="20"/>
      <c r="BNV14" s="20"/>
      <c r="BNW14" s="20"/>
      <c r="BNX14" s="20"/>
      <c r="BNY14" s="20"/>
      <c r="BNZ14" s="20"/>
      <c r="BOA14" s="20"/>
      <c r="BOB14" s="20"/>
      <c r="BOC14" s="20"/>
      <c r="BOD14" s="20"/>
      <c r="BOE14" s="20"/>
      <c r="BOF14" s="20"/>
      <c r="BOG14" s="20"/>
      <c r="BOH14" s="20"/>
      <c r="BOI14" s="20"/>
      <c r="BOJ14" s="20"/>
      <c r="BOK14" s="20"/>
      <c r="BOL14" s="20"/>
      <c r="BOM14" s="20"/>
      <c r="BON14" s="20"/>
      <c r="BOO14" s="20"/>
      <c r="BOP14" s="20"/>
      <c r="BOQ14" s="20"/>
      <c r="BOR14" s="20"/>
      <c r="BOS14" s="20"/>
      <c r="BOT14" s="20"/>
      <c r="BOU14" s="20"/>
      <c r="BOV14" s="20"/>
      <c r="BOW14" s="20"/>
      <c r="BOX14" s="20"/>
      <c r="BOY14" s="20"/>
      <c r="BOZ14" s="20"/>
      <c r="BPA14" s="20"/>
      <c r="BPB14" s="20"/>
      <c r="BPC14" s="20"/>
      <c r="BPD14" s="20"/>
      <c r="BPE14" s="20"/>
      <c r="BPF14" s="20"/>
      <c r="BPG14" s="20"/>
      <c r="BPH14" s="20"/>
      <c r="BPI14" s="20"/>
      <c r="BPJ14" s="20"/>
      <c r="BPK14" s="20"/>
      <c r="BPL14" s="20"/>
      <c r="BPM14" s="20"/>
      <c r="BPN14" s="20"/>
      <c r="BPO14" s="20"/>
      <c r="BPP14" s="20"/>
      <c r="BPQ14" s="20"/>
      <c r="BPR14" s="20"/>
      <c r="BPS14" s="20"/>
      <c r="BPT14" s="20"/>
      <c r="BPU14" s="20"/>
      <c r="BPV14" s="20"/>
      <c r="BPW14" s="20"/>
      <c r="BPX14" s="20"/>
      <c r="BPY14" s="20"/>
      <c r="BPZ14" s="20"/>
      <c r="BQA14" s="20"/>
      <c r="BQB14" s="20"/>
      <c r="BQC14" s="20"/>
      <c r="BQD14" s="20"/>
      <c r="BQE14" s="20"/>
      <c r="BQF14" s="20"/>
      <c r="BQG14" s="20"/>
      <c r="BQH14" s="20"/>
      <c r="BQI14" s="20"/>
      <c r="BQJ14" s="20"/>
      <c r="BQK14" s="20"/>
      <c r="BQL14" s="20"/>
      <c r="BQM14" s="20"/>
      <c r="BQN14" s="20"/>
      <c r="BQO14" s="20"/>
      <c r="BQP14" s="20"/>
      <c r="BQQ14" s="20"/>
      <c r="BQR14" s="20"/>
      <c r="BQS14" s="20"/>
      <c r="BQT14" s="20"/>
      <c r="BQU14" s="20"/>
      <c r="BQV14" s="20"/>
      <c r="BQW14" s="20"/>
      <c r="BQX14" s="20"/>
      <c r="BQY14" s="20"/>
      <c r="BQZ14" s="20"/>
      <c r="BRA14" s="20"/>
      <c r="BRB14" s="20"/>
      <c r="BRC14" s="20"/>
      <c r="BRD14" s="20"/>
      <c r="BRE14" s="20"/>
      <c r="BRF14" s="20"/>
      <c r="BRG14" s="20"/>
      <c r="BRH14" s="20"/>
      <c r="BRI14" s="20"/>
      <c r="BRJ14" s="20"/>
      <c r="BRK14" s="20"/>
      <c r="BRL14" s="20"/>
      <c r="BRM14" s="20"/>
      <c r="BRN14" s="20"/>
      <c r="BRO14" s="20"/>
      <c r="BRP14" s="20"/>
      <c r="BRQ14" s="20"/>
      <c r="BRR14" s="20"/>
      <c r="BRS14" s="20"/>
      <c r="BRT14" s="20"/>
      <c r="BRU14" s="20"/>
      <c r="BRV14" s="20"/>
      <c r="BRW14" s="20"/>
      <c r="BRX14" s="20"/>
      <c r="BRY14" s="20"/>
      <c r="BRZ14" s="20"/>
      <c r="BSA14" s="20"/>
      <c r="BSB14" s="20"/>
      <c r="BSC14" s="20"/>
      <c r="BSD14" s="20"/>
      <c r="BSE14" s="20"/>
      <c r="BSF14" s="20"/>
      <c r="BSG14" s="20"/>
      <c r="BSH14" s="20"/>
      <c r="BSI14" s="20"/>
      <c r="BSJ14" s="20"/>
      <c r="BSK14" s="20"/>
      <c r="BSL14" s="20"/>
      <c r="BSM14" s="20"/>
      <c r="BSN14" s="20"/>
      <c r="BSO14" s="20"/>
      <c r="BSP14" s="20"/>
      <c r="BSQ14" s="20"/>
      <c r="BSR14" s="20"/>
      <c r="BSS14" s="20"/>
      <c r="BST14" s="20"/>
      <c r="BSU14" s="20"/>
      <c r="BSV14" s="20"/>
      <c r="BSW14" s="20"/>
      <c r="BSX14" s="20"/>
      <c r="BSY14" s="20"/>
      <c r="BSZ14" s="20"/>
      <c r="BTA14" s="20"/>
      <c r="BTB14" s="20"/>
      <c r="BTC14" s="20"/>
      <c r="BTD14" s="20"/>
      <c r="BTE14" s="20"/>
      <c r="BTF14" s="20"/>
      <c r="BTG14" s="20"/>
      <c r="BTH14" s="20"/>
      <c r="BTI14" s="20"/>
      <c r="BTJ14" s="20"/>
      <c r="BTK14" s="20"/>
      <c r="BTL14" s="20"/>
      <c r="BTM14" s="20"/>
      <c r="BTN14" s="20"/>
      <c r="BTO14" s="20"/>
      <c r="BTP14" s="20"/>
      <c r="BTQ14" s="20"/>
      <c r="BTR14" s="20"/>
      <c r="BTS14" s="20"/>
      <c r="BTT14" s="20"/>
      <c r="BTU14" s="20"/>
      <c r="BTV14" s="20"/>
      <c r="BTW14" s="20"/>
      <c r="BTX14" s="20"/>
      <c r="BTY14" s="20"/>
      <c r="BTZ14" s="20"/>
      <c r="BUA14" s="20"/>
      <c r="BUB14" s="20"/>
      <c r="BUC14" s="20"/>
      <c r="BUD14" s="20"/>
      <c r="BUE14" s="20"/>
      <c r="BUF14" s="20"/>
      <c r="BUG14" s="20"/>
      <c r="BUH14" s="20"/>
      <c r="BUI14" s="20"/>
      <c r="BUJ14" s="20"/>
      <c r="BUK14" s="20"/>
      <c r="BUL14" s="20"/>
      <c r="BUM14" s="20"/>
      <c r="BUN14" s="20"/>
      <c r="BUO14" s="20"/>
      <c r="BUP14" s="20"/>
      <c r="BUQ14" s="20"/>
      <c r="BUR14" s="20"/>
      <c r="BUS14" s="20"/>
      <c r="BUT14" s="20"/>
      <c r="BUU14" s="20"/>
      <c r="BUV14" s="20"/>
      <c r="BUW14" s="20"/>
      <c r="BUX14" s="20"/>
      <c r="BUY14" s="20"/>
      <c r="BUZ14" s="20"/>
      <c r="BVA14" s="20"/>
      <c r="BVB14" s="20"/>
      <c r="BVC14" s="20"/>
      <c r="BVD14" s="20"/>
      <c r="BVE14" s="20"/>
      <c r="BVF14" s="20"/>
      <c r="BVG14" s="20"/>
      <c r="BVH14" s="20"/>
      <c r="BVI14" s="20"/>
      <c r="BVJ14" s="20"/>
      <c r="BVK14" s="20"/>
      <c r="BVL14" s="20"/>
      <c r="BVM14" s="20"/>
      <c r="BVN14" s="20"/>
      <c r="BVO14" s="20"/>
      <c r="BVP14" s="20"/>
      <c r="BVQ14" s="20"/>
      <c r="BVR14" s="20"/>
      <c r="BVS14" s="20"/>
      <c r="BVT14" s="20"/>
      <c r="BVU14" s="20"/>
      <c r="BVV14" s="20"/>
      <c r="BVW14" s="20"/>
      <c r="BVX14" s="20"/>
      <c r="BVY14" s="20"/>
      <c r="BVZ14" s="20"/>
      <c r="BWA14" s="20"/>
      <c r="BWB14" s="20"/>
      <c r="BWC14" s="20"/>
      <c r="BWD14" s="20"/>
      <c r="BWE14" s="20"/>
      <c r="BWF14" s="20"/>
      <c r="BWG14" s="20"/>
      <c r="BWH14" s="20"/>
      <c r="BWI14" s="20"/>
      <c r="BWJ14" s="20"/>
      <c r="BWK14" s="20"/>
      <c r="BWL14" s="20"/>
      <c r="BWM14" s="20"/>
      <c r="BWN14" s="20"/>
      <c r="BWO14" s="20"/>
      <c r="BWP14" s="20"/>
      <c r="BWQ14" s="20"/>
      <c r="BWR14" s="20"/>
      <c r="BWS14" s="20"/>
      <c r="BWT14" s="20"/>
      <c r="BWU14" s="20"/>
      <c r="BWV14" s="20"/>
      <c r="BWW14" s="20"/>
      <c r="BWX14" s="20"/>
      <c r="BWY14" s="20"/>
      <c r="BWZ14" s="20"/>
      <c r="BXA14" s="20"/>
      <c r="BXB14" s="20"/>
      <c r="BXC14" s="20"/>
      <c r="BXD14" s="20"/>
      <c r="BXE14" s="20"/>
      <c r="BXF14" s="20"/>
      <c r="BXG14" s="20"/>
      <c r="BXH14" s="20"/>
      <c r="BXI14" s="20"/>
      <c r="BXJ14" s="20"/>
      <c r="BXK14" s="20"/>
      <c r="BXL14" s="20"/>
      <c r="BXM14" s="20"/>
      <c r="BXN14" s="20"/>
      <c r="BXO14" s="20"/>
      <c r="BXP14" s="20"/>
      <c r="BXQ14" s="20"/>
      <c r="BXR14" s="20"/>
      <c r="BXS14" s="20"/>
      <c r="BXT14" s="20"/>
      <c r="BXU14" s="20"/>
      <c r="BXV14" s="20"/>
      <c r="BXW14" s="20"/>
      <c r="BXX14" s="20"/>
      <c r="BXY14" s="20"/>
      <c r="BXZ14" s="20"/>
      <c r="BYA14" s="20"/>
      <c r="BYB14" s="20"/>
      <c r="BYC14" s="20"/>
      <c r="BYD14" s="20"/>
      <c r="BYE14" s="20"/>
      <c r="BYF14" s="20"/>
      <c r="BYG14" s="20"/>
      <c r="BYH14" s="20"/>
      <c r="BYI14" s="20"/>
      <c r="BYJ14" s="20"/>
      <c r="BYK14" s="20"/>
      <c r="BYL14" s="20"/>
      <c r="BYM14" s="20"/>
      <c r="BYN14" s="20"/>
      <c r="BYO14" s="20"/>
      <c r="BYP14" s="20"/>
      <c r="BYQ14" s="20"/>
      <c r="BYR14" s="20"/>
      <c r="BYS14" s="20"/>
      <c r="BYT14" s="20"/>
      <c r="BYU14" s="20"/>
      <c r="BYV14" s="20"/>
      <c r="BYW14" s="20"/>
      <c r="BYX14" s="20"/>
      <c r="BYY14" s="20"/>
      <c r="BYZ14" s="20"/>
      <c r="BZA14" s="20"/>
      <c r="BZB14" s="20"/>
      <c r="BZC14" s="20"/>
      <c r="BZD14" s="20"/>
      <c r="BZE14" s="20"/>
      <c r="BZF14" s="20"/>
      <c r="BZG14" s="20"/>
      <c r="BZH14" s="20"/>
      <c r="BZI14" s="20"/>
      <c r="BZJ14" s="20"/>
      <c r="BZK14" s="20"/>
      <c r="BZL14" s="20"/>
      <c r="BZM14" s="20"/>
      <c r="BZN14" s="20"/>
      <c r="BZO14" s="20"/>
      <c r="BZP14" s="20"/>
      <c r="BZQ14" s="20"/>
      <c r="BZR14" s="20"/>
      <c r="BZS14" s="20"/>
      <c r="BZT14" s="20"/>
      <c r="BZU14" s="20"/>
      <c r="BZV14" s="20"/>
      <c r="BZW14" s="20"/>
      <c r="BZX14" s="20"/>
      <c r="BZY14" s="20"/>
      <c r="BZZ14" s="20"/>
      <c r="CAA14" s="20"/>
      <c r="CAB14" s="20"/>
      <c r="CAC14" s="20"/>
      <c r="CAD14" s="20"/>
      <c r="CAE14" s="20"/>
      <c r="CAF14" s="20"/>
      <c r="CAG14" s="20"/>
      <c r="CAH14" s="20"/>
      <c r="CAI14" s="20"/>
      <c r="CAJ14" s="20"/>
      <c r="CAK14" s="20"/>
      <c r="CAL14" s="20"/>
      <c r="CAM14" s="20"/>
      <c r="CAN14" s="20"/>
      <c r="CAO14" s="20"/>
      <c r="CAP14" s="20"/>
      <c r="CAQ14" s="20"/>
      <c r="CAR14" s="20"/>
      <c r="CAS14" s="20"/>
      <c r="CAT14" s="20"/>
      <c r="CAU14" s="20"/>
      <c r="CAV14" s="20"/>
      <c r="CAW14" s="20"/>
      <c r="CAX14" s="20"/>
      <c r="CAY14" s="20"/>
      <c r="CAZ14" s="20"/>
      <c r="CBA14" s="20"/>
      <c r="CBB14" s="20"/>
      <c r="CBC14" s="20"/>
      <c r="CBD14" s="20"/>
      <c r="CBE14" s="20"/>
      <c r="CBF14" s="20"/>
      <c r="CBG14" s="20"/>
      <c r="CBH14" s="20"/>
      <c r="CBI14" s="20"/>
      <c r="CBJ14" s="20"/>
      <c r="CBK14" s="20"/>
      <c r="CBL14" s="20"/>
      <c r="CBM14" s="20"/>
      <c r="CBN14" s="20"/>
      <c r="CBO14" s="20"/>
      <c r="CBP14" s="20"/>
      <c r="CBQ14" s="20"/>
      <c r="CBR14" s="20"/>
      <c r="CBS14" s="20"/>
      <c r="CBT14" s="20"/>
      <c r="CBU14" s="20"/>
      <c r="CBV14" s="20"/>
      <c r="CBW14" s="20"/>
      <c r="CBX14" s="20"/>
      <c r="CBY14" s="20"/>
      <c r="CBZ14" s="20"/>
      <c r="CCA14" s="20"/>
      <c r="CCB14" s="20"/>
      <c r="CCC14" s="20"/>
      <c r="CCD14" s="20"/>
      <c r="CCE14" s="20"/>
      <c r="CCF14" s="20"/>
      <c r="CCG14" s="20"/>
      <c r="CCH14" s="20"/>
      <c r="CCI14" s="20"/>
      <c r="CCJ14" s="20"/>
      <c r="CCK14" s="20"/>
      <c r="CCL14" s="20"/>
      <c r="CCM14" s="20"/>
      <c r="CCN14" s="20"/>
      <c r="CCO14" s="20"/>
      <c r="CCP14" s="20"/>
      <c r="CCQ14" s="20"/>
      <c r="CCR14" s="20"/>
      <c r="CCS14" s="20"/>
      <c r="CCT14" s="20"/>
      <c r="CCU14" s="20"/>
      <c r="CCV14" s="20"/>
      <c r="CCW14" s="20"/>
      <c r="CCX14" s="20"/>
      <c r="CCY14" s="20"/>
      <c r="CCZ14" s="20"/>
      <c r="CDA14" s="20"/>
      <c r="CDB14" s="20"/>
      <c r="CDC14" s="20"/>
      <c r="CDD14" s="20"/>
      <c r="CDE14" s="20"/>
      <c r="CDF14" s="20"/>
      <c r="CDG14" s="20"/>
      <c r="CDH14" s="20"/>
      <c r="CDI14" s="20"/>
      <c r="CDJ14" s="20"/>
      <c r="CDK14" s="20"/>
      <c r="CDL14" s="20"/>
      <c r="CDM14" s="20"/>
      <c r="CDN14" s="20"/>
      <c r="CDO14" s="20"/>
      <c r="CDP14" s="20"/>
      <c r="CDQ14" s="20"/>
      <c r="CDR14" s="20"/>
      <c r="CDS14" s="20"/>
      <c r="CDT14" s="20"/>
      <c r="CDU14" s="20"/>
      <c r="CDV14" s="20"/>
      <c r="CDW14" s="20"/>
      <c r="CDX14" s="20"/>
      <c r="CDY14" s="20"/>
      <c r="CDZ14" s="20"/>
      <c r="CEA14" s="20"/>
      <c r="CEB14" s="20"/>
      <c r="CEC14" s="20"/>
      <c r="CED14" s="20"/>
      <c r="CEE14" s="20"/>
      <c r="CEF14" s="20"/>
      <c r="CEG14" s="20"/>
      <c r="CEH14" s="20"/>
      <c r="CEI14" s="20"/>
      <c r="CEJ14" s="20"/>
      <c r="CEK14" s="20"/>
      <c r="CEL14" s="20"/>
      <c r="CEM14" s="20"/>
      <c r="CEN14" s="20"/>
      <c r="CEO14" s="20"/>
      <c r="CEP14" s="20"/>
      <c r="CEQ14" s="20"/>
      <c r="CER14" s="20"/>
      <c r="CES14" s="20"/>
      <c r="CET14" s="20"/>
      <c r="CEU14" s="20"/>
      <c r="CEV14" s="20"/>
      <c r="CEW14" s="20"/>
      <c r="CEX14" s="20"/>
      <c r="CEY14" s="20"/>
      <c r="CEZ14" s="20"/>
      <c r="CFA14" s="20"/>
      <c r="CFB14" s="20"/>
      <c r="CFC14" s="20"/>
      <c r="CFD14" s="20"/>
      <c r="CFE14" s="20"/>
      <c r="CFF14" s="20"/>
      <c r="CFG14" s="20"/>
      <c r="CFH14" s="20"/>
      <c r="CFI14" s="20"/>
      <c r="CFJ14" s="20"/>
      <c r="CFK14" s="20"/>
      <c r="CFL14" s="20"/>
      <c r="CFM14" s="20"/>
      <c r="CFN14" s="20"/>
      <c r="CFO14" s="20"/>
      <c r="CFP14" s="20"/>
      <c r="CFQ14" s="20"/>
      <c r="CFR14" s="20"/>
      <c r="CFS14" s="20"/>
      <c r="CFT14" s="20"/>
      <c r="CFU14" s="20"/>
      <c r="CFV14" s="20"/>
      <c r="CFW14" s="20"/>
      <c r="CFX14" s="20"/>
      <c r="CFY14" s="20"/>
      <c r="CFZ14" s="20"/>
      <c r="CGA14" s="20"/>
      <c r="CGB14" s="20"/>
      <c r="CGC14" s="20"/>
      <c r="CGD14" s="20"/>
      <c r="CGE14" s="20"/>
      <c r="CGF14" s="20"/>
      <c r="CGG14" s="20"/>
      <c r="CGH14" s="20"/>
      <c r="CGI14" s="20"/>
      <c r="CGJ14" s="20"/>
      <c r="CGK14" s="20"/>
      <c r="CGL14" s="20"/>
      <c r="CGM14" s="20"/>
      <c r="CGN14" s="20"/>
      <c r="CGO14" s="20"/>
      <c r="CGP14" s="20"/>
      <c r="CGQ14" s="20"/>
      <c r="CGR14" s="20"/>
      <c r="CGS14" s="20"/>
      <c r="CGT14" s="20"/>
      <c r="CGU14" s="20"/>
      <c r="CGV14" s="20"/>
      <c r="CGW14" s="20"/>
      <c r="CGX14" s="20"/>
      <c r="CGY14" s="20"/>
      <c r="CGZ14" s="20"/>
      <c r="CHA14" s="20"/>
      <c r="CHB14" s="20"/>
      <c r="CHC14" s="20"/>
      <c r="CHD14" s="20"/>
      <c r="CHE14" s="20"/>
      <c r="CHF14" s="20"/>
      <c r="CHG14" s="20"/>
      <c r="CHH14" s="20"/>
      <c r="CHI14" s="20"/>
      <c r="CHJ14" s="20"/>
      <c r="CHK14" s="20"/>
      <c r="CHL14" s="20"/>
      <c r="CHM14" s="20"/>
      <c r="CHN14" s="20"/>
      <c r="CHO14" s="20"/>
      <c r="CHP14" s="20"/>
      <c r="CHQ14" s="20"/>
      <c r="CHR14" s="20"/>
      <c r="CHS14" s="20"/>
      <c r="CHT14" s="20"/>
      <c r="CHU14" s="20"/>
      <c r="CHV14" s="20"/>
      <c r="CHW14" s="20"/>
      <c r="CHX14" s="20"/>
      <c r="CHY14" s="20"/>
      <c r="CHZ14" s="20"/>
      <c r="CIA14" s="20"/>
      <c r="CIB14" s="20"/>
      <c r="CIC14" s="20"/>
      <c r="CID14" s="20"/>
      <c r="CIE14" s="20"/>
      <c r="CIF14" s="20"/>
      <c r="CIG14" s="20"/>
      <c r="CIH14" s="20"/>
      <c r="CII14" s="20"/>
      <c r="CIJ14" s="20"/>
      <c r="CIK14" s="20"/>
      <c r="CIL14" s="20"/>
      <c r="CIM14" s="20"/>
      <c r="CIN14" s="20"/>
      <c r="CIO14" s="20"/>
      <c r="CIP14" s="20"/>
      <c r="CIQ14" s="20"/>
      <c r="CIR14" s="20"/>
      <c r="CIS14" s="20"/>
      <c r="CIT14" s="20"/>
      <c r="CIU14" s="20"/>
      <c r="CIV14" s="20"/>
      <c r="CIW14" s="20"/>
      <c r="CIX14" s="20"/>
      <c r="CIY14" s="20"/>
      <c r="CIZ14" s="20"/>
      <c r="CJA14" s="20"/>
      <c r="CJB14" s="20"/>
      <c r="CJC14" s="20"/>
      <c r="CJD14" s="20"/>
      <c r="CJE14" s="20"/>
      <c r="CJF14" s="20"/>
      <c r="CJG14" s="20"/>
      <c r="CJH14" s="20"/>
      <c r="CJI14" s="20"/>
      <c r="CJJ14" s="20"/>
      <c r="CJK14" s="20"/>
      <c r="CJL14" s="20"/>
      <c r="CJM14" s="20"/>
      <c r="CJN14" s="20"/>
      <c r="CJO14" s="20"/>
      <c r="CJP14" s="20"/>
      <c r="CJQ14" s="20"/>
      <c r="CJR14" s="20"/>
      <c r="CJS14" s="20"/>
      <c r="CJT14" s="20"/>
      <c r="CJU14" s="20"/>
      <c r="CJV14" s="20"/>
      <c r="CJW14" s="20"/>
      <c r="CJX14" s="20"/>
      <c r="CJY14" s="20"/>
      <c r="CJZ14" s="20"/>
      <c r="CKA14" s="20"/>
      <c r="CKB14" s="20"/>
      <c r="CKC14" s="20"/>
      <c r="CKD14" s="20"/>
      <c r="CKE14" s="20"/>
      <c r="CKF14" s="20"/>
      <c r="CKG14" s="20"/>
      <c r="CKH14" s="20"/>
      <c r="CKI14" s="20"/>
      <c r="CKJ14" s="20"/>
      <c r="CKK14" s="20"/>
      <c r="CKL14" s="20"/>
      <c r="CKM14" s="20"/>
      <c r="CKN14" s="20"/>
      <c r="CKO14" s="20"/>
      <c r="CKP14" s="20"/>
      <c r="CKQ14" s="20"/>
      <c r="CKR14" s="20"/>
      <c r="CKS14" s="20"/>
      <c r="CKT14" s="20"/>
      <c r="CKU14" s="20"/>
      <c r="CKV14" s="20"/>
      <c r="CKW14" s="20"/>
      <c r="CKX14" s="20"/>
      <c r="CKY14" s="20"/>
      <c r="CKZ14" s="20"/>
      <c r="CLA14" s="20"/>
      <c r="CLB14" s="20"/>
      <c r="CLC14" s="20"/>
      <c r="CLD14" s="20"/>
      <c r="CLE14" s="20"/>
      <c r="CLF14" s="20"/>
      <c r="CLG14" s="20"/>
      <c r="CLH14" s="20"/>
      <c r="CLI14" s="20"/>
      <c r="CLJ14" s="20"/>
      <c r="CLK14" s="20"/>
      <c r="CLL14" s="20"/>
      <c r="CLM14" s="20"/>
      <c r="CLN14" s="20"/>
      <c r="CLO14" s="20"/>
      <c r="CLP14" s="20"/>
      <c r="CLQ14" s="20"/>
      <c r="CLR14" s="20"/>
      <c r="CLS14" s="20"/>
      <c r="CLT14" s="20"/>
      <c r="CLU14" s="20"/>
      <c r="CLV14" s="20"/>
      <c r="CLW14" s="20"/>
      <c r="CLX14" s="20"/>
      <c r="CLY14" s="20"/>
      <c r="CLZ14" s="20"/>
      <c r="CMA14" s="20"/>
      <c r="CMB14" s="20"/>
      <c r="CMC14" s="20"/>
      <c r="CMD14" s="20"/>
      <c r="CME14" s="20"/>
      <c r="CMF14" s="20"/>
      <c r="CMG14" s="20"/>
      <c r="CMH14" s="20"/>
      <c r="CMI14" s="20"/>
      <c r="CMJ14" s="20"/>
      <c r="CMK14" s="20"/>
      <c r="CML14" s="20"/>
      <c r="CMM14" s="20"/>
      <c r="CMN14" s="20"/>
      <c r="CMO14" s="20"/>
      <c r="CMP14" s="20"/>
      <c r="CMQ14" s="20"/>
      <c r="CMR14" s="20"/>
      <c r="CMS14" s="20"/>
      <c r="CMT14" s="20"/>
      <c r="CMU14" s="20"/>
      <c r="CMV14" s="20"/>
      <c r="CMW14" s="20"/>
      <c r="CMX14" s="20"/>
      <c r="CMY14" s="20"/>
      <c r="CMZ14" s="20"/>
      <c r="CNA14" s="20"/>
      <c r="CNB14" s="20"/>
      <c r="CNC14" s="20"/>
      <c r="CND14" s="20"/>
      <c r="CNE14" s="20"/>
      <c r="CNF14" s="20"/>
      <c r="CNG14" s="20"/>
      <c r="CNH14" s="20"/>
      <c r="CNI14" s="20"/>
      <c r="CNJ14" s="20"/>
      <c r="CNK14" s="20"/>
      <c r="CNL14" s="20"/>
      <c r="CNM14" s="20"/>
      <c r="CNN14" s="20"/>
      <c r="CNO14" s="20"/>
      <c r="CNP14" s="20"/>
      <c r="CNQ14" s="20"/>
      <c r="CNR14" s="20"/>
      <c r="CNS14" s="20"/>
      <c r="CNT14" s="20"/>
      <c r="CNU14" s="20"/>
      <c r="CNV14" s="20"/>
      <c r="CNW14" s="20"/>
      <c r="CNX14" s="20"/>
      <c r="CNY14" s="20"/>
      <c r="CNZ14" s="20"/>
      <c r="COA14" s="20"/>
      <c r="COB14" s="20"/>
      <c r="COC14" s="20"/>
      <c r="COD14" s="20"/>
      <c r="COE14" s="20"/>
      <c r="COF14" s="20"/>
      <c r="COG14" s="20"/>
      <c r="COH14" s="20"/>
      <c r="COI14" s="20"/>
      <c r="COJ14" s="20"/>
      <c r="COK14" s="20"/>
      <c r="COL14" s="20"/>
      <c r="COM14" s="20"/>
      <c r="CON14" s="20"/>
      <c r="COO14" s="20"/>
      <c r="COP14" s="20"/>
      <c r="COQ14" s="20"/>
      <c r="COR14" s="20"/>
      <c r="COS14" s="20"/>
      <c r="COT14" s="20"/>
      <c r="COU14" s="20"/>
      <c r="COV14" s="20"/>
      <c r="COW14" s="20"/>
      <c r="COX14" s="20"/>
      <c r="COY14" s="20"/>
      <c r="COZ14" s="20"/>
      <c r="CPA14" s="20"/>
      <c r="CPB14" s="20"/>
      <c r="CPC14" s="20"/>
      <c r="CPD14" s="20"/>
      <c r="CPE14" s="20"/>
      <c r="CPF14" s="20"/>
      <c r="CPG14" s="20"/>
      <c r="CPH14" s="20"/>
      <c r="CPI14" s="20"/>
      <c r="CPJ14" s="20"/>
      <c r="CPK14" s="20"/>
      <c r="CPL14" s="20"/>
      <c r="CPM14" s="20"/>
      <c r="CPN14" s="20"/>
      <c r="CPO14" s="20"/>
      <c r="CPP14" s="20"/>
      <c r="CPQ14" s="20"/>
      <c r="CPR14" s="20"/>
      <c r="CPS14" s="20"/>
      <c r="CPT14" s="20"/>
      <c r="CPU14" s="20"/>
      <c r="CPV14" s="20"/>
      <c r="CPW14" s="20"/>
      <c r="CPX14" s="20"/>
      <c r="CPY14" s="20"/>
      <c r="CPZ14" s="20"/>
      <c r="CQA14" s="20"/>
      <c r="CQB14" s="20"/>
      <c r="CQC14" s="20"/>
      <c r="CQD14" s="20"/>
      <c r="CQE14" s="20"/>
      <c r="CQF14" s="20"/>
      <c r="CQG14" s="20"/>
      <c r="CQH14" s="20"/>
      <c r="CQI14" s="20"/>
      <c r="CQJ14" s="20"/>
      <c r="CQK14" s="20"/>
      <c r="CQL14" s="20"/>
      <c r="CQM14" s="20"/>
      <c r="CQN14" s="20"/>
      <c r="CQO14" s="20"/>
      <c r="CQP14" s="20"/>
      <c r="CQQ14" s="20"/>
      <c r="CQR14" s="20"/>
      <c r="CQS14" s="20"/>
      <c r="CQT14" s="20"/>
      <c r="CQU14" s="20"/>
      <c r="CQV14" s="20"/>
      <c r="CQW14" s="20"/>
      <c r="CQX14" s="20"/>
      <c r="CQY14" s="20"/>
      <c r="CQZ14" s="20"/>
      <c r="CRA14" s="20"/>
      <c r="CRB14" s="20"/>
      <c r="CRC14" s="20"/>
      <c r="CRD14" s="20"/>
      <c r="CRE14" s="20"/>
      <c r="CRF14" s="20"/>
      <c r="CRG14" s="20"/>
      <c r="CRH14" s="20"/>
      <c r="CRI14" s="20"/>
      <c r="CRJ14" s="20"/>
      <c r="CRK14" s="20"/>
      <c r="CRL14" s="20"/>
      <c r="CRM14" s="20"/>
      <c r="CRN14" s="20"/>
      <c r="CRO14" s="20"/>
      <c r="CRP14" s="20"/>
      <c r="CRQ14" s="20"/>
      <c r="CRR14" s="20"/>
      <c r="CRS14" s="20"/>
      <c r="CRT14" s="20"/>
      <c r="CRU14" s="20"/>
      <c r="CRV14" s="20"/>
      <c r="CRW14" s="20"/>
      <c r="CRX14" s="20"/>
      <c r="CRY14" s="20"/>
      <c r="CRZ14" s="20"/>
      <c r="CSA14" s="20"/>
      <c r="CSB14" s="20"/>
      <c r="CSC14" s="20"/>
      <c r="CSD14" s="20"/>
      <c r="CSE14" s="20"/>
      <c r="CSF14" s="20"/>
      <c r="CSG14" s="20"/>
      <c r="CSH14" s="20"/>
      <c r="CSI14" s="20"/>
      <c r="CSJ14" s="20"/>
      <c r="CSK14" s="20"/>
      <c r="CSL14" s="20"/>
      <c r="CSM14" s="20"/>
      <c r="CSN14" s="20"/>
      <c r="CSO14" s="20"/>
      <c r="CSP14" s="20"/>
      <c r="CSQ14" s="20"/>
      <c r="CSR14" s="20"/>
      <c r="CSS14" s="20"/>
      <c r="CST14" s="20"/>
      <c r="CSU14" s="20"/>
      <c r="CSV14" s="20"/>
      <c r="CSW14" s="20"/>
      <c r="CSX14" s="20"/>
      <c r="CSY14" s="20"/>
      <c r="CSZ14" s="20"/>
      <c r="CTA14" s="20"/>
      <c r="CTB14" s="20"/>
      <c r="CTC14" s="20"/>
      <c r="CTD14" s="20"/>
      <c r="CTE14" s="20"/>
      <c r="CTF14" s="20"/>
      <c r="CTG14" s="20"/>
      <c r="CTH14" s="20"/>
      <c r="CTI14" s="20"/>
      <c r="CTJ14" s="20"/>
      <c r="CTK14" s="20"/>
      <c r="CTL14" s="20"/>
      <c r="CTM14" s="20"/>
      <c r="CTN14" s="20"/>
      <c r="CTO14" s="20"/>
      <c r="CTP14" s="20"/>
      <c r="CTQ14" s="20"/>
      <c r="CTR14" s="20"/>
      <c r="CTS14" s="20"/>
      <c r="CTT14" s="20"/>
      <c r="CTU14" s="20"/>
      <c r="CTV14" s="20"/>
      <c r="CTW14" s="20"/>
      <c r="CTX14" s="20"/>
      <c r="CTY14" s="20"/>
      <c r="CTZ14" s="20"/>
      <c r="CUA14" s="20"/>
      <c r="CUB14" s="20"/>
      <c r="CUC14" s="20"/>
      <c r="CUD14" s="20"/>
      <c r="CUE14" s="20"/>
      <c r="CUF14" s="20"/>
      <c r="CUG14" s="20"/>
      <c r="CUH14" s="20"/>
      <c r="CUI14" s="20"/>
      <c r="CUJ14" s="20"/>
      <c r="CUK14" s="20"/>
      <c r="CUL14" s="20"/>
      <c r="CUM14" s="20"/>
      <c r="CUN14" s="20"/>
      <c r="CUO14" s="20"/>
      <c r="CUP14" s="20"/>
      <c r="CUQ14" s="20"/>
      <c r="CUR14" s="20"/>
      <c r="CUS14" s="20"/>
      <c r="CUT14" s="20"/>
      <c r="CUU14" s="20"/>
      <c r="CUV14" s="20"/>
      <c r="CUW14" s="20"/>
      <c r="CUX14" s="20"/>
      <c r="CUY14" s="20"/>
      <c r="CUZ14" s="20"/>
      <c r="CVA14" s="20"/>
      <c r="CVB14" s="20"/>
      <c r="CVC14" s="20"/>
      <c r="CVD14" s="20"/>
      <c r="CVE14" s="20"/>
      <c r="CVF14" s="20"/>
      <c r="CVG14" s="20"/>
      <c r="CVH14" s="20"/>
      <c r="CVI14" s="20"/>
      <c r="CVJ14" s="20"/>
      <c r="CVK14" s="20"/>
      <c r="CVL14" s="20"/>
      <c r="CVM14" s="20"/>
      <c r="CVN14" s="20"/>
      <c r="CVO14" s="20"/>
      <c r="CVP14" s="20"/>
      <c r="CVQ14" s="20"/>
      <c r="CVR14" s="20"/>
      <c r="CVS14" s="20"/>
      <c r="CVT14" s="20"/>
      <c r="CVU14" s="20"/>
      <c r="CVV14" s="20"/>
      <c r="CVW14" s="20"/>
      <c r="CVX14" s="20"/>
      <c r="CVY14" s="20"/>
      <c r="CVZ14" s="20"/>
      <c r="CWA14" s="20"/>
      <c r="CWB14" s="20"/>
      <c r="CWC14" s="20"/>
      <c r="CWD14" s="20"/>
      <c r="CWE14" s="20"/>
      <c r="CWF14" s="20"/>
      <c r="CWG14" s="20"/>
      <c r="CWH14" s="20"/>
      <c r="CWI14" s="20"/>
      <c r="CWJ14" s="20"/>
      <c r="CWK14" s="20"/>
      <c r="CWL14" s="20"/>
      <c r="CWM14" s="20"/>
      <c r="CWN14" s="20"/>
      <c r="CWO14" s="20"/>
      <c r="CWP14" s="20"/>
      <c r="CWQ14" s="20"/>
      <c r="CWR14" s="20"/>
      <c r="CWS14" s="20"/>
      <c r="CWT14" s="20"/>
      <c r="CWU14" s="20"/>
      <c r="CWV14" s="20"/>
      <c r="CWW14" s="20"/>
      <c r="CWX14" s="20"/>
      <c r="CWY14" s="20"/>
      <c r="CWZ14" s="20"/>
      <c r="CXA14" s="20"/>
      <c r="CXB14" s="20"/>
      <c r="CXC14" s="20"/>
      <c r="CXD14" s="20"/>
      <c r="CXE14" s="20"/>
      <c r="CXF14" s="20"/>
      <c r="CXG14" s="20"/>
      <c r="CXH14" s="20"/>
      <c r="CXI14" s="20"/>
      <c r="CXJ14" s="20"/>
      <c r="CXK14" s="20"/>
      <c r="CXL14" s="20"/>
      <c r="CXM14" s="20"/>
      <c r="CXN14" s="20"/>
      <c r="CXO14" s="20"/>
      <c r="CXP14" s="20"/>
      <c r="CXQ14" s="20"/>
      <c r="CXR14" s="20"/>
      <c r="CXS14" s="20"/>
      <c r="CXT14" s="20"/>
      <c r="CXU14" s="20"/>
      <c r="CXV14" s="20"/>
      <c r="CXW14" s="20"/>
      <c r="CXX14" s="20"/>
      <c r="CXY14" s="20"/>
      <c r="CXZ14" s="20"/>
      <c r="CYA14" s="20"/>
      <c r="CYB14" s="20"/>
      <c r="CYC14" s="20"/>
      <c r="CYD14" s="20"/>
      <c r="CYE14" s="20"/>
      <c r="CYF14" s="20"/>
      <c r="CYG14" s="20"/>
      <c r="CYH14" s="20"/>
      <c r="CYI14" s="20"/>
      <c r="CYJ14" s="20"/>
      <c r="CYK14" s="20"/>
      <c r="CYL14" s="20"/>
      <c r="CYM14" s="20"/>
      <c r="CYN14" s="20"/>
      <c r="CYO14" s="20"/>
      <c r="CYP14" s="20"/>
      <c r="CYQ14" s="20"/>
      <c r="CYR14" s="20"/>
      <c r="CYS14" s="20"/>
      <c r="CYT14" s="20"/>
      <c r="CYU14" s="20"/>
      <c r="CYV14" s="20"/>
      <c r="CYW14" s="20"/>
      <c r="CYX14" s="20"/>
      <c r="CYY14" s="20"/>
      <c r="CYZ14" s="20"/>
      <c r="CZA14" s="20"/>
      <c r="CZB14" s="20"/>
      <c r="CZC14" s="20"/>
      <c r="CZD14" s="20"/>
      <c r="CZE14" s="20"/>
      <c r="CZF14" s="20"/>
      <c r="CZG14" s="20"/>
      <c r="CZH14" s="20"/>
      <c r="CZI14" s="20"/>
      <c r="CZJ14" s="20"/>
      <c r="CZK14" s="20"/>
      <c r="CZL14" s="20"/>
      <c r="CZM14" s="20"/>
      <c r="CZN14" s="20"/>
      <c r="CZO14" s="20"/>
      <c r="CZP14" s="20"/>
      <c r="CZQ14" s="20"/>
      <c r="CZR14" s="20"/>
      <c r="CZS14" s="20"/>
      <c r="CZT14" s="20"/>
      <c r="CZU14" s="20"/>
      <c r="CZV14" s="20"/>
      <c r="CZW14" s="20"/>
      <c r="CZX14" s="20"/>
      <c r="CZY14" s="20"/>
      <c r="CZZ14" s="20"/>
      <c r="DAA14" s="20"/>
      <c r="DAB14" s="20"/>
      <c r="DAC14" s="20"/>
      <c r="DAD14" s="20"/>
      <c r="DAE14" s="20"/>
      <c r="DAF14" s="20"/>
      <c r="DAG14" s="20"/>
      <c r="DAH14" s="20"/>
      <c r="DAI14" s="20"/>
      <c r="DAJ14" s="20"/>
      <c r="DAK14" s="20"/>
      <c r="DAL14" s="20"/>
      <c r="DAM14" s="20"/>
      <c r="DAN14" s="20"/>
      <c r="DAO14" s="20"/>
      <c r="DAP14" s="20"/>
      <c r="DAQ14" s="20"/>
      <c r="DAR14" s="20"/>
      <c r="DAS14" s="20"/>
      <c r="DAT14" s="20"/>
      <c r="DAU14" s="20"/>
      <c r="DAV14" s="20"/>
      <c r="DAW14" s="20"/>
      <c r="DAX14" s="20"/>
      <c r="DAY14" s="20"/>
      <c r="DAZ14" s="20"/>
      <c r="DBA14" s="20"/>
      <c r="DBB14" s="20"/>
      <c r="DBC14" s="20"/>
      <c r="DBD14" s="20"/>
      <c r="DBE14" s="20"/>
      <c r="DBF14" s="20"/>
      <c r="DBG14" s="20"/>
      <c r="DBH14" s="20"/>
      <c r="DBI14" s="20"/>
      <c r="DBJ14" s="20"/>
      <c r="DBK14" s="20"/>
      <c r="DBL14" s="20"/>
      <c r="DBM14" s="20"/>
      <c r="DBN14" s="20"/>
      <c r="DBO14" s="20"/>
      <c r="DBP14" s="20"/>
      <c r="DBQ14" s="20"/>
      <c r="DBR14" s="20"/>
      <c r="DBS14" s="20"/>
      <c r="DBT14" s="20"/>
      <c r="DBU14" s="20"/>
      <c r="DBV14" s="20"/>
      <c r="DBW14" s="20"/>
      <c r="DBX14" s="20"/>
      <c r="DBY14" s="20"/>
      <c r="DBZ14" s="20"/>
      <c r="DCA14" s="20"/>
      <c r="DCB14" s="20"/>
      <c r="DCC14" s="20"/>
      <c r="DCD14" s="20"/>
      <c r="DCE14" s="20"/>
      <c r="DCF14" s="20"/>
      <c r="DCG14" s="20"/>
      <c r="DCH14" s="20"/>
      <c r="DCI14" s="20"/>
      <c r="DCJ14" s="20"/>
      <c r="DCK14" s="20"/>
      <c r="DCL14" s="20"/>
      <c r="DCM14" s="20"/>
      <c r="DCN14" s="20"/>
      <c r="DCO14" s="20"/>
      <c r="DCP14" s="20"/>
      <c r="DCQ14" s="20"/>
      <c r="DCR14" s="20"/>
      <c r="DCS14" s="20"/>
      <c r="DCT14" s="20"/>
      <c r="DCU14" s="20"/>
      <c r="DCV14" s="20"/>
      <c r="DCW14" s="20"/>
      <c r="DCX14" s="20"/>
      <c r="DCY14" s="20"/>
      <c r="DCZ14" s="20"/>
      <c r="DDA14" s="20"/>
      <c r="DDB14" s="20"/>
      <c r="DDC14" s="20"/>
      <c r="DDD14" s="20"/>
      <c r="DDE14" s="20"/>
      <c r="DDF14" s="20"/>
      <c r="DDG14" s="20"/>
      <c r="DDH14" s="20"/>
      <c r="DDI14" s="20"/>
      <c r="DDJ14" s="20"/>
      <c r="DDK14" s="20"/>
      <c r="DDL14" s="20"/>
      <c r="DDM14" s="20"/>
      <c r="DDN14" s="20"/>
      <c r="DDO14" s="20"/>
      <c r="DDP14" s="20"/>
      <c r="DDQ14" s="20"/>
      <c r="DDR14" s="20"/>
      <c r="DDS14" s="20"/>
      <c r="DDT14" s="20"/>
      <c r="DDU14" s="20"/>
      <c r="DDV14" s="20"/>
      <c r="DDW14" s="20"/>
      <c r="DDX14" s="20"/>
      <c r="DDY14" s="20"/>
      <c r="DDZ14" s="20"/>
      <c r="DEA14" s="20"/>
      <c r="DEB14" s="20"/>
      <c r="DEC14" s="20"/>
      <c r="DED14" s="20"/>
      <c r="DEE14" s="20"/>
      <c r="DEF14" s="20"/>
      <c r="DEG14" s="20"/>
      <c r="DEH14" s="20"/>
      <c r="DEI14" s="20"/>
      <c r="DEJ14" s="20"/>
      <c r="DEK14" s="20"/>
      <c r="DEL14" s="20"/>
      <c r="DEM14" s="20"/>
      <c r="DEN14" s="20"/>
      <c r="DEO14" s="20"/>
      <c r="DEP14" s="20"/>
      <c r="DEQ14" s="20"/>
      <c r="DER14" s="20"/>
      <c r="DES14" s="20"/>
      <c r="DET14" s="20"/>
      <c r="DEU14" s="20"/>
      <c r="DEV14" s="20"/>
      <c r="DEW14" s="20"/>
      <c r="DEX14" s="20"/>
      <c r="DEY14" s="20"/>
      <c r="DEZ14" s="20"/>
      <c r="DFA14" s="20"/>
      <c r="DFB14" s="20"/>
      <c r="DFC14" s="20"/>
      <c r="DFD14" s="20"/>
      <c r="DFE14" s="20"/>
      <c r="DFF14" s="20"/>
      <c r="DFG14" s="20"/>
      <c r="DFH14" s="20"/>
      <c r="DFI14" s="20"/>
      <c r="DFJ14" s="20"/>
      <c r="DFK14" s="20"/>
      <c r="DFL14" s="20"/>
      <c r="DFM14" s="20"/>
      <c r="DFN14" s="20"/>
      <c r="DFO14" s="20"/>
      <c r="DFP14" s="20"/>
      <c r="DFQ14" s="20"/>
      <c r="DFR14" s="20"/>
      <c r="DFS14" s="20"/>
      <c r="DFT14" s="20"/>
      <c r="DFU14" s="20"/>
      <c r="DFV14" s="20"/>
      <c r="DFW14" s="20"/>
      <c r="DFX14" s="20"/>
      <c r="DFY14" s="20"/>
      <c r="DFZ14" s="20"/>
      <c r="DGA14" s="20"/>
      <c r="DGB14" s="20"/>
      <c r="DGC14" s="20"/>
      <c r="DGD14" s="20"/>
      <c r="DGE14" s="20"/>
      <c r="DGF14" s="20"/>
      <c r="DGG14" s="20"/>
      <c r="DGH14" s="20"/>
      <c r="DGI14" s="20"/>
      <c r="DGJ14" s="20"/>
      <c r="DGK14" s="20"/>
      <c r="DGL14" s="20"/>
      <c r="DGM14" s="20"/>
      <c r="DGN14" s="20"/>
      <c r="DGO14" s="20"/>
      <c r="DGP14" s="20"/>
      <c r="DGQ14" s="20"/>
      <c r="DGR14" s="20"/>
      <c r="DGS14" s="20"/>
      <c r="DGT14" s="20"/>
      <c r="DGU14" s="20"/>
      <c r="DGV14" s="20"/>
      <c r="DGW14" s="20"/>
      <c r="DGX14" s="20"/>
      <c r="DGY14" s="20"/>
      <c r="DGZ14" s="20"/>
      <c r="DHA14" s="20"/>
      <c r="DHB14" s="20"/>
      <c r="DHC14" s="20"/>
      <c r="DHD14" s="20"/>
      <c r="DHE14" s="20"/>
      <c r="DHF14" s="20"/>
      <c r="DHG14" s="20"/>
      <c r="DHH14" s="20"/>
      <c r="DHI14" s="20"/>
      <c r="DHJ14" s="20"/>
      <c r="DHK14" s="20"/>
      <c r="DHL14" s="20"/>
      <c r="DHM14" s="20"/>
      <c r="DHN14" s="20"/>
      <c r="DHO14" s="20"/>
      <c r="DHP14" s="20"/>
      <c r="DHQ14" s="20"/>
      <c r="DHR14" s="20"/>
      <c r="DHS14" s="20"/>
      <c r="DHT14" s="20"/>
      <c r="DHU14" s="20"/>
      <c r="DHV14" s="20"/>
      <c r="DHW14" s="20"/>
      <c r="DHX14" s="20"/>
      <c r="DHY14" s="20"/>
      <c r="DHZ14" s="20"/>
      <c r="DIA14" s="20"/>
      <c r="DIB14" s="20"/>
      <c r="DIC14" s="20"/>
      <c r="DID14" s="20"/>
      <c r="DIE14" s="20"/>
      <c r="DIF14" s="20"/>
      <c r="DIG14" s="20"/>
      <c r="DIH14" s="20"/>
      <c r="DII14" s="20"/>
      <c r="DIJ14" s="20"/>
      <c r="DIK14" s="20"/>
      <c r="DIL14" s="20"/>
      <c r="DIM14" s="20"/>
      <c r="DIN14" s="20"/>
      <c r="DIO14" s="20"/>
      <c r="DIP14" s="20"/>
      <c r="DIQ14" s="20"/>
      <c r="DIR14" s="20"/>
      <c r="DIS14" s="20"/>
      <c r="DIT14" s="20"/>
      <c r="DIU14" s="20"/>
      <c r="DIV14" s="20"/>
      <c r="DIW14" s="20"/>
      <c r="DIX14" s="20"/>
      <c r="DIY14" s="20"/>
      <c r="DIZ14" s="20"/>
      <c r="DJA14" s="20"/>
      <c r="DJB14" s="20"/>
      <c r="DJC14" s="20"/>
      <c r="DJD14" s="20"/>
      <c r="DJE14" s="20"/>
      <c r="DJF14" s="20"/>
      <c r="DJG14" s="20"/>
      <c r="DJH14" s="20"/>
      <c r="DJI14" s="20"/>
      <c r="DJJ14" s="20"/>
      <c r="DJK14" s="20"/>
      <c r="DJL14" s="20"/>
      <c r="DJM14" s="20"/>
      <c r="DJN14" s="20"/>
      <c r="DJO14" s="20"/>
      <c r="DJP14" s="20"/>
      <c r="DJQ14" s="20"/>
      <c r="DJR14" s="20"/>
      <c r="DJS14" s="20"/>
      <c r="DJT14" s="20"/>
      <c r="DJU14" s="20"/>
      <c r="DJV14" s="20"/>
      <c r="DJW14" s="20"/>
      <c r="DJX14" s="20"/>
      <c r="DJY14" s="20"/>
      <c r="DJZ14" s="20"/>
      <c r="DKA14" s="20"/>
      <c r="DKB14" s="20"/>
      <c r="DKC14" s="20"/>
      <c r="DKD14" s="20"/>
      <c r="DKE14" s="20"/>
      <c r="DKF14" s="20"/>
      <c r="DKG14" s="20"/>
      <c r="DKH14" s="20"/>
      <c r="DKI14" s="20"/>
      <c r="DKJ14" s="20"/>
      <c r="DKK14" s="20"/>
      <c r="DKL14" s="20"/>
      <c r="DKM14" s="20"/>
      <c r="DKN14" s="20"/>
      <c r="DKO14" s="20"/>
      <c r="DKP14" s="20"/>
      <c r="DKQ14" s="20"/>
      <c r="DKR14" s="20"/>
      <c r="DKS14" s="20"/>
      <c r="DKT14" s="20"/>
      <c r="DKU14" s="20"/>
      <c r="DKV14" s="20"/>
      <c r="DKW14" s="20"/>
      <c r="DKX14" s="20"/>
      <c r="DKY14" s="20"/>
      <c r="DKZ14" s="20"/>
      <c r="DLA14" s="20"/>
      <c r="DLB14" s="20"/>
      <c r="DLC14" s="20"/>
      <c r="DLD14" s="20"/>
      <c r="DLE14" s="20"/>
      <c r="DLF14" s="20"/>
      <c r="DLG14" s="20"/>
      <c r="DLH14" s="20"/>
      <c r="DLI14" s="20"/>
      <c r="DLJ14" s="20"/>
      <c r="DLK14" s="20"/>
      <c r="DLL14" s="20"/>
      <c r="DLM14" s="20"/>
      <c r="DLN14" s="20"/>
      <c r="DLO14" s="20"/>
      <c r="DLP14" s="20"/>
      <c r="DLQ14" s="20"/>
      <c r="DLR14" s="20"/>
      <c r="DLS14" s="20"/>
      <c r="DLT14" s="20"/>
      <c r="DLU14" s="20"/>
      <c r="DLV14" s="20"/>
      <c r="DLW14" s="20"/>
      <c r="DLX14" s="20"/>
      <c r="DLY14" s="20"/>
      <c r="DLZ14" s="20"/>
      <c r="DMA14" s="20"/>
      <c r="DMB14" s="20"/>
      <c r="DMC14" s="20"/>
      <c r="DMD14" s="20"/>
      <c r="DME14" s="20"/>
      <c r="DMF14" s="20"/>
      <c r="DMG14" s="20"/>
      <c r="DMH14" s="20"/>
      <c r="DMI14" s="20"/>
      <c r="DMJ14" s="20"/>
      <c r="DMK14" s="20"/>
      <c r="DML14" s="20"/>
      <c r="DMM14" s="20"/>
      <c r="DMN14" s="20"/>
      <c r="DMO14" s="20"/>
      <c r="DMP14" s="20"/>
      <c r="DMQ14" s="20"/>
      <c r="DMR14" s="20"/>
      <c r="DMS14" s="20"/>
      <c r="DMT14" s="20"/>
      <c r="DMU14" s="20"/>
      <c r="DMV14" s="20"/>
      <c r="DMW14" s="20"/>
      <c r="DMX14" s="20"/>
      <c r="DMY14" s="20"/>
      <c r="DMZ14" s="20"/>
      <c r="DNA14" s="20"/>
      <c r="DNB14" s="20"/>
      <c r="DNC14" s="20"/>
      <c r="DND14" s="20"/>
      <c r="DNE14" s="20"/>
      <c r="DNF14" s="20"/>
      <c r="DNG14" s="20"/>
      <c r="DNH14" s="20"/>
      <c r="DNI14" s="20"/>
      <c r="DNJ14" s="20"/>
      <c r="DNK14" s="20"/>
      <c r="DNL14" s="20"/>
      <c r="DNM14" s="20"/>
      <c r="DNN14" s="20"/>
      <c r="DNO14" s="20"/>
      <c r="DNP14" s="20"/>
      <c r="DNQ14" s="20"/>
      <c r="DNR14" s="20"/>
      <c r="DNS14" s="20"/>
      <c r="DNT14" s="20"/>
      <c r="DNU14" s="20"/>
      <c r="DNV14" s="20"/>
      <c r="DNW14" s="20"/>
      <c r="DNX14" s="20"/>
      <c r="DNY14" s="20"/>
      <c r="DNZ14" s="20"/>
      <c r="DOA14" s="20"/>
      <c r="DOB14" s="20"/>
      <c r="DOC14" s="20"/>
      <c r="DOD14" s="20"/>
      <c r="DOE14" s="20"/>
      <c r="DOF14" s="20"/>
      <c r="DOG14" s="20"/>
      <c r="DOH14" s="20"/>
      <c r="DOI14" s="20"/>
      <c r="DOJ14" s="20"/>
      <c r="DOK14" s="20"/>
      <c r="DOL14" s="20"/>
      <c r="DOM14" s="20"/>
      <c r="DON14" s="20"/>
      <c r="DOO14" s="20"/>
      <c r="DOP14" s="20"/>
      <c r="DOQ14" s="20"/>
      <c r="DOR14" s="20"/>
      <c r="DOS14" s="20"/>
      <c r="DOT14" s="20"/>
      <c r="DOU14" s="20"/>
      <c r="DOV14" s="20"/>
      <c r="DOW14" s="20"/>
      <c r="DOX14" s="20"/>
      <c r="DOY14" s="20"/>
      <c r="DOZ14" s="20"/>
      <c r="DPA14" s="20"/>
      <c r="DPB14" s="20"/>
      <c r="DPC14" s="20"/>
      <c r="DPD14" s="20"/>
      <c r="DPE14" s="20"/>
      <c r="DPF14" s="20"/>
      <c r="DPG14" s="20"/>
      <c r="DPH14" s="20"/>
      <c r="DPI14" s="20"/>
      <c r="DPJ14" s="20"/>
      <c r="DPK14" s="20"/>
      <c r="DPL14" s="20"/>
      <c r="DPM14" s="20"/>
      <c r="DPN14" s="20"/>
      <c r="DPO14" s="20"/>
      <c r="DPP14" s="20"/>
      <c r="DPQ14" s="20"/>
      <c r="DPR14" s="20"/>
      <c r="DPS14" s="20"/>
      <c r="DPT14" s="20"/>
      <c r="DPU14" s="20"/>
      <c r="DPV14" s="20"/>
      <c r="DPW14" s="20"/>
      <c r="DPX14" s="20"/>
      <c r="DPY14" s="20"/>
      <c r="DPZ14" s="20"/>
      <c r="DQA14" s="20"/>
      <c r="DQB14" s="20"/>
      <c r="DQC14" s="20"/>
      <c r="DQD14" s="20"/>
      <c r="DQE14" s="20"/>
      <c r="DQF14" s="20"/>
      <c r="DQG14" s="20"/>
      <c r="DQH14" s="20"/>
      <c r="DQI14" s="20"/>
      <c r="DQJ14" s="20"/>
      <c r="DQK14" s="20"/>
      <c r="DQL14" s="20"/>
      <c r="DQM14" s="20"/>
      <c r="DQN14" s="20"/>
      <c r="DQO14" s="20"/>
      <c r="DQP14" s="20"/>
      <c r="DQQ14" s="20"/>
      <c r="DQR14" s="20"/>
      <c r="DQS14" s="20"/>
      <c r="DQT14" s="20"/>
      <c r="DQU14" s="20"/>
      <c r="DQV14" s="20"/>
      <c r="DQW14" s="20"/>
      <c r="DQX14" s="20"/>
      <c r="DQY14" s="20"/>
      <c r="DQZ14" s="20"/>
      <c r="DRA14" s="20"/>
      <c r="DRB14" s="20"/>
      <c r="DRC14" s="20"/>
      <c r="DRD14" s="20"/>
      <c r="DRE14" s="20"/>
      <c r="DRF14" s="20"/>
      <c r="DRG14" s="20"/>
      <c r="DRH14" s="20"/>
      <c r="DRI14" s="20"/>
      <c r="DRJ14" s="20"/>
      <c r="DRK14" s="20"/>
      <c r="DRL14" s="20"/>
      <c r="DRM14" s="20"/>
      <c r="DRN14" s="20"/>
      <c r="DRO14" s="20"/>
      <c r="DRP14" s="20"/>
      <c r="DRQ14" s="20"/>
      <c r="DRR14" s="20"/>
      <c r="DRS14" s="20"/>
      <c r="DRT14" s="20"/>
      <c r="DRU14" s="20"/>
      <c r="DRV14" s="20"/>
      <c r="DRW14" s="20"/>
      <c r="DRX14" s="20"/>
      <c r="DRY14" s="20"/>
      <c r="DRZ14" s="20"/>
      <c r="DSA14" s="20"/>
      <c r="DSB14" s="20"/>
      <c r="DSC14" s="20"/>
      <c r="DSD14" s="20"/>
      <c r="DSE14" s="20"/>
      <c r="DSF14" s="20"/>
      <c r="DSG14" s="20"/>
      <c r="DSH14" s="20"/>
      <c r="DSI14" s="20"/>
      <c r="DSJ14" s="20"/>
      <c r="DSK14" s="20"/>
      <c r="DSL14" s="20"/>
      <c r="DSM14" s="20"/>
      <c r="DSN14" s="20"/>
      <c r="DSO14" s="20"/>
      <c r="DSP14" s="20"/>
      <c r="DSQ14" s="20"/>
      <c r="DSR14" s="20"/>
      <c r="DSS14" s="20"/>
      <c r="DST14" s="20"/>
      <c r="DSU14" s="20"/>
      <c r="DSV14" s="20"/>
      <c r="DSW14" s="20"/>
      <c r="DSX14" s="20"/>
      <c r="DSY14" s="20"/>
      <c r="DSZ14" s="20"/>
      <c r="DTA14" s="20"/>
      <c r="DTB14" s="20"/>
      <c r="DTC14" s="20"/>
      <c r="DTD14" s="20"/>
      <c r="DTE14" s="20"/>
      <c r="DTF14" s="20"/>
      <c r="DTG14" s="20"/>
      <c r="DTH14" s="20"/>
      <c r="DTI14" s="20"/>
      <c r="DTJ14" s="20"/>
      <c r="DTK14" s="20"/>
      <c r="DTL14" s="20"/>
      <c r="DTM14" s="20"/>
      <c r="DTN14" s="20"/>
      <c r="DTO14" s="20"/>
      <c r="DTP14" s="20"/>
      <c r="DTQ14" s="20"/>
      <c r="DTR14" s="20"/>
      <c r="DTS14" s="20"/>
      <c r="DTT14" s="20"/>
      <c r="DTU14" s="20"/>
      <c r="DTV14" s="20"/>
      <c r="DTW14" s="20"/>
      <c r="DTX14" s="20"/>
      <c r="DTY14" s="20"/>
      <c r="DTZ14" s="20"/>
      <c r="DUA14" s="20"/>
      <c r="DUB14" s="20"/>
      <c r="DUC14" s="20"/>
      <c r="DUD14" s="20"/>
      <c r="DUE14" s="20"/>
      <c r="DUF14" s="20"/>
      <c r="DUG14" s="20"/>
      <c r="DUH14" s="20"/>
      <c r="DUI14" s="20"/>
      <c r="DUJ14" s="20"/>
      <c r="DUK14" s="20"/>
      <c r="DUL14" s="20"/>
      <c r="DUM14" s="20"/>
      <c r="DUN14" s="20"/>
      <c r="DUO14" s="20"/>
      <c r="DUP14" s="20"/>
      <c r="DUQ14" s="20"/>
      <c r="DUR14" s="20"/>
      <c r="DUS14" s="20"/>
      <c r="DUT14" s="20"/>
      <c r="DUU14" s="20"/>
      <c r="DUV14" s="20"/>
      <c r="DUW14" s="20"/>
      <c r="DUX14" s="20"/>
      <c r="DUY14" s="20"/>
      <c r="DUZ14" s="20"/>
      <c r="DVA14" s="20"/>
      <c r="DVB14" s="20"/>
      <c r="DVC14" s="20"/>
      <c r="DVD14" s="20"/>
      <c r="DVE14" s="20"/>
      <c r="DVF14" s="20"/>
      <c r="DVG14" s="20"/>
      <c r="DVH14" s="20"/>
      <c r="DVI14" s="20"/>
      <c r="DVJ14" s="20"/>
      <c r="DVK14" s="20"/>
      <c r="DVL14" s="20"/>
      <c r="DVM14" s="20"/>
      <c r="DVN14" s="20"/>
      <c r="DVO14" s="20"/>
      <c r="DVP14" s="20"/>
      <c r="DVQ14" s="20"/>
      <c r="DVR14" s="20"/>
      <c r="DVS14" s="20"/>
      <c r="DVT14" s="20"/>
      <c r="DVU14" s="20"/>
      <c r="DVV14" s="20"/>
      <c r="DVW14" s="20"/>
      <c r="DVX14" s="20"/>
      <c r="DVY14" s="20"/>
      <c r="DVZ14" s="20"/>
      <c r="DWA14" s="20"/>
      <c r="DWB14" s="20"/>
      <c r="DWC14" s="20"/>
      <c r="DWD14" s="20"/>
      <c r="DWE14" s="20"/>
      <c r="DWF14" s="20"/>
      <c r="DWG14" s="20"/>
      <c r="DWH14" s="20"/>
      <c r="DWI14" s="20"/>
      <c r="DWJ14" s="20"/>
      <c r="DWK14" s="20"/>
      <c r="DWL14" s="20"/>
      <c r="DWM14" s="20"/>
      <c r="DWN14" s="20"/>
      <c r="DWO14" s="20"/>
      <c r="DWP14" s="20"/>
      <c r="DWQ14" s="20"/>
      <c r="DWR14" s="20"/>
      <c r="DWS14" s="20"/>
      <c r="DWT14" s="20"/>
      <c r="DWU14" s="20"/>
      <c r="DWV14" s="20"/>
      <c r="DWW14" s="20"/>
      <c r="DWX14" s="20"/>
      <c r="DWY14" s="20"/>
      <c r="DWZ14" s="20"/>
      <c r="DXA14" s="20"/>
      <c r="DXB14" s="20"/>
      <c r="DXC14" s="20"/>
      <c r="DXD14" s="20"/>
      <c r="DXE14" s="20"/>
      <c r="DXF14" s="20"/>
      <c r="DXG14" s="20"/>
      <c r="DXH14" s="20"/>
      <c r="DXI14" s="20"/>
      <c r="DXJ14" s="20"/>
      <c r="DXK14" s="20"/>
      <c r="DXL14" s="20"/>
      <c r="DXM14" s="20"/>
      <c r="DXN14" s="20"/>
      <c r="DXO14" s="20"/>
      <c r="DXP14" s="20"/>
      <c r="DXQ14" s="20"/>
      <c r="DXR14" s="20"/>
      <c r="DXS14" s="20"/>
      <c r="DXT14" s="20"/>
      <c r="DXU14" s="20"/>
      <c r="DXV14" s="20"/>
      <c r="DXW14" s="20"/>
      <c r="DXX14" s="20"/>
      <c r="DXY14" s="20"/>
      <c r="DXZ14" s="20"/>
      <c r="DYA14" s="20"/>
      <c r="DYB14" s="20"/>
      <c r="DYC14" s="20"/>
      <c r="DYD14" s="20"/>
      <c r="DYE14" s="20"/>
      <c r="DYF14" s="20"/>
      <c r="DYG14" s="20"/>
      <c r="DYH14" s="20"/>
      <c r="DYI14" s="20"/>
      <c r="DYJ14" s="20"/>
      <c r="DYK14" s="20"/>
      <c r="DYL14" s="20"/>
      <c r="DYM14" s="20"/>
      <c r="DYN14" s="20"/>
      <c r="DYO14" s="20"/>
      <c r="DYP14" s="20"/>
      <c r="DYQ14" s="20"/>
      <c r="DYR14" s="20"/>
      <c r="DYS14" s="20"/>
      <c r="DYT14" s="20"/>
      <c r="DYU14" s="20"/>
      <c r="DYV14" s="20"/>
      <c r="DYW14" s="20"/>
      <c r="DYX14" s="20"/>
      <c r="DYY14" s="20"/>
      <c r="DYZ14" s="20"/>
      <c r="DZA14" s="20"/>
      <c r="DZB14" s="20"/>
      <c r="DZC14" s="20"/>
      <c r="DZD14" s="20"/>
      <c r="DZE14" s="20"/>
      <c r="DZF14" s="20"/>
      <c r="DZG14" s="20"/>
      <c r="DZH14" s="20"/>
      <c r="DZI14" s="20"/>
      <c r="DZJ14" s="20"/>
      <c r="DZK14" s="20"/>
      <c r="DZL14" s="20"/>
      <c r="DZM14" s="20"/>
      <c r="DZN14" s="20"/>
      <c r="DZO14" s="20"/>
      <c r="DZP14" s="20"/>
      <c r="DZQ14" s="20"/>
      <c r="DZR14" s="20"/>
      <c r="DZS14" s="20"/>
      <c r="DZT14" s="20"/>
      <c r="DZU14" s="20"/>
      <c r="DZV14" s="20"/>
      <c r="DZW14" s="20"/>
      <c r="DZX14" s="20"/>
      <c r="DZY14" s="20"/>
      <c r="DZZ14" s="20"/>
      <c r="EAA14" s="20"/>
      <c r="EAB14" s="20"/>
      <c r="EAC14" s="20"/>
      <c r="EAD14" s="20"/>
      <c r="EAE14" s="20"/>
      <c r="EAF14" s="20"/>
      <c r="EAG14" s="20"/>
      <c r="EAH14" s="20"/>
      <c r="EAI14" s="20"/>
      <c r="EAJ14" s="20"/>
      <c r="EAK14" s="20"/>
      <c r="EAL14" s="20"/>
      <c r="EAM14" s="20"/>
      <c r="EAN14" s="20"/>
      <c r="EAO14" s="20"/>
      <c r="EAP14" s="20"/>
      <c r="EAQ14" s="20"/>
      <c r="EAR14" s="20"/>
      <c r="EAS14" s="20"/>
      <c r="EAT14" s="20"/>
      <c r="EAU14" s="20"/>
      <c r="EAV14" s="20"/>
      <c r="EAW14" s="20"/>
      <c r="EAX14" s="20"/>
      <c r="EAY14" s="20"/>
      <c r="EAZ14" s="20"/>
      <c r="EBA14" s="20"/>
      <c r="EBB14" s="20"/>
      <c r="EBC14" s="20"/>
      <c r="EBD14" s="20"/>
      <c r="EBE14" s="20"/>
      <c r="EBF14" s="20"/>
      <c r="EBG14" s="20"/>
      <c r="EBH14" s="20"/>
      <c r="EBI14" s="20"/>
      <c r="EBJ14" s="20"/>
      <c r="EBK14" s="20"/>
      <c r="EBL14" s="20"/>
      <c r="EBM14" s="20"/>
      <c r="EBN14" s="20"/>
      <c r="EBO14" s="20"/>
      <c r="EBP14" s="20"/>
      <c r="EBQ14" s="20"/>
      <c r="EBR14" s="20"/>
      <c r="EBS14" s="20"/>
      <c r="EBT14" s="20"/>
      <c r="EBU14" s="20"/>
      <c r="EBV14" s="20"/>
      <c r="EBW14" s="20"/>
      <c r="EBX14" s="20"/>
      <c r="EBY14" s="20"/>
      <c r="EBZ14" s="20"/>
      <c r="ECA14" s="20"/>
      <c r="ECB14" s="20"/>
      <c r="ECC14" s="20"/>
      <c r="ECD14" s="20"/>
      <c r="ECE14" s="20"/>
      <c r="ECF14" s="20"/>
      <c r="ECG14" s="20"/>
      <c r="ECH14" s="20"/>
      <c r="ECI14" s="20"/>
      <c r="ECJ14" s="20"/>
      <c r="ECK14" s="20"/>
      <c r="ECL14" s="20"/>
      <c r="ECM14" s="20"/>
      <c r="ECN14" s="20"/>
      <c r="ECO14" s="20"/>
      <c r="ECP14" s="20"/>
      <c r="ECQ14" s="20"/>
      <c r="ECR14" s="20"/>
      <c r="ECS14" s="20"/>
      <c r="ECT14" s="20"/>
      <c r="ECU14" s="20"/>
      <c r="ECV14" s="20"/>
      <c r="ECW14" s="20"/>
      <c r="ECX14" s="20"/>
      <c r="ECY14" s="20"/>
      <c r="ECZ14" s="20"/>
      <c r="EDA14" s="20"/>
      <c r="EDB14" s="20"/>
      <c r="EDC14" s="20"/>
      <c r="EDD14" s="20"/>
      <c r="EDE14" s="20"/>
      <c r="EDF14" s="20"/>
      <c r="EDG14" s="20"/>
      <c r="EDH14" s="20"/>
      <c r="EDI14" s="20"/>
      <c r="EDJ14" s="20"/>
      <c r="EDK14" s="20"/>
      <c r="EDL14" s="20"/>
      <c r="EDM14" s="20"/>
      <c r="EDN14" s="20"/>
      <c r="EDO14" s="20"/>
      <c r="EDP14" s="20"/>
      <c r="EDQ14" s="20"/>
      <c r="EDR14" s="20"/>
      <c r="EDS14" s="20"/>
      <c r="EDT14" s="20"/>
      <c r="EDU14" s="20"/>
      <c r="EDV14" s="20"/>
      <c r="EDW14" s="20"/>
      <c r="EDX14" s="20"/>
      <c r="EDY14" s="20"/>
      <c r="EDZ14" s="20"/>
      <c r="EEA14" s="20"/>
      <c r="EEB14" s="20"/>
      <c r="EEC14" s="20"/>
      <c r="EED14" s="20"/>
      <c r="EEE14" s="20"/>
      <c r="EEF14" s="20"/>
      <c r="EEG14" s="20"/>
      <c r="EEH14" s="20"/>
      <c r="EEI14" s="20"/>
      <c r="EEJ14" s="20"/>
      <c r="EEK14" s="20"/>
      <c r="EEL14" s="20"/>
      <c r="EEM14" s="20"/>
      <c r="EEN14" s="20"/>
      <c r="EEO14" s="20"/>
      <c r="EEP14" s="20"/>
      <c r="EEQ14" s="20"/>
      <c r="EER14" s="20"/>
      <c r="EES14" s="20"/>
      <c r="EET14" s="20"/>
      <c r="EEU14" s="20"/>
      <c r="EEV14" s="20"/>
      <c r="EEW14" s="20"/>
      <c r="EEX14" s="20"/>
      <c r="EEY14" s="20"/>
      <c r="EEZ14" s="20"/>
      <c r="EFA14" s="20"/>
      <c r="EFB14" s="20"/>
      <c r="EFC14" s="20"/>
      <c r="EFD14" s="20"/>
      <c r="EFE14" s="20"/>
      <c r="EFF14" s="20"/>
      <c r="EFG14" s="20"/>
      <c r="EFH14" s="20"/>
      <c r="EFI14" s="20"/>
      <c r="EFJ14" s="20"/>
      <c r="EFK14" s="20"/>
      <c r="EFL14" s="20"/>
      <c r="EFM14" s="20"/>
      <c r="EFN14" s="20"/>
      <c r="EFO14" s="20"/>
      <c r="EFP14" s="20"/>
      <c r="EFQ14" s="20"/>
      <c r="EFR14" s="20"/>
      <c r="EFS14" s="20"/>
      <c r="EFT14" s="20"/>
      <c r="EFU14" s="20"/>
      <c r="EFV14" s="20"/>
      <c r="EFW14" s="20"/>
      <c r="EFX14" s="20"/>
      <c r="EFY14" s="20"/>
      <c r="EFZ14" s="20"/>
      <c r="EGA14" s="20"/>
      <c r="EGB14" s="20"/>
      <c r="EGC14" s="20"/>
      <c r="EGD14" s="20"/>
      <c r="EGE14" s="20"/>
      <c r="EGF14" s="20"/>
      <c r="EGG14" s="20"/>
      <c r="EGH14" s="20"/>
      <c r="EGI14" s="20"/>
      <c r="EGJ14" s="20"/>
      <c r="EGK14" s="20"/>
      <c r="EGL14" s="20"/>
      <c r="EGM14" s="20"/>
      <c r="EGN14" s="20"/>
      <c r="EGO14" s="20"/>
      <c r="EGP14" s="20"/>
      <c r="EGQ14" s="20"/>
      <c r="EGR14" s="20"/>
      <c r="EGS14" s="20"/>
      <c r="EGT14" s="20"/>
      <c r="EGU14" s="20"/>
      <c r="EGV14" s="20"/>
      <c r="EGW14" s="20"/>
      <c r="EGX14" s="20"/>
      <c r="EGY14" s="20"/>
      <c r="EGZ14" s="20"/>
      <c r="EHA14" s="20"/>
      <c r="EHB14" s="20"/>
      <c r="EHC14" s="20"/>
      <c r="EHD14" s="20"/>
      <c r="EHE14" s="20"/>
      <c r="EHF14" s="20"/>
      <c r="EHG14" s="20"/>
      <c r="EHH14" s="20"/>
      <c r="EHI14" s="20"/>
      <c r="EHJ14" s="20"/>
      <c r="EHK14" s="20"/>
      <c r="EHL14" s="20"/>
      <c r="EHM14" s="20"/>
      <c r="EHN14" s="20"/>
      <c r="EHO14" s="20"/>
      <c r="EHP14" s="20"/>
      <c r="EHQ14" s="20"/>
      <c r="EHR14" s="20"/>
      <c r="EHS14" s="20"/>
      <c r="EHT14" s="20"/>
      <c r="EHU14" s="20"/>
      <c r="EHV14" s="20"/>
      <c r="EHW14" s="20"/>
      <c r="EHX14" s="20"/>
      <c r="EHY14" s="20"/>
      <c r="EHZ14" s="20"/>
      <c r="EIA14" s="20"/>
      <c r="EIB14" s="20"/>
      <c r="EIC14" s="20"/>
      <c r="EID14" s="20"/>
      <c r="EIE14" s="20"/>
      <c r="EIF14" s="20"/>
      <c r="EIG14" s="20"/>
      <c r="EIH14" s="20"/>
      <c r="EII14" s="20"/>
      <c r="EIJ14" s="20"/>
      <c r="EIK14" s="20"/>
      <c r="EIL14" s="20"/>
      <c r="EIM14" s="20"/>
      <c r="EIN14" s="20"/>
      <c r="EIO14" s="20"/>
      <c r="EIP14" s="20"/>
      <c r="EIQ14" s="20"/>
      <c r="EIR14" s="20"/>
      <c r="EIS14" s="20"/>
      <c r="EIT14" s="20"/>
      <c r="EIU14" s="20"/>
      <c r="EIV14" s="20"/>
      <c r="EIW14" s="20"/>
      <c r="EIX14" s="20"/>
      <c r="EIY14" s="20"/>
      <c r="EIZ14" s="20"/>
      <c r="EJA14" s="20"/>
      <c r="EJB14" s="20"/>
      <c r="EJC14" s="20"/>
      <c r="EJD14" s="20"/>
      <c r="EJE14" s="20"/>
      <c r="EJF14" s="20"/>
      <c r="EJG14" s="20"/>
      <c r="EJH14" s="20"/>
      <c r="EJI14" s="20"/>
      <c r="EJJ14" s="20"/>
      <c r="EJK14" s="20"/>
      <c r="EJL14" s="20"/>
      <c r="EJM14" s="20"/>
      <c r="EJN14" s="20"/>
      <c r="EJO14" s="20"/>
      <c r="EJP14" s="20"/>
      <c r="EJQ14" s="20"/>
      <c r="EJR14" s="20"/>
      <c r="EJS14" s="20"/>
      <c r="EJT14" s="20"/>
      <c r="EJU14" s="20"/>
      <c r="EJV14" s="20"/>
      <c r="EJW14" s="20"/>
      <c r="EJX14" s="20"/>
      <c r="EJY14" s="20"/>
      <c r="EJZ14" s="20"/>
      <c r="EKA14" s="20"/>
      <c r="EKB14" s="20"/>
      <c r="EKC14" s="20"/>
      <c r="EKD14" s="20"/>
      <c r="EKE14" s="20"/>
      <c r="EKF14" s="20"/>
      <c r="EKG14" s="20"/>
      <c r="EKH14" s="20"/>
      <c r="EKI14" s="20"/>
      <c r="EKJ14" s="20"/>
      <c r="EKK14" s="20"/>
      <c r="EKL14" s="20"/>
      <c r="EKM14" s="20"/>
      <c r="EKN14" s="20"/>
      <c r="EKO14" s="20"/>
      <c r="EKP14" s="20"/>
      <c r="EKQ14" s="20"/>
      <c r="EKR14" s="20"/>
      <c r="EKS14" s="20"/>
      <c r="EKT14" s="20"/>
      <c r="EKU14" s="20"/>
      <c r="EKV14" s="20"/>
      <c r="EKW14" s="20"/>
      <c r="EKX14" s="20"/>
      <c r="EKY14" s="20"/>
      <c r="EKZ14" s="20"/>
      <c r="ELA14" s="20"/>
      <c r="ELB14" s="20"/>
      <c r="ELC14" s="20"/>
      <c r="ELD14" s="20"/>
      <c r="ELE14" s="20"/>
      <c r="ELF14" s="20"/>
      <c r="ELG14" s="20"/>
      <c r="ELH14" s="20"/>
      <c r="ELI14" s="20"/>
      <c r="ELJ14" s="20"/>
      <c r="ELK14" s="20"/>
      <c r="ELL14" s="20"/>
      <c r="ELM14" s="20"/>
      <c r="ELN14" s="20"/>
      <c r="ELO14" s="20"/>
      <c r="ELP14" s="20"/>
      <c r="ELQ14" s="20"/>
      <c r="ELR14" s="20"/>
      <c r="ELS14" s="20"/>
      <c r="ELT14" s="20"/>
      <c r="ELU14" s="20"/>
      <c r="ELV14" s="20"/>
      <c r="ELW14" s="20"/>
      <c r="ELX14" s="20"/>
      <c r="ELY14" s="20"/>
      <c r="ELZ14" s="20"/>
      <c r="EMA14" s="20"/>
      <c r="EMB14" s="20"/>
      <c r="EMC14" s="20"/>
      <c r="EMD14" s="20"/>
      <c r="EME14" s="20"/>
      <c r="EMF14" s="20"/>
      <c r="EMG14" s="20"/>
      <c r="EMH14" s="20"/>
      <c r="EMI14" s="20"/>
      <c r="EMJ14" s="20"/>
      <c r="EMK14" s="20"/>
      <c r="EML14" s="20"/>
      <c r="EMM14" s="20"/>
      <c r="EMN14" s="20"/>
      <c r="EMO14" s="20"/>
      <c r="EMP14" s="20"/>
      <c r="EMQ14" s="20"/>
      <c r="EMR14" s="20"/>
      <c r="EMS14" s="20"/>
      <c r="EMT14" s="20"/>
      <c r="EMU14" s="20"/>
      <c r="EMV14" s="20"/>
      <c r="EMW14" s="20"/>
      <c r="EMX14" s="20"/>
      <c r="EMY14" s="20"/>
      <c r="EMZ14" s="20"/>
      <c r="ENA14" s="20"/>
      <c r="ENB14" s="20"/>
      <c r="ENC14" s="20"/>
      <c r="END14" s="20"/>
      <c r="ENE14" s="20"/>
      <c r="ENF14" s="20"/>
      <c r="ENG14" s="20"/>
      <c r="ENH14" s="20"/>
      <c r="ENI14" s="20"/>
      <c r="ENJ14" s="20"/>
      <c r="ENK14" s="20"/>
      <c r="ENL14" s="20"/>
      <c r="ENM14" s="20"/>
      <c r="ENN14" s="20"/>
      <c r="ENO14" s="20"/>
      <c r="ENP14" s="20"/>
      <c r="ENQ14" s="20"/>
      <c r="ENR14" s="20"/>
      <c r="ENS14" s="20"/>
      <c r="ENT14" s="20"/>
      <c r="ENU14" s="20"/>
      <c r="ENV14" s="20"/>
      <c r="ENW14" s="20"/>
      <c r="ENX14" s="20"/>
      <c r="ENY14" s="20"/>
      <c r="ENZ14" s="20"/>
      <c r="EOA14" s="20"/>
      <c r="EOB14" s="20"/>
      <c r="EOC14" s="20"/>
      <c r="EOD14" s="20"/>
      <c r="EOE14" s="20"/>
      <c r="EOF14" s="20"/>
      <c r="EOG14" s="20"/>
      <c r="EOH14" s="20"/>
      <c r="EOI14" s="20"/>
      <c r="EOJ14" s="20"/>
      <c r="EOK14" s="20"/>
      <c r="EOL14" s="20"/>
      <c r="EOM14" s="20"/>
      <c r="EON14" s="20"/>
      <c r="EOO14" s="20"/>
      <c r="EOP14" s="20"/>
      <c r="EOQ14" s="20"/>
      <c r="EOR14" s="20"/>
      <c r="EOS14" s="20"/>
      <c r="EOT14" s="20"/>
      <c r="EOU14" s="20"/>
      <c r="EOV14" s="20"/>
      <c r="EOW14" s="20"/>
      <c r="EOX14" s="20"/>
      <c r="EOY14" s="20"/>
      <c r="EOZ14" s="20"/>
      <c r="EPA14" s="20"/>
      <c r="EPB14" s="20"/>
      <c r="EPC14" s="20"/>
      <c r="EPD14" s="20"/>
      <c r="EPE14" s="20"/>
      <c r="EPF14" s="20"/>
      <c r="EPG14" s="20"/>
      <c r="EPH14" s="20"/>
      <c r="EPI14" s="20"/>
      <c r="EPJ14" s="20"/>
      <c r="EPK14" s="20"/>
      <c r="EPL14" s="20"/>
      <c r="EPM14" s="20"/>
      <c r="EPN14" s="20"/>
      <c r="EPO14" s="20"/>
      <c r="EPP14" s="20"/>
      <c r="EPQ14" s="20"/>
      <c r="EPR14" s="20"/>
      <c r="EPS14" s="20"/>
      <c r="EPT14" s="20"/>
      <c r="EPU14" s="20"/>
      <c r="EPV14" s="20"/>
      <c r="EPW14" s="20"/>
      <c r="EPX14" s="20"/>
      <c r="EPY14" s="20"/>
      <c r="EPZ14" s="20"/>
      <c r="EQA14" s="20"/>
      <c r="EQB14" s="20"/>
      <c r="EQC14" s="20"/>
      <c r="EQD14" s="20"/>
      <c r="EQE14" s="20"/>
      <c r="EQF14" s="20"/>
      <c r="EQG14" s="20"/>
      <c r="EQH14" s="20"/>
      <c r="EQI14" s="20"/>
      <c r="EQJ14" s="20"/>
      <c r="EQK14" s="20"/>
      <c r="EQL14" s="20"/>
      <c r="EQM14" s="20"/>
      <c r="EQN14" s="20"/>
      <c r="EQO14" s="20"/>
      <c r="EQP14" s="20"/>
      <c r="EQQ14" s="20"/>
      <c r="EQR14" s="20"/>
      <c r="EQS14" s="20"/>
      <c r="EQT14" s="20"/>
      <c r="EQU14" s="20"/>
      <c r="EQV14" s="20"/>
      <c r="EQW14" s="20"/>
      <c r="EQX14" s="20"/>
      <c r="EQY14" s="20"/>
      <c r="EQZ14" s="20"/>
      <c r="ERA14" s="20"/>
      <c r="ERB14" s="20"/>
      <c r="ERC14" s="20"/>
      <c r="ERD14" s="20"/>
      <c r="ERE14" s="20"/>
      <c r="ERF14" s="20"/>
      <c r="ERG14" s="20"/>
      <c r="ERH14" s="20"/>
      <c r="ERI14" s="20"/>
      <c r="ERJ14" s="20"/>
      <c r="ERK14" s="20"/>
      <c r="ERL14" s="20"/>
      <c r="ERM14" s="20"/>
      <c r="ERN14" s="20"/>
      <c r="ERO14" s="20"/>
      <c r="ERP14" s="20"/>
      <c r="ERQ14" s="20"/>
      <c r="ERR14" s="20"/>
      <c r="ERS14" s="20"/>
      <c r="ERT14" s="20"/>
      <c r="ERU14" s="20"/>
      <c r="ERV14" s="20"/>
      <c r="ERW14" s="20"/>
      <c r="ERX14" s="20"/>
      <c r="ERY14" s="20"/>
      <c r="ERZ14" s="20"/>
      <c r="ESA14" s="20"/>
      <c r="ESB14" s="20"/>
      <c r="ESC14" s="20"/>
      <c r="ESD14" s="20"/>
      <c r="ESE14" s="20"/>
      <c r="ESF14" s="20"/>
      <c r="ESG14" s="20"/>
      <c r="ESH14" s="20"/>
      <c r="ESI14" s="20"/>
      <c r="ESJ14" s="20"/>
      <c r="ESK14" s="20"/>
      <c r="ESL14" s="20"/>
      <c r="ESM14" s="20"/>
      <c r="ESN14" s="20"/>
      <c r="ESO14" s="20"/>
      <c r="ESP14" s="20"/>
      <c r="ESQ14" s="20"/>
      <c r="ESR14" s="20"/>
      <c r="ESS14" s="20"/>
      <c r="EST14" s="20"/>
      <c r="ESU14" s="20"/>
      <c r="ESV14" s="20"/>
      <c r="ESW14" s="20"/>
      <c r="ESX14" s="20"/>
      <c r="ESY14" s="20"/>
      <c r="ESZ14" s="20"/>
      <c r="ETA14" s="20"/>
      <c r="ETB14" s="20"/>
      <c r="ETC14" s="20"/>
      <c r="ETD14" s="20"/>
      <c r="ETE14" s="20"/>
      <c r="ETF14" s="20"/>
      <c r="ETG14" s="20"/>
      <c r="ETH14" s="20"/>
      <c r="ETI14" s="20"/>
      <c r="ETJ14" s="20"/>
      <c r="ETK14" s="20"/>
      <c r="ETL14" s="20"/>
      <c r="ETM14" s="20"/>
      <c r="ETN14" s="20"/>
      <c r="ETO14" s="20"/>
      <c r="ETP14" s="20"/>
      <c r="ETQ14" s="20"/>
      <c r="ETR14" s="20"/>
      <c r="ETS14" s="20"/>
      <c r="ETT14" s="20"/>
      <c r="ETU14" s="20"/>
      <c r="ETV14" s="20"/>
      <c r="ETW14" s="20"/>
      <c r="ETX14" s="20"/>
      <c r="ETY14" s="20"/>
      <c r="ETZ14" s="20"/>
      <c r="EUA14" s="20"/>
      <c r="EUB14" s="20"/>
      <c r="EUC14" s="20"/>
      <c r="EUD14" s="20"/>
      <c r="EUE14" s="20"/>
      <c r="EUF14" s="20"/>
      <c r="EUG14" s="20"/>
      <c r="EUH14" s="20"/>
      <c r="EUI14" s="20"/>
      <c r="EUJ14" s="20"/>
      <c r="EUK14" s="20"/>
      <c r="EUL14" s="20"/>
      <c r="EUM14" s="20"/>
      <c r="EUN14" s="20"/>
      <c r="EUO14" s="20"/>
      <c r="EUP14" s="20"/>
      <c r="EUQ14" s="20"/>
      <c r="EUR14" s="20"/>
      <c r="EUS14" s="20"/>
      <c r="EUT14" s="20"/>
      <c r="EUU14" s="20"/>
      <c r="EUV14" s="20"/>
      <c r="EUW14" s="20"/>
      <c r="EUX14" s="20"/>
      <c r="EUY14" s="20"/>
      <c r="EUZ14" s="20"/>
      <c r="EVA14" s="20"/>
      <c r="EVB14" s="20"/>
      <c r="EVC14" s="20"/>
      <c r="EVD14" s="20"/>
      <c r="EVE14" s="20"/>
      <c r="EVF14" s="20"/>
      <c r="EVG14" s="20"/>
      <c r="EVH14" s="20"/>
      <c r="EVI14" s="20"/>
      <c r="EVJ14" s="20"/>
      <c r="EVK14" s="20"/>
      <c r="EVL14" s="20"/>
      <c r="EVM14" s="20"/>
      <c r="EVN14" s="20"/>
      <c r="EVO14" s="20"/>
      <c r="EVP14" s="20"/>
      <c r="EVQ14" s="20"/>
      <c r="EVR14" s="20"/>
      <c r="EVS14" s="20"/>
      <c r="EVT14" s="20"/>
      <c r="EVU14" s="20"/>
      <c r="EVV14" s="20"/>
      <c r="EVW14" s="20"/>
      <c r="EVX14" s="20"/>
      <c r="EVY14" s="20"/>
      <c r="EVZ14" s="20"/>
      <c r="EWA14" s="20"/>
      <c r="EWB14" s="20"/>
      <c r="EWC14" s="20"/>
      <c r="EWD14" s="20"/>
      <c r="EWE14" s="20"/>
      <c r="EWF14" s="20"/>
      <c r="EWG14" s="20"/>
      <c r="EWH14" s="20"/>
      <c r="EWI14" s="20"/>
      <c r="EWJ14" s="20"/>
      <c r="EWK14" s="20"/>
      <c r="EWL14" s="20"/>
      <c r="EWM14" s="20"/>
      <c r="EWN14" s="20"/>
      <c r="EWO14" s="20"/>
      <c r="EWP14" s="20"/>
      <c r="EWQ14" s="20"/>
      <c r="EWR14" s="20"/>
      <c r="EWS14" s="20"/>
      <c r="EWT14" s="20"/>
      <c r="EWU14" s="20"/>
      <c r="EWV14" s="20"/>
      <c r="EWW14" s="20"/>
      <c r="EWX14" s="20"/>
      <c r="EWY14" s="20"/>
      <c r="EWZ14" s="20"/>
      <c r="EXA14" s="20"/>
      <c r="EXB14" s="20"/>
      <c r="EXC14" s="20"/>
      <c r="EXD14" s="20"/>
      <c r="EXE14" s="20"/>
      <c r="EXF14" s="20"/>
      <c r="EXG14" s="20"/>
      <c r="EXH14" s="20"/>
      <c r="EXI14" s="20"/>
      <c r="EXJ14" s="20"/>
      <c r="EXK14" s="20"/>
      <c r="EXL14" s="20"/>
      <c r="EXM14" s="20"/>
      <c r="EXN14" s="20"/>
      <c r="EXO14" s="20"/>
      <c r="EXP14" s="20"/>
      <c r="EXQ14" s="20"/>
      <c r="EXR14" s="20"/>
      <c r="EXS14" s="20"/>
      <c r="EXT14" s="20"/>
      <c r="EXU14" s="20"/>
      <c r="EXV14" s="20"/>
      <c r="EXW14" s="20"/>
      <c r="EXX14" s="20"/>
      <c r="EXY14" s="20"/>
      <c r="EXZ14" s="20"/>
      <c r="EYA14" s="20"/>
      <c r="EYB14" s="20"/>
      <c r="EYC14" s="20"/>
      <c r="EYD14" s="20"/>
      <c r="EYE14" s="20"/>
      <c r="EYF14" s="20"/>
      <c r="EYG14" s="20"/>
      <c r="EYH14" s="20"/>
      <c r="EYI14" s="20"/>
      <c r="EYJ14" s="20"/>
      <c r="EYK14" s="20"/>
      <c r="EYL14" s="20"/>
      <c r="EYM14" s="20"/>
      <c r="EYN14" s="20"/>
      <c r="EYO14" s="20"/>
      <c r="EYP14" s="20"/>
      <c r="EYQ14" s="20"/>
      <c r="EYR14" s="20"/>
      <c r="EYS14" s="20"/>
      <c r="EYT14" s="20"/>
      <c r="EYU14" s="20"/>
      <c r="EYV14" s="20"/>
      <c r="EYW14" s="20"/>
      <c r="EYX14" s="20"/>
      <c r="EYY14" s="20"/>
      <c r="EYZ14" s="20"/>
      <c r="EZA14" s="20"/>
      <c r="EZB14" s="20"/>
      <c r="EZC14" s="20"/>
      <c r="EZD14" s="20"/>
      <c r="EZE14" s="20"/>
      <c r="EZF14" s="20"/>
      <c r="EZG14" s="20"/>
      <c r="EZH14" s="20"/>
      <c r="EZI14" s="20"/>
      <c r="EZJ14" s="20"/>
      <c r="EZK14" s="20"/>
      <c r="EZL14" s="20"/>
      <c r="EZM14" s="20"/>
      <c r="EZN14" s="20"/>
      <c r="EZO14" s="20"/>
      <c r="EZP14" s="20"/>
      <c r="EZQ14" s="20"/>
      <c r="EZR14" s="20"/>
      <c r="EZS14" s="20"/>
      <c r="EZT14" s="20"/>
      <c r="EZU14" s="20"/>
      <c r="EZV14" s="20"/>
      <c r="EZW14" s="20"/>
      <c r="EZX14" s="20"/>
      <c r="EZY14" s="20"/>
      <c r="EZZ14" s="20"/>
      <c r="FAA14" s="20"/>
      <c r="FAB14" s="20"/>
      <c r="FAC14" s="20"/>
      <c r="FAD14" s="20"/>
      <c r="FAE14" s="20"/>
      <c r="FAF14" s="20"/>
      <c r="FAG14" s="20"/>
      <c r="FAH14" s="20"/>
      <c r="FAI14" s="20"/>
      <c r="FAJ14" s="20"/>
      <c r="FAK14" s="20"/>
      <c r="FAL14" s="20"/>
      <c r="FAM14" s="20"/>
      <c r="FAN14" s="20"/>
      <c r="FAO14" s="20"/>
      <c r="FAP14" s="20"/>
      <c r="FAQ14" s="20"/>
      <c r="FAR14" s="20"/>
      <c r="FAS14" s="20"/>
      <c r="FAT14" s="20"/>
      <c r="FAU14" s="20"/>
      <c r="FAV14" s="20"/>
      <c r="FAW14" s="20"/>
      <c r="FAX14" s="20"/>
      <c r="FAY14" s="20"/>
      <c r="FAZ14" s="20"/>
      <c r="FBA14" s="20"/>
      <c r="FBB14" s="20"/>
      <c r="FBC14" s="20"/>
      <c r="FBD14" s="20"/>
      <c r="FBE14" s="20"/>
      <c r="FBF14" s="20"/>
      <c r="FBG14" s="20"/>
      <c r="FBH14" s="20"/>
      <c r="FBI14" s="20"/>
      <c r="FBJ14" s="20"/>
      <c r="FBK14" s="20"/>
      <c r="FBL14" s="20"/>
      <c r="FBM14" s="20"/>
      <c r="FBN14" s="20"/>
      <c r="FBO14" s="20"/>
      <c r="FBP14" s="20"/>
      <c r="FBQ14" s="20"/>
      <c r="FBR14" s="20"/>
      <c r="FBS14" s="20"/>
      <c r="FBT14" s="20"/>
      <c r="FBU14" s="20"/>
      <c r="FBV14" s="20"/>
      <c r="FBW14" s="20"/>
      <c r="FBX14" s="20"/>
      <c r="FBY14" s="20"/>
      <c r="FBZ14" s="20"/>
      <c r="FCA14" s="20"/>
      <c r="FCB14" s="20"/>
      <c r="FCC14" s="20"/>
      <c r="FCD14" s="20"/>
      <c r="FCE14" s="20"/>
      <c r="FCF14" s="20"/>
      <c r="FCG14" s="20"/>
      <c r="FCH14" s="20"/>
      <c r="FCI14" s="20"/>
      <c r="FCJ14" s="20"/>
      <c r="FCK14" s="20"/>
      <c r="FCL14" s="20"/>
      <c r="FCM14" s="20"/>
      <c r="FCN14" s="20"/>
      <c r="FCO14" s="20"/>
      <c r="FCP14" s="20"/>
      <c r="FCQ14" s="20"/>
      <c r="FCR14" s="20"/>
      <c r="FCS14" s="20"/>
      <c r="FCT14" s="20"/>
      <c r="FCU14" s="20"/>
      <c r="FCV14" s="20"/>
      <c r="FCW14" s="20"/>
      <c r="FCX14" s="20"/>
      <c r="FCY14" s="20"/>
      <c r="FCZ14" s="20"/>
      <c r="FDA14" s="20"/>
      <c r="FDB14" s="20"/>
      <c r="FDC14" s="20"/>
      <c r="FDD14" s="20"/>
      <c r="FDE14" s="20"/>
      <c r="FDF14" s="20"/>
      <c r="FDG14" s="20"/>
      <c r="FDH14" s="20"/>
      <c r="FDI14" s="20"/>
      <c r="FDJ14" s="20"/>
      <c r="FDK14" s="20"/>
      <c r="FDL14" s="20"/>
      <c r="FDM14" s="20"/>
      <c r="FDN14" s="20"/>
      <c r="FDO14" s="20"/>
      <c r="FDP14" s="20"/>
      <c r="FDQ14" s="20"/>
      <c r="FDR14" s="20"/>
      <c r="FDS14" s="20"/>
      <c r="FDT14" s="20"/>
      <c r="FDU14" s="20"/>
      <c r="FDV14" s="20"/>
      <c r="FDW14" s="20"/>
      <c r="FDX14" s="20"/>
      <c r="FDY14" s="20"/>
      <c r="FDZ14" s="20"/>
      <c r="FEA14" s="20"/>
      <c r="FEB14" s="20"/>
      <c r="FEC14" s="20"/>
      <c r="FED14" s="20"/>
      <c r="FEE14" s="20"/>
      <c r="FEF14" s="20"/>
      <c r="FEG14" s="20"/>
      <c r="FEH14" s="20"/>
      <c r="FEI14" s="20"/>
      <c r="FEJ14" s="20"/>
      <c r="FEK14" s="20"/>
      <c r="FEL14" s="20"/>
      <c r="FEM14" s="20"/>
      <c r="FEN14" s="20"/>
      <c r="FEO14" s="20"/>
      <c r="FEP14" s="20"/>
      <c r="FEQ14" s="20"/>
      <c r="FER14" s="20"/>
      <c r="FES14" s="20"/>
      <c r="FET14" s="20"/>
      <c r="FEU14" s="20"/>
      <c r="FEV14" s="20"/>
      <c r="FEW14" s="20"/>
      <c r="FEX14" s="20"/>
      <c r="FEY14" s="20"/>
      <c r="FEZ14" s="20"/>
      <c r="FFA14" s="20"/>
      <c r="FFB14" s="20"/>
      <c r="FFC14" s="20"/>
      <c r="FFD14" s="20"/>
      <c r="FFE14" s="20"/>
      <c r="FFF14" s="20"/>
      <c r="FFG14" s="20"/>
      <c r="FFH14" s="20"/>
      <c r="FFI14" s="20"/>
      <c r="FFJ14" s="20"/>
      <c r="FFK14" s="20"/>
      <c r="FFL14" s="20"/>
      <c r="FFM14" s="20"/>
      <c r="FFN14" s="20"/>
      <c r="FFO14" s="20"/>
      <c r="FFP14" s="20"/>
      <c r="FFQ14" s="20"/>
      <c r="FFR14" s="20"/>
      <c r="FFS14" s="20"/>
      <c r="FFT14" s="20"/>
      <c r="FFU14" s="20"/>
      <c r="FFV14" s="20"/>
      <c r="FFW14" s="20"/>
      <c r="FFX14" s="20"/>
      <c r="FFY14" s="20"/>
      <c r="FFZ14" s="20"/>
      <c r="FGA14" s="20"/>
      <c r="FGB14" s="20"/>
      <c r="FGC14" s="20"/>
      <c r="FGD14" s="20"/>
      <c r="FGE14" s="20"/>
      <c r="FGF14" s="20"/>
      <c r="FGG14" s="20"/>
      <c r="FGH14" s="20"/>
      <c r="FGI14" s="20"/>
      <c r="FGJ14" s="20"/>
      <c r="FGK14" s="20"/>
      <c r="FGL14" s="20"/>
      <c r="FGM14" s="20"/>
      <c r="FGN14" s="20"/>
      <c r="FGO14" s="20"/>
      <c r="FGP14" s="20"/>
      <c r="FGQ14" s="20"/>
      <c r="FGR14" s="20"/>
      <c r="FGS14" s="20"/>
      <c r="FGT14" s="20"/>
      <c r="FGU14" s="20"/>
      <c r="FGV14" s="20"/>
      <c r="FGW14" s="20"/>
      <c r="FGX14" s="20"/>
      <c r="FGY14" s="20"/>
      <c r="FGZ14" s="20"/>
      <c r="FHA14" s="20"/>
      <c r="FHB14" s="20"/>
      <c r="FHC14" s="20"/>
      <c r="FHD14" s="20"/>
      <c r="FHE14" s="20"/>
      <c r="FHF14" s="20"/>
      <c r="FHG14" s="20"/>
      <c r="FHH14" s="20"/>
      <c r="FHI14" s="20"/>
      <c r="FHJ14" s="20"/>
      <c r="FHK14" s="20"/>
      <c r="FHL14" s="20"/>
      <c r="FHM14" s="20"/>
      <c r="FHN14" s="20"/>
      <c r="FHO14" s="20"/>
      <c r="FHP14" s="20"/>
      <c r="FHQ14" s="20"/>
      <c r="FHR14" s="20"/>
      <c r="FHS14" s="20"/>
      <c r="FHT14" s="20"/>
      <c r="FHU14" s="20"/>
      <c r="FHV14" s="20"/>
      <c r="FHW14" s="20"/>
      <c r="FHX14" s="20"/>
      <c r="FHY14" s="20"/>
      <c r="FHZ14" s="20"/>
      <c r="FIA14" s="20"/>
      <c r="FIB14" s="20"/>
      <c r="FIC14" s="20"/>
      <c r="FID14" s="20"/>
      <c r="FIE14" s="20"/>
      <c r="FIF14" s="20"/>
      <c r="FIG14" s="20"/>
      <c r="FIH14" s="20"/>
      <c r="FII14" s="20"/>
      <c r="FIJ14" s="20"/>
      <c r="FIK14" s="20"/>
      <c r="FIL14" s="20"/>
      <c r="FIM14" s="20"/>
      <c r="FIN14" s="20"/>
      <c r="FIO14" s="20"/>
      <c r="FIP14" s="20"/>
      <c r="FIQ14" s="20"/>
      <c r="FIR14" s="20"/>
      <c r="FIS14" s="20"/>
      <c r="FIT14" s="20"/>
      <c r="FIU14" s="20"/>
      <c r="FIV14" s="20"/>
      <c r="FIW14" s="20"/>
      <c r="FIX14" s="20"/>
      <c r="FIY14" s="20"/>
      <c r="FIZ14" s="20"/>
      <c r="FJA14" s="20"/>
      <c r="FJB14" s="20"/>
      <c r="FJC14" s="20"/>
      <c r="FJD14" s="20"/>
      <c r="FJE14" s="20"/>
      <c r="FJF14" s="20"/>
      <c r="FJG14" s="20"/>
      <c r="FJH14" s="20"/>
      <c r="FJI14" s="20"/>
      <c r="FJJ14" s="20"/>
      <c r="FJK14" s="20"/>
      <c r="FJL14" s="20"/>
      <c r="FJM14" s="20"/>
      <c r="FJN14" s="20"/>
      <c r="FJO14" s="20"/>
      <c r="FJP14" s="20"/>
      <c r="FJQ14" s="20"/>
      <c r="FJR14" s="20"/>
      <c r="FJS14" s="20"/>
      <c r="FJT14" s="20"/>
      <c r="FJU14" s="20"/>
      <c r="FJV14" s="20"/>
      <c r="FJW14" s="20"/>
      <c r="FJX14" s="20"/>
      <c r="FJY14" s="20"/>
      <c r="FJZ14" s="20"/>
      <c r="FKA14" s="20"/>
      <c r="FKB14" s="20"/>
      <c r="FKC14" s="20"/>
      <c r="FKD14" s="20"/>
      <c r="FKE14" s="20"/>
      <c r="FKF14" s="20"/>
      <c r="FKG14" s="20"/>
      <c r="FKH14" s="20"/>
      <c r="FKI14" s="20"/>
      <c r="FKJ14" s="20"/>
      <c r="FKK14" s="20"/>
      <c r="FKL14" s="20"/>
      <c r="FKM14" s="20"/>
      <c r="FKN14" s="20"/>
      <c r="FKO14" s="20"/>
      <c r="FKP14" s="20"/>
      <c r="FKQ14" s="20"/>
      <c r="FKR14" s="20"/>
      <c r="FKS14" s="20"/>
      <c r="FKT14" s="20"/>
      <c r="FKU14" s="20"/>
      <c r="FKV14" s="20"/>
      <c r="FKW14" s="20"/>
      <c r="FKX14" s="20"/>
      <c r="FKY14" s="20"/>
      <c r="FKZ14" s="20"/>
      <c r="FLA14" s="20"/>
      <c r="FLB14" s="20"/>
      <c r="FLC14" s="20"/>
      <c r="FLD14" s="20"/>
      <c r="FLE14" s="20"/>
      <c r="FLF14" s="20"/>
      <c r="FLG14" s="20"/>
      <c r="FLH14" s="20"/>
      <c r="FLI14" s="20"/>
      <c r="FLJ14" s="20"/>
      <c r="FLK14" s="20"/>
      <c r="FLL14" s="20"/>
      <c r="FLM14" s="20"/>
      <c r="FLN14" s="20"/>
      <c r="FLO14" s="20"/>
      <c r="FLP14" s="20"/>
      <c r="FLQ14" s="20"/>
      <c r="FLR14" s="20"/>
      <c r="FLS14" s="20"/>
      <c r="FLT14" s="20"/>
      <c r="FLU14" s="20"/>
      <c r="FLV14" s="20"/>
      <c r="FLW14" s="20"/>
      <c r="FLX14" s="20"/>
      <c r="FLY14" s="20"/>
      <c r="FLZ14" s="20"/>
      <c r="FMA14" s="20"/>
      <c r="FMB14" s="20"/>
      <c r="FMC14" s="20"/>
      <c r="FMD14" s="20"/>
      <c r="FME14" s="20"/>
      <c r="FMF14" s="20"/>
      <c r="FMG14" s="20"/>
      <c r="FMH14" s="20"/>
      <c r="FMI14" s="20"/>
      <c r="FMJ14" s="20"/>
      <c r="FMK14" s="20"/>
      <c r="FML14" s="20"/>
      <c r="FMM14" s="20"/>
      <c r="FMN14" s="20"/>
      <c r="FMO14" s="20"/>
      <c r="FMP14" s="20"/>
      <c r="FMQ14" s="20"/>
      <c r="FMR14" s="20"/>
      <c r="FMS14" s="20"/>
      <c r="FMT14" s="20"/>
      <c r="FMU14" s="20"/>
      <c r="FMV14" s="20"/>
      <c r="FMW14" s="20"/>
      <c r="FMX14" s="20"/>
      <c r="FMY14" s="20"/>
      <c r="FMZ14" s="20"/>
      <c r="FNA14" s="20"/>
      <c r="FNB14" s="20"/>
      <c r="FNC14" s="20"/>
      <c r="FND14" s="20"/>
      <c r="FNE14" s="20"/>
      <c r="FNF14" s="20"/>
      <c r="FNG14" s="20"/>
      <c r="FNH14" s="20"/>
      <c r="FNI14" s="20"/>
      <c r="FNJ14" s="20"/>
      <c r="FNK14" s="20"/>
      <c r="FNL14" s="20"/>
      <c r="FNM14" s="20"/>
      <c r="FNN14" s="20"/>
      <c r="FNO14" s="20"/>
      <c r="FNP14" s="20"/>
      <c r="FNQ14" s="20"/>
      <c r="FNR14" s="20"/>
      <c r="FNS14" s="20"/>
      <c r="FNT14" s="20"/>
      <c r="FNU14" s="20"/>
      <c r="FNV14" s="20"/>
      <c r="FNW14" s="20"/>
      <c r="FNX14" s="20"/>
      <c r="FNY14" s="20"/>
      <c r="FNZ14" s="20"/>
      <c r="FOA14" s="20"/>
      <c r="FOB14" s="20"/>
      <c r="FOC14" s="20"/>
      <c r="FOD14" s="20"/>
      <c r="FOE14" s="20"/>
      <c r="FOF14" s="20"/>
      <c r="FOG14" s="20"/>
      <c r="FOH14" s="20"/>
      <c r="FOI14" s="20"/>
      <c r="FOJ14" s="20"/>
      <c r="FOK14" s="20"/>
      <c r="FOL14" s="20"/>
      <c r="FOM14" s="20"/>
      <c r="FON14" s="20"/>
      <c r="FOO14" s="20"/>
      <c r="FOP14" s="20"/>
      <c r="FOQ14" s="20"/>
      <c r="FOR14" s="20"/>
      <c r="FOS14" s="20"/>
      <c r="FOT14" s="20"/>
      <c r="FOU14" s="20"/>
      <c r="FOV14" s="20"/>
      <c r="FOW14" s="20"/>
      <c r="FOX14" s="20"/>
      <c r="FOY14" s="20"/>
      <c r="FOZ14" s="20"/>
      <c r="FPA14" s="20"/>
      <c r="FPB14" s="20"/>
      <c r="FPC14" s="20"/>
      <c r="FPD14" s="20"/>
      <c r="FPE14" s="20"/>
      <c r="FPF14" s="20"/>
      <c r="FPG14" s="20"/>
      <c r="FPH14" s="20"/>
      <c r="FPI14" s="20"/>
      <c r="FPJ14" s="20"/>
      <c r="FPK14" s="20"/>
      <c r="FPL14" s="20"/>
      <c r="FPM14" s="20"/>
      <c r="FPN14" s="20"/>
      <c r="FPO14" s="20"/>
      <c r="FPP14" s="20"/>
      <c r="FPQ14" s="20"/>
      <c r="FPR14" s="20"/>
      <c r="FPS14" s="20"/>
      <c r="FPT14" s="20"/>
      <c r="FPU14" s="20"/>
      <c r="FPV14" s="20"/>
      <c r="FPW14" s="20"/>
      <c r="FPX14" s="20"/>
      <c r="FPY14" s="20"/>
      <c r="FPZ14" s="20"/>
      <c r="FQA14" s="20"/>
      <c r="FQB14" s="20"/>
      <c r="FQC14" s="20"/>
      <c r="FQD14" s="20"/>
      <c r="FQE14" s="20"/>
      <c r="FQF14" s="20"/>
      <c r="FQG14" s="20"/>
      <c r="FQH14" s="20"/>
      <c r="FQI14" s="20"/>
      <c r="FQJ14" s="20"/>
      <c r="FQK14" s="20"/>
      <c r="FQL14" s="20"/>
      <c r="FQM14" s="20"/>
      <c r="FQN14" s="20"/>
      <c r="FQO14" s="20"/>
      <c r="FQP14" s="20"/>
      <c r="FQQ14" s="20"/>
      <c r="FQR14" s="20"/>
      <c r="FQS14" s="20"/>
      <c r="FQT14" s="20"/>
      <c r="FQU14" s="20"/>
      <c r="FQV14" s="20"/>
      <c r="FQW14" s="20"/>
      <c r="FQX14" s="20"/>
      <c r="FQY14" s="20"/>
      <c r="FQZ14" s="20"/>
      <c r="FRA14" s="20"/>
      <c r="FRB14" s="20"/>
      <c r="FRC14" s="20"/>
      <c r="FRD14" s="20"/>
      <c r="FRE14" s="20"/>
      <c r="FRF14" s="20"/>
      <c r="FRG14" s="20"/>
      <c r="FRH14" s="20"/>
      <c r="FRI14" s="20"/>
      <c r="FRJ14" s="20"/>
      <c r="FRK14" s="20"/>
      <c r="FRL14" s="20"/>
      <c r="FRM14" s="20"/>
      <c r="FRN14" s="20"/>
      <c r="FRO14" s="20"/>
      <c r="FRP14" s="20"/>
      <c r="FRQ14" s="20"/>
      <c r="FRR14" s="20"/>
      <c r="FRS14" s="20"/>
      <c r="FRT14" s="20"/>
      <c r="FRU14" s="20"/>
      <c r="FRV14" s="20"/>
      <c r="FRW14" s="20"/>
      <c r="FRX14" s="20"/>
      <c r="FRY14" s="20"/>
      <c r="FRZ14" s="20"/>
      <c r="FSA14" s="20"/>
      <c r="FSB14" s="20"/>
      <c r="FSC14" s="20"/>
      <c r="FSD14" s="20"/>
      <c r="FSE14" s="20"/>
      <c r="FSF14" s="20"/>
      <c r="FSG14" s="20"/>
      <c r="FSH14" s="20"/>
      <c r="FSI14" s="20"/>
      <c r="FSJ14" s="20"/>
      <c r="FSK14" s="20"/>
      <c r="FSL14" s="20"/>
      <c r="FSM14" s="20"/>
      <c r="FSN14" s="20"/>
      <c r="FSO14" s="20"/>
      <c r="FSP14" s="20"/>
      <c r="FSQ14" s="20"/>
      <c r="FSR14" s="20"/>
      <c r="FSS14" s="20"/>
      <c r="FST14" s="20"/>
      <c r="FSU14" s="20"/>
      <c r="FSV14" s="20"/>
      <c r="FSW14" s="20"/>
      <c r="FSX14" s="20"/>
      <c r="FSY14" s="20"/>
      <c r="FSZ14" s="20"/>
      <c r="FTA14" s="20"/>
      <c r="FTB14" s="20"/>
      <c r="FTC14" s="20"/>
      <c r="FTD14" s="20"/>
      <c r="FTE14" s="20"/>
      <c r="FTF14" s="20"/>
      <c r="FTG14" s="20"/>
      <c r="FTH14" s="20"/>
      <c r="FTI14" s="20"/>
      <c r="FTJ14" s="20"/>
      <c r="FTK14" s="20"/>
      <c r="FTL14" s="20"/>
      <c r="FTM14" s="20"/>
      <c r="FTN14" s="20"/>
      <c r="FTO14" s="20"/>
      <c r="FTP14" s="20"/>
      <c r="FTQ14" s="20"/>
      <c r="FTR14" s="20"/>
      <c r="FTS14" s="20"/>
      <c r="FTT14" s="20"/>
      <c r="FTU14" s="20"/>
      <c r="FTV14" s="20"/>
      <c r="FTW14" s="20"/>
      <c r="FTX14" s="20"/>
      <c r="FTY14" s="20"/>
      <c r="FTZ14" s="20"/>
      <c r="FUA14" s="20"/>
      <c r="FUB14" s="20"/>
      <c r="FUC14" s="20"/>
      <c r="FUD14" s="20"/>
      <c r="FUE14" s="20"/>
      <c r="FUF14" s="20"/>
      <c r="FUG14" s="20"/>
      <c r="FUH14" s="20"/>
      <c r="FUI14" s="20"/>
      <c r="FUJ14" s="20"/>
      <c r="FUK14" s="20"/>
      <c r="FUL14" s="20"/>
      <c r="FUM14" s="20"/>
      <c r="FUN14" s="20"/>
      <c r="FUO14" s="20"/>
      <c r="FUP14" s="20"/>
      <c r="FUQ14" s="20"/>
      <c r="FUR14" s="20"/>
      <c r="FUS14" s="20"/>
      <c r="FUT14" s="20"/>
      <c r="FUU14" s="20"/>
      <c r="FUV14" s="20"/>
      <c r="FUW14" s="20"/>
      <c r="FUX14" s="20"/>
      <c r="FUY14" s="20"/>
      <c r="FUZ14" s="20"/>
      <c r="FVA14" s="20"/>
      <c r="FVB14" s="20"/>
      <c r="FVC14" s="20"/>
      <c r="FVD14" s="20"/>
      <c r="FVE14" s="20"/>
      <c r="FVF14" s="20"/>
      <c r="FVG14" s="20"/>
      <c r="FVH14" s="20"/>
      <c r="FVI14" s="20"/>
      <c r="FVJ14" s="20"/>
      <c r="FVK14" s="20"/>
      <c r="FVL14" s="20"/>
      <c r="FVM14" s="20"/>
      <c r="FVN14" s="20"/>
      <c r="FVO14" s="20"/>
      <c r="FVP14" s="20"/>
      <c r="FVQ14" s="20"/>
      <c r="FVR14" s="20"/>
      <c r="FVS14" s="20"/>
      <c r="FVT14" s="20"/>
      <c r="FVU14" s="20"/>
      <c r="FVV14" s="20"/>
      <c r="FVW14" s="20"/>
      <c r="FVX14" s="20"/>
      <c r="FVY14" s="20"/>
      <c r="FVZ14" s="20"/>
      <c r="FWA14" s="20"/>
      <c r="FWB14" s="20"/>
      <c r="FWC14" s="20"/>
      <c r="FWD14" s="20"/>
      <c r="FWE14" s="20"/>
      <c r="FWF14" s="20"/>
      <c r="FWG14" s="20"/>
      <c r="FWH14" s="20"/>
      <c r="FWI14" s="20"/>
      <c r="FWJ14" s="20"/>
      <c r="FWK14" s="20"/>
      <c r="FWL14" s="20"/>
      <c r="FWM14" s="20"/>
      <c r="FWN14" s="20"/>
      <c r="FWO14" s="20"/>
      <c r="FWP14" s="20"/>
      <c r="FWQ14" s="20"/>
      <c r="FWR14" s="20"/>
      <c r="FWS14" s="20"/>
      <c r="FWT14" s="20"/>
      <c r="FWU14" s="20"/>
      <c r="FWV14" s="20"/>
      <c r="FWW14" s="20"/>
      <c r="FWX14" s="20"/>
      <c r="FWY14" s="20"/>
      <c r="FWZ14" s="20"/>
      <c r="FXA14" s="20"/>
      <c r="FXB14" s="20"/>
      <c r="FXC14" s="20"/>
      <c r="FXD14" s="20"/>
      <c r="FXE14" s="20"/>
      <c r="FXF14" s="20"/>
      <c r="FXG14" s="20"/>
      <c r="FXH14" s="20"/>
      <c r="FXI14" s="20"/>
      <c r="FXJ14" s="20"/>
      <c r="FXK14" s="20"/>
      <c r="FXL14" s="20"/>
      <c r="FXM14" s="20"/>
      <c r="FXN14" s="20"/>
      <c r="FXO14" s="20"/>
      <c r="FXP14" s="20"/>
      <c r="FXQ14" s="20"/>
      <c r="FXR14" s="20"/>
      <c r="FXS14" s="20"/>
      <c r="FXT14" s="20"/>
      <c r="FXU14" s="20"/>
      <c r="FXV14" s="20"/>
      <c r="FXW14" s="20"/>
      <c r="FXX14" s="20"/>
      <c r="FXY14" s="20"/>
      <c r="FXZ14" s="20"/>
      <c r="FYA14" s="20"/>
      <c r="FYB14" s="20"/>
      <c r="FYC14" s="20"/>
      <c r="FYD14" s="20"/>
      <c r="FYE14" s="20"/>
      <c r="FYF14" s="20"/>
      <c r="FYG14" s="20"/>
      <c r="FYH14" s="20"/>
      <c r="FYI14" s="20"/>
      <c r="FYJ14" s="20"/>
      <c r="FYK14" s="20"/>
      <c r="FYL14" s="20"/>
      <c r="FYM14" s="20"/>
      <c r="FYN14" s="20"/>
      <c r="FYO14" s="20"/>
      <c r="FYP14" s="20"/>
      <c r="FYQ14" s="20"/>
      <c r="FYR14" s="20"/>
      <c r="FYS14" s="20"/>
      <c r="FYT14" s="20"/>
      <c r="FYU14" s="20"/>
      <c r="FYV14" s="20"/>
      <c r="FYW14" s="20"/>
      <c r="FYX14" s="20"/>
      <c r="FYY14" s="20"/>
      <c r="FYZ14" s="20"/>
      <c r="FZA14" s="20"/>
      <c r="FZB14" s="20"/>
      <c r="FZC14" s="20"/>
      <c r="FZD14" s="20"/>
      <c r="FZE14" s="20"/>
      <c r="FZF14" s="20"/>
      <c r="FZG14" s="20"/>
      <c r="FZH14" s="20"/>
      <c r="FZI14" s="20"/>
      <c r="FZJ14" s="20"/>
      <c r="FZK14" s="20"/>
      <c r="FZL14" s="20"/>
      <c r="FZM14" s="20"/>
      <c r="FZN14" s="20"/>
      <c r="FZO14" s="20"/>
      <c r="FZP14" s="20"/>
      <c r="FZQ14" s="20"/>
      <c r="FZR14" s="20"/>
      <c r="FZS14" s="20"/>
      <c r="FZT14" s="20"/>
      <c r="FZU14" s="20"/>
      <c r="FZV14" s="20"/>
      <c r="FZW14" s="20"/>
      <c r="FZX14" s="20"/>
      <c r="FZY14" s="20"/>
      <c r="FZZ14" s="20"/>
      <c r="GAA14" s="20"/>
      <c r="GAB14" s="20"/>
      <c r="GAC14" s="20"/>
      <c r="GAD14" s="20"/>
      <c r="GAE14" s="20"/>
      <c r="GAF14" s="20"/>
      <c r="GAG14" s="20"/>
      <c r="GAH14" s="20"/>
      <c r="GAI14" s="20"/>
      <c r="GAJ14" s="20"/>
      <c r="GAK14" s="20"/>
      <c r="GAL14" s="20"/>
      <c r="GAM14" s="20"/>
      <c r="GAN14" s="20"/>
      <c r="GAO14" s="20"/>
      <c r="GAP14" s="20"/>
      <c r="GAQ14" s="20"/>
      <c r="GAR14" s="20"/>
      <c r="GAS14" s="20"/>
      <c r="GAT14" s="20"/>
      <c r="GAU14" s="20"/>
      <c r="GAV14" s="20"/>
      <c r="GAW14" s="20"/>
      <c r="GAX14" s="20"/>
      <c r="GAY14" s="20"/>
      <c r="GAZ14" s="20"/>
      <c r="GBA14" s="20"/>
      <c r="GBB14" s="20"/>
      <c r="GBC14" s="20"/>
      <c r="GBD14" s="20"/>
      <c r="GBE14" s="20"/>
      <c r="GBF14" s="20"/>
      <c r="GBG14" s="20"/>
      <c r="GBH14" s="20"/>
      <c r="GBI14" s="20"/>
      <c r="GBJ14" s="20"/>
      <c r="GBK14" s="20"/>
      <c r="GBL14" s="20"/>
      <c r="GBM14" s="20"/>
      <c r="GBN14" s="20"/>
      <c r="GBO14" s="20"/>
      <c r="GBP14" s="20"/>
      <c r="GBQ14" s="20"/>
      <c r="GBR14" s="20"/>
      <c r="GBS14" s="20"/>
      <c r="GBT14" s="20"/>
      <c r="GBU14" s="20"/>
      <c r="GBV14" s="20"/>
      <c r="GBW14" s="20"/>
      <c r="GBX14" s="20"/>
      <c r="GBY14" s="20"/>
      <c r="GBZ14" s="20"/>
      <c r="GCA14" s="20"/>
      <c r="GCB14" s="20"/>
      <c r="GCC14" s="20"/>
      <c r="GCD14" s="20"/>
      <c r="GCE14" s="20"/>
      <c r="GCF14" s="20"/>
      <c r="GCG14" s="20"/>
      <c r="GCH14" s="20"/>
      <c r="GCI14" s="20"/>
      <c r="GCJ14" s="20"/>
      <c r="GCK14" s="20"/>
      <c r="GCL14" s="20"/>
      <c r="GCM14" s="20"/>
      <c r="GCN14" s="20"/>
      <c r="GCO14" s="20"/>
      <c r="GCP14" s="20"/>
      <c r="GCQ14" s="20"/>
      <c r="GCR14" s="20"/>
      <c r="GCS14" s="20"/>
      <c r="GCT14" s="20"/>
      <c r="GCU14" s="20"/>
      <c r="GCV14" s="20"/>
      <c r="GCW14" s="20"/>
      <c r="GCX14" s="20"/>
      <c r="GCY14" s="20"/>
      <c r="GCZ14" s="20"/>
      <c r="GDA14" s="20"/>
      <c r="GDB14" s="20"/>
      <c r="GDC14" s="20"/>
      <c r="GDD14" s="20"/>
      <c r="GDE14" s="20"/>
      <c r="GDF14" s="20"/>
      <c r="GDG14" s="20"/>
      <c r="GDH14" s="20"/>
      <c r="GDI14" s="20"/>
      <c r="GDJ14" s="20"/>
      <c r="GDK14" s="20"/>
      <c r="GDL14" s="20"/>
      <c r="GDM14" s="20"/>
      <c r="GDN14" s="20"/>
      <c r="GDO14" s="20"/>
      <c r="GDP14" s="20"/>
      <c r="GDQ14" s="20"/>
      <c r="GDR14" s="20"/>
      <c r="GDS14" s="20"/>
      <c r="GDT14" s="20"/>
      <c r="GDU14" s="20"/>
      <c r="GDV14" s="20"/>
      <c r="GDW14" s="20"/>
      <c r="GDX14" s="20"/>
      <c r="GDY14" s="20"/>
      <c r="GDZ14" s="20"/>
      <c r="GEA14" s="20"/>
      <c r="GEB14" s="20"/>
      <c r="GEC14" s="20"/>
      <c r="GED14" s="20"/>
      <c r="GEE14" s="20"/>
      <c r="GEF14" s="20"/>
      <c r="GEG14" s="20"/>
      <c r="GEH14" s="20"/>
      <c r="GEI14" s="20"/>
      <c r="GEJ14" s="20"/>
      <c r="GEK14" s="20"/>
      <c r="GEL14" s="20"/>
      <c r="GEM14" s="20"/>
      <c r="GEN14" s="20"/>
      <c r="GEO14" s="20"/>
      <c r="GEP14" s="20"/>
      <c r="GEQ14" s="20"/>
      <c r="GER14" s="20"/>
      <c r="GES14" s="20"/>
      <c r="GET14" s="20"/>
      <c r="GEU14" s="20"/>
      <c r="GEV14" s="20"/>
      <c r="GEW14" s="20"/>
      <c r="GEX14" s="20"/>
      <c r="GEY14" s="20"/>
      <c r="GEZ14" s="20"/>
      <c r="GFA14" s="20"/>
      <c r="GFB14" s="20"/>
      <c r="GFC14" s="20"/>
      <c r="GFD14" s="20"/>
      <c r="GFE14" s="20"/>
      <c r="GFF14" s="20"/>
      <c r="GFG14" s="20"/>
      <c r="GFH14" s="20"/>
      <c r="GFI14" s="20"/>
      <c r="GFJ14" s="20"/>
      <c r="GFK14" s="20"/>
      <c r="GFL14" s="20"/>
      <c r="GFM14" s="20"/>
      <c r="GFN14" s="20"/>
      <c r="GFO14" s="20"/>
      <c r="GFP14" s="20"/>
      <c r="GFQ14" s="20"/>
      <c r="GFR14" s="20"/>
      <c r="GFS14" s="20"/>
      <c r="GFT14" s="20"/>
      <c r="GFU14" s="20"/>
      <c r="GFV14" s="20"/>
      <c r="GFW14" s="20"/>
      <c r="GFX14" s="20"/>
      <c r="GFY14" s="20"/>
      <c r="GFZ14" s="20"/>
      <c r="GGA14" s="20"/>
      <c r="GGB14" s="20"/>
      <c r="GGC14" s="20"/>
      <c r="GGD14" s="20"/>
      <c r="GGE14" s="20"/>
      <c r="GGF14" s="20"/>
      <c r="GGG14" s="20"/>
      <c r="GGH14" s="20"/>
      <c r="GGI14" s="20"/>
      <c r="GGJ14" s="20"/>
      <c r="GGK14" s="20"/>
      <c r="GGL14" s="20"/>
      <c r="GGM14" s="20"/>
      <c r="GGN14" s="20"/>
      <c r="GGO14" s="20"/>
      <c r="GGP14" s="20"/>
      <c r="GGQ14" s="20"/>
      <c r="GGR14" s="20"/>
      <c r="GGS14" s="20"/>
      <c r="GGT14" s="20"/>
      <c r="GGU14" s="20"/>
      <c r="GGV14" s="20"/>
      <c r="GGW14" s="20"/>
      <c r="GGX14" s="20"/>
      <c r="GGY14" s="20"/>
      <c r="GGZ14" s="20"/>
      <c r="GHA14" s="20"/>
      <c r="GHB14" s="20"/>
      <c r="GHC14" s="20"/>
      <c r="GHD14" s="20"/>
      <c r="GHE14" s="20"/>
      <c r="GHF14" s="20"/>
      <c r="GHG14" s="20"/>
      <c r="GHH14" s="20"/>
      <c r="GHI14" s="20"/>
      <c r="GHJ14" s="20"/>
      <c r="GHK14" s="20"/>
      <c r="GHL14" s="20"/>
      <c r="GHM14" s="20"/>
      <c r="GHN14" s="20"/>
      <c r="GHO14" s="20"/>
      <c r="GHP14" s="20"/>
      <c r="GHQ14" s="20"/>
      <c r="GHR14" s="20"/>
      <c r="GHS14" s="20"/>
      <c r="GHT14" s="20"/>
      <c r="GHU14" s="20"/>
      <c r="GHV14" s="20"/>
      <c r="GHW14" s="20"/>
      <c r="GHX14" s="20"/>
      <c r="GHY14" s="20"/>
      <c r="GHZ14" s="20"/>
      <c r="GIA14" s="20"/>
      <c r="GIB14" s="20"/>
      <c r="GIC14" s="20"/>
      <c r="GID14" s="20"/>
      <c r="GIE14" s="20"/>
      <c r="GIF14" s="20"/>
      <c r="GIG14" s="20"/>
      <c r="GIH14" s="20"/>
      <c r="GII14" s="20"/>
      <c r="GIJ14" s="20"/>
      <c r="GIK14" s="20"/>
      <c r="GIL14" s="20"/>
      <c r="GIM14" s="20"/>
      <c r="GIN14" s="20"/>
      <c r="GIO14" s="20"/>
      <c r="GIP14" s="20"/>
      <c r="GIQ14" s="20"/>
      <c r="GIR14" s="20"/>
      <c r="GIS14" s="20"/>
      <c r="GIT14" s="20"/>
      <c r="GIU14" s="20"/>
      <c r="GIV14" s="20"/>
      <c r="GIW14" s="20"/>
      <c r="GIX14" s="20"/>
      <c r="GIY14" s="20"/>
      <c r="GIZ14" s="20"/>
      <c r="GJA14" s="20"/>
      <c r="GJB14" s="20"/>
      <c r="GJC14" s="20"/>
      <c r="GJD14" s="20"/>
      <c r="GJE14" s="20"/>
      <c r="GJF14" s="20"/>
      <c r="GJG14" s="20"/>
      <c r="GJH14" s="20"/>
      <c r="GJI14" s="20"/>
      <c r="GJJ14" s="20"/>
      <c r="GJK14" s="20"/>
      <c r="GJL14" s="20"/>
      <c r="GJM14" s="20"/>
      <c r="GJN14" s="20"/>
      <c r="GJO14" s="20"/>
      <c r="GJP14" s="20"/>
      <c r="GJQ14" s="20"/>
      <c r="GJR14" s="20"/>
      <c r="GJS14" s="20"/>
      <c r="GJT14" s="20"/>
      <c r="GJU14" s="20"/>
      <c r="GJV14" s="20"/>
      <c r="GJW14" s="20"/>
      <c r="GJX14" s="20"/>
      <c r="GJY14" s="20"/>
      <c r="GJZ14" s="20"/>
      <c r="GKA14" s="20"/>
      <c r="GKB14" s="20"/>
      <c r="GKC14" s="20"/>
      <c r="GKD14" s="20"/>
      <c r="GKE14" s="20"/>
      <c r="GKF14" s="20"/>
      <c r="GKG14" s="20"/>
      <c r="GKH14" s="20"/>
      <c r="GKI14" s="20"/>
      <c r="GKJ14" s="20"/>
      <c r="GKK14" s="20"/>
      <c r="GKL14" s="20"/>
      <c r="GKM14" s="20"/>
      <c r="GKN14" s="20"/>
      <c r="GKO14" s="20"/>
      <c r="GKP14" s="20"/>
      <c r="GKQ14" s="20"/>
      <c r="GKR14" s="20"/>
      <c r="GKS14" s="20"/>
      <c r="GKT14" s="20"/>
      <c r="GKU14" s="20"/>
      <c r="GKV14" s="20"/>
      <c r="GKW14" s="20"/>
      <c r="GKX14" s="20"/>
      <c r="GKY14" s="20"/>
      <c r="GKZ14" s="20"/>
      <c r="GLA14" s="20"/>
      <c r="GLB14" s="20"/>
      <c r="GLC14" s="20"/>
      <c r="GLD14" s="20"/>
      <c r="GLE14" s="20"/>
      <c r="GLF14" s="20"/>
      <c r="GLG14" s="20"/>
      <c r="GLH14" s="20"/>
      <c r="GLI14" s="20"/>
      <c r="GLJ14" s="20"/>
      <c r="GLK14" s="20"/>
      <c r="GLL14" s="20"/>
      <c r="GLM14" s="20"/>
      <c r="GLN14" s="20"/>
      <c r="GLO14" s="20"/>
      <c r="GLP14" s="20"/>
      <c r="GLQ14" s="20"/>
      <c r="GLR14" s="20"/>
      <c r="GLS14" s="20"/>
      <c r="GLT14" s="20"/>
      <c r="GLU14" s="20"/>
      <c r="GLV14" s="20"/>
      <c r="GLW14" s="20"/>
      <c r="GLX14" s="20"/>
      <c r="GLY14" s="20"/>
      <c r="GLZ14" s="20"/>
      <c r="GMA14" s="20"/>
      <c r="GMB14" s="20"/>
      <c r="GMC14" s="20"/>
      <c r="GMD14" s="20"/>
      <c r="GME14" s="20"/>
      <c r="GMF14" s="20"/>
      <c r="GMG14" s="20"/>
      <c r="GMH14" s="20"/>
      <c r="GMI14" s="20"/>
      <c r="GMJ14" s="20"/>
      <c r="GMK14" s="20"/>
      <c r="GML14" s="20"/>
      <c r="GMM14" s="20"/>
      <c r="GMN14" s="20"/>
      <c r="GMO14" s="20"/>
      <c r="GMP14" s="20"/>
      <c r="GMQ14" s="20"/>
      <c r="GMR14" s="20"/>
      <c r="GMS14" s="20"/>
      <c r="GMT14" s="20"/>
      <c r="GMU14" s="20"/>
      <c r="GMV14" s="20"/>
      <c r="GMW14" s="20"/>
      <c r="GMX14" s="20"/>
      <c r="GMY14" s="20"/>
      <c r="GMZ14" s="20"/>
      <c r="GNA14" s="20"/>
      <c r="GNB14" s="20"/>
      <c r="GNC14" s="20"/>
      <c r="GND14" s="20"/>
      <c r="GNE14" s="20"/>
      <c r="GNF14" s="20"/>
      <c r="GNG14" s="20"/>
      <c r="GNH14" s="20"/>
      <c r="GNI14" s="20"/>
      <c r="GNJ14" s="20"/>
      <c r="GNK14" s="20"/>
      <c r="GNL14" s="20"/>
      <c r="GNM14" s="20"/>
      <c r="GNN14" s="20"/>
      <c r="GNO14" s="20"/>
      <c r="GNP14" s="20"/>
      <c r="GNQ14" s="20"/>
      <c r="GNR14" s="20"/>
      <c r="GNS14" s="20"/>
      <c r="GNT14" s="20"/>
      <c r="GNU14" s="20"/>
      <c r="GNV14" s="20"/>
      <c r="GNW14" s="20"/>
      <c r="GNX14" s="20"/>
      <c r="GNY14" s="20"/>
      <c r="GNZ14" s="20"/>
      <c r="GOA14" s="20"/>
      <c r="GOB14" s="20"/>
      <c r="GOC14" s="20"/>
      <c r="GOD14" s="20"/>
      <c r="GOE14" s="20"/>
      <c r="GOF14" s="20"/>
      <c r="GOG14" s="20"/>
      <c r="GOH14" s="20"/>
      <c r="GOI14" s="20"/>
      <c r="GOJ14" s="20"/>
      <c r="GOK14" s="20"/>
      <c r="GOL14" s="20"/>
      <c r="GOM14" s="20"/>
      <c r="GON14" s="20"/>
      <c r="GOO14" s="20"/>
      <c r="GOP14" s="20"/>
      <c r="GOQ14" s="20"/>
      <c r="GOR14" s="20"/>
      <c r="GOS14" s="20"/>
      <c r="GOT14" s="20"/>
      <c r="GOU14" s="20"/>
      <c r="GOV14" s="20"/>
      <c r="GOW14" s="20"/>
      <c r="GOX14" s="20"/>
      <c r="GOY14" s="20"/>
      <c r="GOZ14" s="20"/>
      <c r="GPA14" s="20"/>
      <c r="GPB14" s="20"/>
      <c r="GPC14" s="20"/>
      <c r="GPD14" s="20"/>
      <c r="GPE14" s="20"/>
      <c r="GPF14" s="20"/>
      <c r="GPG14" s="20"/>
      <c r="GPH14" s="20"/>
      <c r="GPI14" s="20"/>
      <c r="GPJ14" s="20"/>
      <c r="GPK14" s="20"/>
      <c r="GPL14" s="20"/>
      <c r="GPM14" s="20"/>
      <c r="GPN14" s="20"/>
      <c r="GPO14" s="20"/>
      <c r="GPP14" s="20"/>
      <c r="GPQ14" s="20"/>
      <c r="GPR14" s="20"/>
      <c r="GPS14" s="20"/>
      <c r="GPT14" s="20"/>
      <c r="GPU14" s="20"/>
      <c r="GPV14" s="20"/>
      <c r="GPW14" s="20"/>
      <c r="GPX14" s="20"/>
      <c r="GPY14" s="20"/>
      <c r="GPZ14" s="20"/>
      <c r="GQA14" s="20"/>
      <c r="GQB14" s="20"/>
      <c r="GQC14" s="20"/>
      <c r="GQD14" s="20"/>
      <c r="GQE14" s="20"/>
      <c r="GQF14" s="20"/>
      <c r="GQG14" s="20"/>
      <c r="GQH14" s="20"/>
      <c r="GQI14" s="20"/>
      <c r="GQJ14" s="20"/>
      <c r="GQK14" s="20"/>
      <c r="GQL14" s="20"/>
      <c r="GQM14" s="20"/>
      <c r="GQN14" s="20"/>
      <c r="GQO14" s="20"/>
      <c r="GQP14" s="20"/>
      <c r="GQQ14" s="20"/>
      <c r="GQR14" s="20"/>
      <c r="GQS14" s="20"/>
      <c r="GQT14" s="20"/>
      <c r="GQU14" s="20"/>
      <c r="GQV14" s="20"/>
      <c r="GQW14" s="20"/>
      <c r="GQX14" s="20"/>
      <c r="GQY14" s="20"/>
      <c r="GQZ14" s="20"/>
      <c r="GRA14" s="20"/>
      <c r="GRB14" s="20"/>
      <c r="GRC14" s="20"/>
      <c r="GRD14" s="20"/>
      <c r="GRE14" s="20"/>
      <c r="GRF14" s="20"/>
      <c r="GRG14" s="20"/>
      <c r="GRH14" s="20"/>
      <c r="GRI14" s="20"/>
      <c r="GRJ14" s="20"/>
      <c r="GRK14" s="20"/>
      <c r="GRL14" s="20"/>
      <c r="GRM14" s="20"/>
      <c r="GRN14" s="20"/>
      <c r="GRO14" s="20"/>
      <c r="GRP14" s="20"/>
      <c r="GRQ14" s="20"/>
      <c r="GRR14" s="20"/>
      <c r="GRS14" s="20"/>
      <c r="GRT14" s="20"/>
      <c r="GRU14" s="20"/>
      <c r="GRV14" s="20"/>
      <c r="GRW14" s="20"/>
      <c r="GRX14" s="20"/>
      <c r="GRY14" s="20"/>
      <c r="GRZ14" s="20"/>
      <c r="GSA14" s="20"/>
      <c r="GSB14" s="20"/>
      <c r="GSC14" s="20"/>
      <c r="GSD14" s="20"/>
      <c r="GSE14" s="20"/>
      <c r="GSF14" s="20"/>
      <c r="GSG14" s="20"/>
      <c r="GSH14" s="20"/>
      <c r="GSI14" s="20"/>
      <c r="GSJ14" s="20"/>
      <c r="GSK14" s="20"/>
      <c r="GSL14" s="20"/>
      <c r="GSM14" s="20"/>
      <c r="GSN14" s="20"/>
      <c r="GSO14" s="20"/>
      <c r="GSP14" s="20"/>
      <c r="GSQ14" s="20"/>
      <c r="GSR14" s="20"/>
      <c r="GSS14" s="20"/>
      <c r="GST14" s="20"/>
      <c r="GSU14" s="20"/>
      <c r="GSV14" s="20"/>
      <c r="GSW14" s="20"/>
      <c r="GSX14" s="20"/>
      <c r="GSY14" s="20"/>
      <c r="GSZ14" s="20"/>
      <c r="GTA14" s="20"/>
      <c r="GTB14" s="20"/>
      <c r="GTC14" s="20"/>
      <c r="GTD14" s="20"/>
      <c r="GTE14" s="20"/>
      <c r="GTF14" s="20"/>
      <c r="GTG14" s="20"/>
      <c r="GTH14" s="20"/>
      <c r="GTI14" s="20"/>
      <c r="GTJ14" s="20"/>
      <c r="GTK14" s="20"/>
      <c r="GTL14" s="20"/>
      <c r="GTM14" s="20"/>
      <c r="GTN14" s="20"/>
      <c r="GTO14" s="20"/>
      <c r="GTP14" s="20"/>
      <c r="GTQ14" s="20"/>
      <c r="GTR14" s="20"/>
      <c r="GTS14" s="20"/>
      <c r="GTT14" s="20"/>
      <c r="GTU14" s="20"/>
      <c r="GTV14" s="20"/>
      <c r="GTW14" s="20"/>
      <c r="GTX14" s="20"/>
      <c r="GTY14" s="20"/>
      <c r="GTZ14" s="20"/>
      <c r="GUA14" s="20"/>
      <c r="GUB14" s="20"/>
      <c r="GUC14" s="20"/>
      <c r="GUD14" s="20"/>
      <c r="GUE14" s="20"/>
      <c r="GUF14" s="20"/>
      <c r="GUG14" s="20"/>
      <c r="GUH14" s="20"/>
      <c r="GUI14" s="20"/>
      <c r="GUJ14" s="20"/>
      <c r="GUK14" s="20"/>
      <c r="GUL14" s="20"/>
      <c r="GUM14" s="20"/>
      <c r="GUN14" s="20"/>
      <c r="GUO14" s="20"/>
      <c r="GUP14" s="20"/>
      <c r="GUQ14" s="20"/>
      <c r="GUR14" s="20"/>
      <c r="GUS14" s="20"/>
      <c r="GUT14" s="20"/>
      <c r="GUU14" s="20"/>
      <c r="GUV14" s="20"/>
      <c r="GUW14" s="20"/>
      <c r="GUX14" s="20"/>
      <c r="GUY14" s="20"/>
      <c r="GUZ14" s="20"/>
      <c r="GVA14" s="20"/>
      <c r="GVB14" s="20"/>
      <c r="GVC14" s="20"/>
      <c r="GVD14" s="20"/>
      <c r="GVE14" s="20"/>
      <c r="GVF14" s="20"/>
      <c r="GVG14" s="20"/>
      <c r="GVH14" s="20"/>
      <c r="GVI14" s="20"/>
      <c r="GVJ14" s="20"/>
      <c r="GVK14" s="20"/>
      <c r="GVL14" s="20"/>
      <c r="GVM14" s="20"/>
      <c r="GVN14" s="20"/>
      <c r="GVO14" s="20"/>
      <c r="GVP14" s="20"/>
      <c r="GVQ14" s="20"/>
      <c r="GVR14" s="20"/>
      <c r="GVS14" s="20"/>
      <c r="GVT14" s="20"/>
      <c r="GVU14" s="20"/>
      <c r="GVV14" s="20"/>
      <c r="GVW14" s="20"/>
      <c r="GVX14" s="20"/>
      <c r="GVY14" s="20"/>
      <c r="GVZ14" s="20"/>
      <c r="GWA14" s="20"/>
      <c r="GWB14" s="20"/>
      <c r="GWC14" s="20"/>
      <c r="GWD14" s="20"/>
      <c r="GWE14" s="20"/>
      <c r="GWF14" s="20"/>
      <c r="GWG14" s="20"/>
      <c r="GWH14" s="20"/>
      <c r="GWI14" s="20"/>
      <c r="GWJ14" s="20"/>
      <c r="GWK14" s="20"/>
      <c r="GWL14" s="20"/>
      <c r="GWM14" s="20"/>
      <c r="GWN14" s="20"/>
      <c r="GWO14" s="20"/>
      <c r="GWP14" s="20"/>
      <c r="GWQ14" s="20"/>
      <c r="GWR14" s="20"/>
      <c r="GWS14" s="20"/>
      <c r="GWT14" s="20"/>
      <c r="GWU14" s="20"/>
      <c r="GWV14" s="20"/>
      <c r="GWW14" s="20"/>
      <c r="GWX14" s="20"/>
      <c r="GWY14" s="20"/>
      <c r="GWZ14" s="20"/>
      <c r="GXA14" s="20"/>
      <c r="GXB14" s="20"/>
      <c r="GXC14" s="20"/>
      <c r="GXD14" s="20"/>
      <c r="GXE14" s="20"/>
      <c r="GXF14" s="20"/>
      <c r="GXG14" s="20"/>
      <c r="GXH14" s="20"/>
      <c r="GXI14" s="20"/>
      <c r="GXJ14" s="20"/>
      <c r="GXK14" s="20"/>
      <c r="GXL14" s="20"/>
      <c r="GXM14" s="20"/>
      <c r="GXN14" s="20"/>
      <c r="GXO14" s="20"/>
      <c r="GXP14" s="20"/>
      <c r="GXQ14" s="20"/>
      <c r="GXR14" s="20"/>
      <c r="GXS14" s="20"/>
      <c r="GXT14" s="20"/>
      <c r="GXU14" s="20"/>
      <c r="GXV14" s="20"/>
      <c r="GXW14" s="20"/>
      <c r="GXX14" s="20"/>
      <c r="GXY14" s="20"/>
      <c r="GXZ14" s="20"/>
      <c r="GYA14" s="20"/>
      <c r="GYB14" s="20"/>
      <c r="GYC14" s="20"/>
      <c r="GYD14" s="20"/>
      <c r="GYE14" s="20"/>
      <c r="GYF14" s="20"/>
      <c r="GYG14" s="20"/>
      <c r="GYH14" s="20"/>
      <c r="GYI14" s="20"/>
      <c r="GYJ14" s="20"/>
      <c r="GYK14" s="20"/>
      <c r="GYL14" s="20"/>
      <c r="GYM14" s="20"/>
      <c r="GYN14" s="20"/>
      <c r="GYO14" s="20"/>
      <c r="GYP14" s="20"/>
      <c r="GYQ14" s="20"/>
      <c r="GYR14" s="20"/>
      <c r="GYS14" s="20"/>
      <c r="GYT14" s="20"/>
      <c r="GYU14" s="20"/>
      <c r="GYV14" s="20"/>
      <c r="GYW14" s="20"/>
      <c r="GYX14" s="20"/>
      <c r="GYY14" s="20"/>
      <c r="GYZ14" s="20"/>
      <c r="GZA14" s="20"/>
      <c r="GZB14" s="20"/>
      <c r="GZC14" s="20"/>
      <c r="GZD14" s="20"/>
      <c r="GZE14" s="20"/>
      <c r="GZF14" s="20"/>
      <c r="GZG14" s="20"/>
      <c r="GZH14" s="20"/>
      <c r="GZI14" s="20"/>
      <c r="GZJ14" s="20"/>
      <c r="GZK14" s="20"/>
      <c r="GZL14" s="20"/>
      <c r="GZM14" s="20"/>
      <c r="GZN14" s="20"/>
      <c r="GZO14" s="20"/>
      <c r="GZP14" s="20"/>
      <c r="GZQ14" s="20"/>
      <c r="GZR14" s="20"/>
      <c r="GZS14" s="20"/>
      <c r="GZT14" s="20"/>
      <c r="GZU14" s="20"/>
      <c r="GZV14" s="20"/>
      <c r="GZW14" s="20"/>
      <c r="GZX14" s="20"/>
      <c r="GZY14" s="20"/>
      <c r="GZZ14" s="20"/>
      <c r="HAA14" s="20"/>
      <c r="HAB14" s="20"/>
      <c r="HAC14" s="20"/>
      <c r="HAD14" s="20"/>
      <c r="HAE14" s="20"/>
      <c r="HAF14" s="20"/>
      <c r="HAG14" s="20"/>
      <c r="HAH14" s="20"/>
      <c r="HAI14" s="20"/>
      <c r="HAJ14" s="20"/>
      <c r="HAK14" s="20"/>
      <c r="HAL14" s="20"/>
      <c r="HAM14" s="20"/>
      <c r="HAN14" s="20"/>
      <c r="HAO14" s="20"/>
      <c r="HAP14" s="20"/>
      <c r="HAQ14" s="20"/>
      <c r="HAR14" s="20"/>
      <c r="HAS14" s="20"/>
      <c r="HAT14" s="20"/>
      <c r="HAU14" s="20"/>
      <c r="HAV14" s="20"/>
      <c r="HAW14" s="20"/>
      <c r="HAX14" s="20"/>
      <c r="HAY14" s="20"/>
      <c r="HAZ14" s="20"/>
      <c r="HBA14" s="20"/>
      <c r="HBB14" s="20"/>
      <c r="HBC14" s="20"/>
      <c r="HBD14" s="20"/>
      <c r="HBE14" s="20"/>
      <c r="HBF14" s="20"/>
      <c r="HBG14" s="20"/>
      <c r="HBH14" s="20"/>
      <c r="HBI14" s="20"/>
      <c r="HBJ14" s="20"/>
      <c r="HBK14" s="20"/>
      <c r="HBL14" s="20"/>
      <c r="HBM14" s="20"/>
      <c r="HBN14" s="20"/>
      <c r="HBO14" s="20"/>
      <c r="HBP14" s="20"/>
      <c r="HBQ14" s="20"/>
      <c r="HBR14" s="20"/>
      <c r="HBS14" s="20"/>
      <c r="HBT14" s="20"/>
      <c r="HBU14" s="20"/>
      <c r="HBV14" s="20"/>
      <c r="HBW14" s="20"/>
      <c r="HBX14" s="20"/>
      <c r="HBY14" s="20"/>
      <c r="HBZ14" s="20"/>
      <c r="HCA14" s="20"/>
      <c r="HCB14" s="20"/>
      <c r="HCC14" s="20"/>
      <c r="HCD14" s="20"/>
      <c r="HCE14" s="20"/>
      <c r="HCF14" s="20"/>
      <c r="HCG14" s="20"/>
      <c r="HCH14" s="20"/>
      <c r="HCI14" s="20"/>
      <c r="HCJ14" s="20"/>
      <c r="HCK14" s="20"/>
      <c r="HCL14" s="20"/>
      <c r="HCM14" s="20"/>
      <c r="HCN14" s="20"/>
      <c r="HCO14" s="20"/>
      <c r="HCP14" s="20"/>
      <c r="HCQ14" s="20"/>
      <c r="HCR14" s="20"/>
      <c r="HCS14" s="20"/>
      <c r="HCT14" s="20"/>
      <c r="HCU14" s="20"/>
      <c r="HCV14" s="20"/>
      <c r="HCW14" s="20"/>
      <c r="HCX14" s="20"/>
      <c r="HCY14" s="20"/>
      <c r="HCZ14" s="20"/>
      <c r="HDA14" s="20"/>
      <c r="HDB14" s="20"/>
      <c r="HDC14" s="20"/>
      <c r="HDD14" s="20"/>
      <c r="HDE14" s="20"/>
      <c r="HDF14" s="20"/>
      <c r="HDG14" s="20"/>
      <c r="HDH14" s="20"/>
      <c r="HDI14" s="20"/>
      <c r="HDJ14" s="20"/>
      <c r="HDK14" s="20"/>
      <c r="HDL14" s="20"/>
      <c r="HDM14" s="20"/>
      <c r="HDN14" s="20"/>
      <c r="HDO14" s="20"/>
      <c r="HDP14" s="20"/>
      <c r="HDQ14" s="20"/>
      <c r="HDR14" s="20"/>
      <c r="HDS14" s="20"/>
      <c r="HDT14" s="20"/>
      <c r="HDU14" s="20"/>
      <c r="HDV14" s="20"/>
      <c r="HDW14" s="20"/>
      <c r="HDX14" s="20"/>
      <c r="HDY14" s="20"/>
      <c r="HDZ14" s="20"/>
      <c r="HEA14" s="20"/>
      <c r="HEB14" s="20"/>
      <c r="HEC14" s="20"/>
      <c r="HED14" s="20"/>
      <c r="HEE14" s="20"/>
      <c r="HEF14" s="20"/>
      <c r="HEG14" s="20"/>
      <c r="HEH14" s="20"/>
      <c r="HEI14" s="20"/>
      <c r="HEJ14" s="20"/>
      <c r="HEK14" s="20"/>
      <c r="HEL14" s="20"/>
      <c r="HEM14" s="20"/>
      <c r="HEN14" s="20"/>
      <c r="HEO14" s="20"/>
      <c r="HEP14" s="20"/>
      <c r="HEQ14" s="20"/>
      <c r="HER14" s="20"/>
      <c r="HES14" s="20"/>
      <c r="HET14" s="20"/>
      <c r="HEU14" s="20"/>
      <c r="HEV14" s="20"/>
      <c r="HEW14" s="20"/>
      <c r="HEX14" s="20"/>
      <c r="HEY14" s="20"/>
      <c r="HEZ14" s="20"/>
      <c r="HFA14" s="20"/>
      <c r="HFB14" s="20"/>
      <c r="HFC14" s="20"/>
      <c r="HFD14" s="20"/>
      <c r="HFE14" s="20"/>
      <c r="HFF14" s="20"/>
      <c r="HFG14" s="20"/>
      <c r="HFH14" s="20"/>
      <c r="HFI14" s="20"/>
      <c r="HFJ14" s="20"/>
      <c r="HFK14" s="20"/>
      <c r="HFL14" s="20"/>
      <c r="HFM14" s="20"/>
      <c r="HFN14" s="20"/>
      <c r="HFO14" s="20"/>
      <c r="HFP14" s="20"/>
      <c r="HFQ14" s="20"/>
      <c r="HFR14" s="20"/>
      <c r="HFS14" s="20"/>
      <c r="HFT14" s="20"/>
      <c r="HFU14" s="20"/>
      <c r="HFV14" s="20"/>
      <c r="HFW14" s="20"/>
      <c r="HFX14" s="20"/>
      <c r="HFY14" s="20"/>
      <c r="HFZ14" s="20"/>
      <c r="HGA14" s="20"/>
      <c r="HGB14" s="20"/>
      <c r="HGC14" s="20"/>
      <c r="HGD14" s="20"/>
      <c r="HGE14" s="20"/>
      <c r="HGF14" s="20"/>
      <c r="HGG14" s="20"/>
      <c r="HGH14" s="20"/>
      <c r="HGI14" s="20"/>
      <c r="HGJ14" s="20"/>
      <c r="HGK14" s="20"/>
      <c r="HGL14" s="20"/>
      <c r="HGM14" s="20"/>
      <c r="HGN14" s="20"/>
      <c r="HGO14" s="20"/>
      <c r="HGP14" s="20"/>
      <c r="HGQ14" s="20"/>
      <c r="HGR14" s="20"/>
      <c r="HGS14" s="20"/>
      <c r="HGT14" s="20"/>
      <c r="HGU14" s="20"/>
      <c r="HGV14" s="20"/>
      <c r="HGW14" s="20"/>
      <c r="HGX14" s="20"/>
      <c r="HGY14" s="20"/>
      <c r="HGZ14" s="20"/>
      <c r="HHA14" s="20"/>
      <c r="HHB14" s="20"/>
      <c r="HHC14" s="20"/>
      <c r="HHD14" s="20"/>
      <c r="HHE14" s="20"/>
      <c r="HHF14" s="20"/>
      <c r="HHG14" s="20"/>
      <c r="HHH14" s="20"/>
      <c r="HHI14" s="20"/>
      <c r="HHJ14" s="20"/>
      <c r="HHK14" s="20"/>
      <c r="HHL14" s="20"/>
      <c r="HHM14" s="20"/>
      <c r="HHN14" s="20"/>
      <c r="HHO14" s="20"/>
      <c r="HHP14" s="20"/>
      <c r="HHQ14" s="20"/>
      <c r="HHR14" s="20"/>
      <c r="HHS14" s="20"/>
      <c r="HHT14" s="20"/>
      <c r="HHU14" s="20"/>
      <c r="HHV14" s="20"/>
      <c r="HHW14" s="20"/>
      <c r="HHX14" s="20"/>
      <c r="HHY14" s="20"/>
      <c r="HHZ14" s="20"/>
      <c r="HIA14" s="20"/>
      <c r="HIB14" s="20"/>
      <c r="HIC14" s="20"/>
      <c r="HID14" s="20"/>
      <c r="HIE14" s="20"/>
      <c r="HIF14" s="20"/>
      <c r="HIG14" s="20"/>
      <c r="HIH14" s="20"/>
      <c r="HII14" s="20"/>
      <c r="HIJ14" s="20"/>
      <c r="HIK14" s="20"/>
      <c r="HIL14" s="20"/>
      <c r="HIM14" s="20"/>
      <c r="HIN14" s="20"/>
      <c r="HIO14" s="20"/>
      <c r="HIP14" s="20"/>
      <c r="HIQ14" s="20"/>
      <c r="HIR14" s="20"/>
      <c r="HIS14" s="20"/>
      <c r="HIT14" s="20"/>
      <c r="HIU14" s="20"/>
      <c r="HIV14" s="20"/>
      <c r="HIW14" s="20"/>
      <c r="HIX14" s="20"/>
      <c r="HIY14" s="20"/>
      <c r="HIZ14" s="20"/>
      <c r="HJA14" s="20"/>
      <c r="HJB14" s="20"/>
      <c r="HJC14" s="20"/>
      <c r="HJD14" s="20"/>
      <c r="HJE14" s="20"/>
      <c r="HJF14" s="20"/>
      <c r="HJG14" s="20"/>
      <c r="HJH14" s="20"/>
      <c r="HJI14" s="20"/>
      <c r="HJJ14" s="20"/>
      <c r="HJK14" s="20"/>
      <c r="HJL14" s="20"/>
      <c r="HJM14" s="20"/>
      <c r="HJN14" s="20"/>
      <c r="HJO14" s="20"/>
      <c r="HJP14" s="20"/>
      <c r="HJQ14" s="20"/>
      <c r="HJR14" s="20"/>
      <c r="HJS14" s="20"/>
      <c r="HJT14" s="20"/>
      <c r="HJU14" s="20"/>
      <c r="HJV14" s="20"/>
      <c r="HJW14" s="20"/>
      <c r="HJX14" s="20"/>
      <c r="HJY14" s="20"/>
      <c r="HJZ14" s="20"/>
      <c r="HKA14" s="20"/>
      <c r="HKB14" s="20"/>
      <c r="HKC14" s="20"/>
      <c r="HKD14" s="20"/>
      <c r="HKE14" s="20"/>
      <c r="HKF14" s="20"/>
      <c r="HKG14" s="20"/>
      <c r="HKH14" s="20"/>
      <c r="HKI14" s="20"/>
      <c r="HKJ14" s="20"/>
      <c r="HKK14" s="20"/>
      <c r="HKL14" s="20"/>
      <c r="HKM14" s="20"/>
      <c r="HKN14" s="20"/>
      <c r="HKO14" s="20"/>
      <c r="HKP14" s="20"/>
      <c r="HKQ14" s="20"/>
      <c r="HKR14" s="20"/>
      <c r="HKS14" s="20"/>
      <c r="HKT14" s="20"/>
      <c r="HKU14" s="20"/>
      <c r="HKV14" s="20"/>
      <c r="HKW14" s="20"/>
      <c r="HKX14" s="20"/>
      <c r="HKY14" s="20"/>
      <c r="HKZ14" s="20"/>
      <c r="HLA14" s="20"/>
      <c r="HLB14" s="20"/>
      <c r="HLC14" s="20"/>
      <c r="HLD14" s="20"/>
      <c r="HLE14" s="20"/>
      <c r="HLF14" s="20"/>
      <c r="HLG14" s="20"/>
      <c r="HLH14" s="20"/>
      <c r="HLI14" s="20"/>
      <c r="HLJ14" s="20"/>
      <c r="HLK14" s="20"/>
      <c r="HLL14" s="20"/>
      <c r="HLM14" s="20"/>
      <c r="HLN14" s="20"/>
      <c r="HLO14" s="20"/>
      <c r="HLP14" s="20"/>
      <c r="HLQ14" s="20"/>
      <c r="HLR14" s="20"/>
      <c r="HLS14" s="20"/>
      <c r="HLT14" s="20"/>
      <c r="HLU14" s="20"/>
      <c r="HLV14" s="20"/>
      <c r="HLW14" s="20"/>
      <c r="HLX14" s="20"/>
      <c r="HLY14" s="20"/>
      <c r="HLZ14" s="20"/>
      <c r="HMA14" s="20"/>
      <c r="HMB14" s="20"/>
      <c r="HMC14" s="20"/>
      <c r="HMD14" s="20"/>
      <c r="HME14" s="20"/>
      <c r="HMF14" s="20"/>
      <c r="HMG14" s="20"/>
      <c r="HMH14" s="20"/>
      <c r="HMI14" s="20"/>
      <c r="HMJ14" s="20"/>
      <c r="HMK14" s="20"/>
      <c r="HML14" s="20"/>
      <c r="HMM14" s="20"/>
      <c r="HMN14" s="20"/>
      <c r="HMO14" s="20"/>
      <c r="HMP14" s="20"/>
      <c r="HMQ14" s="20"/>
      <c r="HMR14" s="20"/>
      <c r="HMS14" s="20"/>
      <c r="HMT14" s="20"/>
      <c r="HMU14" s="20"/>
      <c r="HMV14" s="20"/>
      <c r="HMW14" s="20"/>
      <c r="HMX14" s="20"/>
      <c r="HMY14" s="20"/>
      <c r="HMZ14" s="20"/>
      <c r="HNA14" s="20"/>
      <c r="HNB14" s="20"/>
      <c r="HNC14" s="20"/>
      <c r="HND14" s="20"/>
      <c r="HNE14" s="20"/>
      <c r="HNF14" s="20"/>
      <c r="HNG14" s="20"/>
      <c r="HNH14" s="20"/>
      <c r="HNI14" s="20"/>
      <c r="HNJ14" s="20"/>
      <c r="HNK14" s="20"/>
      <c r="HNL14" s="20"/>
      <c r="HNM14" s="20"/>
      <c r="HNN14" s="20"/>
      <c r="HNO14" s="20"/>
      <c r="HNP14" s="20"/>
      <c r="HNQ14" s="20"/>
      <c r="HNR14" s="20"/>
      <c r="HNS14" s="20"/>
      <c r="HNT14" s="20"/>
      <c r="HNU14" s="20"/>
      <c r="HNV14" s="20"/>
      <c r="HNW14" s="20"/>
      <c r="HNX14" s="20"/>
      <c r="HNY14" s="20"/>
      <c r="HNZ14" s="20"/>
      <c r="HOA14" s="20"/>
      <c r="HOB14" s="20"/>
      <c r="HOC14" s="20"/>
      <c r="HOD14" s="20"/>
      <c r="HOE14" s="20"/>
      <c r="HOF14" s="20"/>
      <c r="HOG14" s="20"/>
      <c r="HOH14" s="20"/>
      <c r="HOI14" s="20"/>
      <c r="HOJ14" s="20"/>
      <c r="HOK14" s="20"/>
      <c r="HOL14" s="20"/>
      <c r="HOM14" s="20"/>
      <c r="HON14" s="20"/>
      <c r="HOO14" s="20"/>
      <c r="HOP14" s="20"/>
      <c r="HOQ14" s="20"/>
      <c r="HOR14" s="20"/>
      <c r="HOS14" s="20"/>
      <c r="HOT14" s="20"/>
      <c r="HOU14" s="20"/>
      <c r="HOV14" s="20"/>
      <c r="HOW14" s="20"/>
      <c r="HOX14" s="20"/>
      <c r="HOY14" s="20"/>
      <c r="HOZ14" s="20"/>
      <c r="HPA14" s="20"/>
      <c r="HPB14" s="20"/>
      <c r="HPC14" s="20"/>
      <c r="HPD14" s="20"/>
      <c r="HPE14" s="20"/>
      <c r="HPF14" s="20"/>
      <c r="HPG14" s="20"/>
      <c r="HPH14" s="20"/>
      <c r="HPI14" s="20"/>
      <c r="HPJ14" s="20"/>
      <c r="HPK14" s="20"/>
      <c r="HPL14" s="20"/>
      <c r="HPM14" s="20"/>
      <c r="HPN14" s="20"/>
      <c r="HPO14" s="20"/>
      <c r="HPP14" s="20"/>
      <c r="HPQ14" s="20"/>
      <c r="HPR14" s="20"/>
      <c r="HPS14" s="20"/>
      <c r="HPT14" s="20"/>
      <c r="HPU14" s="20"/>
      <c r="HPV14" s="20"/>
      <c r="HPW14" s="20"/>
      <c r="HPX14" s="20"/>
      <c r="HPY14" s="20"/>
      <c r="HPZ14" s="20"/>
      <c r="HQA14" s="20"/>
      <c r="HQB14" s="20"/>
      <c r="HQC14" s="20"/>
      <c r="HQD14" s="20"/>
      <c r="HQE14" s="20"/>
      <c r="HQF14" s="20"/>
      <c r="HQG14" s="20"/>
      <c r="HQH14" s="20"/>
      <c r="HQI14" s="20"/>
      <c r="HQJ14" s="20"/>
      <c r="HQK14" s="20"/>
      <c r="HQL14" s="20"/>
      <c r="HQM14" s="20"/>
      <c r="HQN14" s="20"/>
      <c r="HQO14" s="20"/>
      <c r="HQP14" s="20"/>
      <c r="HQQ14" s="20"/>
      <c r="HQR14" s="20"/>
      <c r="HQS14" s="20"/>
      <c r="HQT14" s="20"/>
      <c r="HQU14" s="20"/>
      <c r="HQV14" s="20"/>
      <c r="HQW14" s="20"/>
      <c r="HQX14" s="20"/>
      <c r="HQY14" s="20"/>
      <c r="HQZ14" s="20"/>
      <c r="HRA14" s="20"/>
      <c r="HRB14" s="20"/>
      <c r="HRC14" s="20"/>
      <c r="HRD14" s="20"/>
      <c r="HRE14" s="20"/>
      <c r="HRF14" s="20"/>
      <c r="HRG14" s="20"/>
      <c r="HRH14" s="20"/>
      <c r="HRI14" s="20"/>
      <c r="HRJ14" s="20"/>
      <c r="HRK14" s="20"/>
      <c r="HRL14" s="20"/>
      <c r="HRM14" s="20"/>
      <c r="HRN14" s="20"/>
      <c r="HRO14" s="20"/>
      <c r="HRP14" s="20"/>
      <c r="HRQ14" s="20"/>
      <c r="HRR14" s="20"/>
      <c r="HRS14" s="20"/>
      <c r="HRT14" s="20"/>
      <c r="HRU14" s="20"/>
      <c r="HRV14" s="20"/>
      <c r="HRW14" s="20"/>
      <c r="HRX14" s="20"/>
      <c r="HRY14" s="20"/>
      <c r="HRZ14" s="20"/>
      <c r="HSA14" s="20"/>
      <c r="HSB14" s="20"/>
      <c r="HSC14" s="20"/>
      <c r="HSD14" s="20"/>
      <c r="HSE14" s="20"/>
      <c r="HSF14" s="20"/>
      <c r="HSG14" s="20"/>
      <c r="HSH14" s="20"/>
      <c r="HSI14" s="20"/>
      <c r="HSJ14" s="20"/>
      <c r="HSK14" s="20"/>
      <c r="HSL14" s="20"/>
      <c r="HSM14" s="20"/>
      <c r="HSN14" s="20"/>
      <c r="HSO14" s="20"/>
      <c r="HSP14" s="20"/>
      <c r="HSQ14" s="20"/>
      <c r="HSR14" s="20"/>
      <c r="HSS14" s="20"/>
      <c r="HST14" s="20"/>
      <c r="HSU14" s="20"/>
      <c r="HSV14" s="20"/>
      <c r="HSW14" s="20"/>
      <c r="HSX14" s="20"/>
      <c r="HSY14" s="20"/>
      <c r="HSZ14" s="20"/>
      <c r="HTA14" s="20"/>
      <c r="HTB14" s="20"/>
      <c r="HTC14" s="20"/>
      <c r="HTD14" s="20"/>
      <c r="HTE14" s="20"/>
      <c r="HTF14" s="20"/>
      <c r="HTG14" s="20"/>
      <c r="HTH14" s="20"/>
      <c r="HTI14" s="20"/>
      <c r="HTJ14" s="20"/>
      <c r="HTK14" s="20"/>
      <c r="HTL14" s="20"/>
      <c r="HTM14" s="20"/>
      <c r="HTN14" s="20"/>
      <c r="HTO14" s="20"/>
      <c r="HTP14" s="20"/>
      <c r="HTQ14" s="20"/>
      <c r="HTR14" s="20"/>
      <c r="HTS14" s="20"/>
      <c r="HTT14" s="20"/>
      <c r="HTU14" s="20"/>
      <c r="HTV14" s="20"/>
      <c r="HTW14" s="20"/>
      <c r="HTX14" s="20"/>
      <c r="HTY14" s="20"/>
      <c r="HTZ14" s="20"/>
      <c r="HUA14" s="20"/>
      <c r="HUB14" s="20"/>
      <c r="HUC14" s="20"/>
      <c r="HUD14" s="20"/>
      <c r="HUE14" s="20"/>
      <c r="HUF14" s="20"/>
      <c r="HUG14" s="20"/>
      <c r="HUH14" s="20"/>
      <c r="HUI14" s="20"/>
      <c r="HUJ14" s="20"/>
      <c r="HUK14" s="20"/>
      <c r="HUL14" s="20"/>
      <c r="HUM14" s="20"/>
      <c r="HUN14" s="20"/>
      <c r="HUO14" s="20"/>
      <c r="HUP14" s="20"/>
      <c r="HUQ14" s="20"/>
      <c r="HUR14" s="20"/>
      <c r="HUS14" s="20"/>
      <c r="HUT14" s="20"/>
      <c r="HUU14" s="20"/>
      <c r="HUV14" s="20"/>
      <c r="HUW14" s="20"/>
      <c r="HUX14" s="20"/>
      <c r="HUY14" s="20"/>
      <c r="HUZ14" s="20"/>
      <c r="HVA14" s="20"/>
      <c r="HVB14" s="20"/>
      <c r="HVC14" s="20"/>
      <c r="HVD14" s="20"/>
      <c r="HVE14" s="20"/>
      <c r="HVF14" s="20"/>
      <c r="HVG14" s="20"/>
      <c r="HVH14" s="20"/>
      <c r="HVI14" s="20"/>
      <c r="HVJ14" s="20"/>
      <c r="HVK14" s="20"/>
      <c r="HVL14" s="20"/>
      <c r="HVM14" s="20"/>
      <c r="HVN14" s="20"/>
      <c r="HVO14" s="20"/>
      <c r="HVP14" s="20"/>
      <c r="HVQ14" s="20"/>
      <c r="HVR14" s="20"/>
      <c r="HVS14" s="20"/>
      <c r="HVT14" s="20"/>
      <c r="HVU14" s="20"/>
      <c r="HVV14" s="20"/>
      <c r="HVW14" s="20"/>
      <c r="HVX14" s="20"/>
      <c r="HVY14" s="20"/>
      <c r="HVZ14" s="20"/>
      <c r="HWA14" s="20"/>
      <c r="HWB14" s="20"/>
      <c r="HWC14" s="20"/>
      <c r="HWD14" s="20"/>
      <c r="HWE14" s="20"/>
      <c r="HWF14" s="20"/>
      <c r="HWG14" s="20"/>
      <c r="HWH14" s="20"/>
      <c r="HWI14" s="20"/>
      <c r="HWJ14" s="20"/>
      <c r="HWK14" s="20"/>
      <c r="HWL14" s="20"/>
      <c r="HWM14" s="20"/>
      <c r="HWN14" s="20"/>
      <c r="HWO14" s="20"/>
      <c r="HWP14" s="20"/>
      <c r="HWQ14" s="20"/>
      <c r="HWR14" s="20"/>
      <c r="HWS14" s="20"/>
      <c r="HWT14" s="20"/>
      <c r="HWU14" s="20"/>
      <c r="HWV14" s="20"/>
      <c r="HWW14" s="20"/>
      <c r="HWX14" s="20"/>
      <c r="HWY14" s="20"/>
      <c r="HWZ14" s="20"/>
      <c r="HXA14" s="20"/>
      <c r="HXB14" s="20"/>
      <c r="HXC14" s="20"/>
      <c r="HXD14" s="20"/>
      <c r="HXE14" s="20"/>
      <c r="HXF14" s="20"/>
      <c r="HXG14" s="20"/>
      <c r="HXH14" s="20"/>
      <c r="HXI14" s="20"/>
      <c r="HXJ14" s="20"/>
      <c r="HXK14" s="20"/>
      <c r="HXL14" s="20"/>
      <c r="HXM14" s="20"/>
      <c r="HXN14" s="20"/>
      <c r="HXO14" s="20"/>
      <c r="HXP14" s="20"/>
      <c r="HXQ14" s="20"/>
      <c r="HXR14" s="20"/>
      <c r="HXS14" s="20"/>
      <c r="HXT14" s="20"/>
      <c r="HXU14" s="20"/>
      <c r="HXV14" s="20"/>
      <c r="HXW14" s="20"/>
      <c r="HXX14" s="20"/>
      <c r="HXY14" s="20"/>
      <c r="HXZ14" s="20"/>
      <c r="HYA14" s="20"/>
      <c r="HYB14" s="20"/>
      <c r="HYC14" s="20"/>
      <c r="HYD14" s="20"/>
      <c r="HYE14" s="20"/>
      <c r="HYF14" s="20"/>
      <c r="HYG14" s="20"/>
      <c r="HYH14" s="20"/>
      <c r="HYI14" s="20"/>
      <c r="HYJ14" s="20"/>
      <c r="HYK14" s="20"/>
      <c r="HYL14" s="20"/>
      <c r="HYM14" s="20"/>
      <c r="HYN14" s="20"/>
      <c r="HYO14" s="20"/>
      <c r="HYP14" s="20"/>
      <c r="HYQ14" s="20"/>
      <c r="HYR14" s="20"/>
      <c r="HYS14" s="20"/>
      <c r="HYT14" s="20"/>
      <c r="HYU14" s="20"/>
      <c r="HYV14" s="20"/>
      <c r="HYW14" s="20"/>
      <c r="HYX14" s="20"/>
      <c r="HYY14" s="20"/>
      <c r="HYZ14" s="20"/>
      <c r="HZA14" s="20"/>
      <c r="HZB14" s="20"/>
      <c r="HZC14" s="20"/>
      <c r="HZD14" s="20"/>
      <c r="HZE14" s="20"/>
      <c r="HZF14" s="20"/>
      <c r="HZG14" s="20"/>
      <c r="HZH14" s="20"/>
      <c r="HZI14" s="20"/>
      <c r="HZJ14" s="20"/>
      <c r="HZK14" s="20"/>
      <c r="HZL14" s="20"/>
      <c r="HZM14" s="20"/>
      <c r="HZN14" s="20"/>
      <c r="HZO14" s="20"/>
      <c r="HZP14" s="20"/>
      <c r="HZQ14" s="20"/>
      <c r="HZR14" s="20"/>
      <c r="HZS14" s="20"/>
      <c r="HZT14" s="20"/>
      <c r="HZU14" s="20"/>
      <c r="HZV14" s="20"/>
      <c r="HZW14" s="20"/>
      <c r="HZX14" s="20"/>
      <c r="HZY14" s="20"/>
      <c r="HZZ14" s="20"/>
      <c r="IAA14" s="20"/>
      <c r="IAB14" s="20"/>
      <c r="IAC14" s="20"/>
      <c r="IAD14" s="20"/>
      <c r="IAE14" s="20"/>
      <c r="IAF14" s="20"/>
      <c r="IAG14" s="20"/>
      <c r="IAH14" s="20"/>
      <c r="IAI14" s="20"/>
      <c r="IAJ14" s="20"/>
      <c r="IAK14" s="20"/>
      <c r="IAL14" s="20"/>
      <c r="IAM14" s="20"/>
      <c r="IAN14" s="20"/>
      <c r="IAO14" s="20"/>
      <c r="IAP14" s="20"/>
      <c r="IAQ14" s="20"/>
      <c r="IAR14" s="20"/>
      <c r="IAS14" s="20"/>
      <c r="IAT14" s="20"/>
      <c r="IAU14" s="20"/>
      <c r="IAV14" s="20"/>
      <c r="IAW14" s="20"/>
      <c r="IAX14" s="20"/>
      <c r="IAY14" s="20"/>
      <c r="IAZ14" s="20"/>
      <c r="IBA14" s="20"/>
      <c r="IBB14" s="20"/>
      <c r="IBC14" s="20"/>
      <c r="IBD14" s="20"/>
      <c r="IBE14" s="20"/>
      <c r="IBF14" s="20"/>
      <c r="IBG14" s="20"/>
      <c r="IBH14" s="20"/>
      <c r="IBI14" s="20"/>
      <c r="IBJ14" s="20"/>
      <c r="IBK14" s="20"/>
      <c r="IBL14" s="20"/>
      <c r="IBM14" s="20"/>
      <c r="IBN14" s="20"/>
      <c r="IBO14" s="20"/>
      <c r="IBP14" s="20"/>
      <c r="IBQ14" s="20"/>
      <c r="IBR14" s="20"/>
      <c r="IBS14" s="20"/>
      <c r="IBT14" s="20"/>
      <c r="IBU14" s="20"/>
      <c r="IBV14" s="20"/>
      <c r="IBW14" s="20"/>
      <c r="IBX14" s="20"/>
      <c r="IBY14" s="20"/>
      <c r="IBZ14" s="20"/>
      <c r="ICA14" s="20"/>
      <c r="ICB14" s="20"/>
      <c r="ICC14" s="20"/>
      <c r="ICD14" s="20"/>
      <c r="ICE14" s="20"/>
      <c r="ICF14" s="20"/>
      <c r="ICG14" s="20"/>
      <c r="ICH14" s="20"/>
      <c r="ICI14" s="20"/>
      <c r="ICJ14" s="20"/>
      <c r="ICK14" s="20"/>
      <c r="ICL14" s="20"/>
      <c r="ICM14" s="20"/>
      <c r="ICN14" s="20"/>
      <c r="ICO14" s="20"/>
      <c r="ICP14" s="20"/>
      <c r="ICQ14" s="20"/>
      <c r="ICR14" s="20"/>
      <c r="ICS14" s="20"/>
      <c r="ICT14" s="20"/>
      <c r="ICU14" s="20"/>
      <c r="ICV14" s="20"/>
      <c r="ICW14" s="20"/>
      <c r="ICX14" s="20"/>
      <c r="ICY14" s="20"/>
      <c r="ICZ14" s="20"/>
      <c r="IDA14" s="20"/>
      <c r="IDB14" s="20"/>
      <c r="IDC14" s="20"/>
      <c r="IDD14" s="20"/>
      <c r="IDE14" s="20"/>
      <c r="IDF14" s="20"/>
      <c r="IDG14" s="20"/>
      <c r="IDH14" s="20"/>
      <c r="IDI14" s="20"/>
      <c r="IDJ14" s="20"/>
      <c r="IDK14" s="20"/>
      <c r="IDL14" s="20"/>
      <c r="IDM14" s="20"/>
      <c r="IDN14" s="20"/>
      <c r="IDO14" s="20"/>
      <c r="IDP14" s="20"/>
      <c r="IDQ14" s="20"/>
      <c r="IDR14" s="20"/>
      <c r="IDS14" s="20"/>
      <c r="IDT14" s="20"/>
      <c r="IDU14" s="20"/>
      <c r="IDV14" s="20"/>
      <c r="IDW14" s="20"/>
      <c r="IDX14" s="20"/>
      <c r="IDY14" s="20"/>
      <c r="IDZ14" s="20"/>
      <c r="IEA14" s="20"/>
      <c r="IEB14" s="20"/>
      <c r="IEC14" s="20"/>
      <c r="IED14" s="20"/>
      <c r="IEE14" s="20"/>
      <c r="IEF14" s="20"/>
      <c r="IEG14" s="20"/>
      <c r="IEH14" s="20"/>
      <c r="IEI14" s="20"/>
      <c r="IEJ14" s="20"/>
      <c r="IEK14" s="20"/>
      <c r="IEL14" s="20"/>
      <c r="IEM14" s="20"/>
      <c r="IEN14" s="20"/>
      <c r="IEO14" s="20"/>
      <c r="IEP14" s="20"/>
      <c r="IEQ14" s="20"/>
      <c r="IER14" s="20"/>
      <c r="IES14" s="20"/>
      <c r="IET14" s="20"/>
      <c r="IEU14" s="20"/>
      <c r="IEV14" s="20"/>
      <c r="IEW14" s="20"/>
      <c r="IEX14" s="20"/>
      <c r="IEY14" s="20"/>
      <c r="IEZ14" s="20"/>
      <c r="IFA14" s="20"/>
      <c r="IFB14" s="20"/>
      <c r="IFC14" s="20"/>
      <c r="IFD14" s="20"/>
      <c r="IFE14" s="20"/>
      <c r="IFF14" s="20"/>
      <c r="IFG14" s="20"/>
      <c r="IFH14" s="20"/>
      <c r="IFI14" s="20"/>
      <c r="IFJ14" s="20"/>
      <c r="IFK14" s="20"/>
      <c r="IFL14" s="20"/>
      <c r="IFM14" s="20"/>
      <c r="IFN14" s="20"/>
      <c r="IFO14" s="20"/>
      <c r="IFP14" s="20"/>
      <c r="IFQ14" s="20"/>
      <c r="IFR14" s="20"/>
      <c r="IFS14" s="20"/>
      <c r="IFT14" s="20"/>
      <c r="IFU14" s="20"/>
      <c r="IFV14" s="20"/>
      <c r="IFW14" s="20"/>
      <c r="IFX14" s="20"/>
      <c r="IFY14" s="20"/>
      <c r="IFZ14" s="20"/>
      <c r="IGA14" s="20"/>
      <c r="IGB14" s="20"/>
      <c r="IGC14" s="20"/>
      <c r="IGD14" s="20"/>
      <c r="IGE14" s="20"/>
      <c r="IGF14" s="20"/>
      <c r="IGG14" s="20"/>
      <c r="IGH14" s="20"/>
      <c r="IGI14" s="20"/>
      <c r="IGJ14" s="20"/>
      <c r="IGK14" s="20"/>
      <c r="IGL14" s="20"/>
      <c r="IGM14" s="20"/>
      <c r="IGN14" s="20"/>
      <c r="IGO14" s="20"/>
      <c r="IGP14" s="20"/>
      <c r="IGQ14" s="20"/>
      <c r="IGR14" s="20"/>
      <c r="IGS14" s="20"/>
      <c r="IGT14" s="20"/>
      <c r="IGU14" s="20"/>
      <c r="IGV14" s="20"/>
      <c r="IGW14" s="20"/>
      <c r="IGX14" s="20"/>
      <c r="IGY14" s="20"/>
      <c r="IGZ14" s="20"/>
      <c r="IHA14" s="20"/>
      <c r="IHB14" s="20"/>
      <c r="IHC14" s="20"/>
      <c r="IHD14" s="20"/>
      <c r="IHE14" s="20"/>
      <c r="IHF14" s="20"/>
      <c r="IHG14" s="20"/>
      <c r="IHH14" s="20"/>
      <c r="IHI14" s="20"/>
      <c r="IHJ14" s="20"/>
      <c r="IHK14" s="20"/>
      <c r="IHL14" s="20"/>
      <c r="IHM14" s="20"/>
      <c r="IHN14" s="20"/>
      <c r="IHO14" s="20"/>
      <c r="IHP14" s="20"/>
      <c r="IHQ14" s="20"/>
      <c r="IHR14" s="20"/>
      <c r="IHS14" s="20"/>
      <c r="IHT14" s="20"/>
      <c r="IHU14" s="20"/>
      <c r="IHV14" s="20"/>
      <c r="IHW14" s="20"/>
      <c r="IHX14" s="20"/>
      <c r="IHY14" s="20"/>
      <c r="IHZ14" s="20"/>
      <c r="IIA14" s="20"/>
      <c r="IIB14" s="20"/>
      <c r="IIC14" s="20"/>
      <c r="IID14" s="20"/>
      <c r="IIE14" s="20"/>
      <c r="IIF14" s="20"/>
      <c r="IIG14" s="20"/>
      <c r="IIH14" s="20"/>
      <c r="III14" s="20"/>
      <c r="IIJ14" s="20"/>
      <c r="IIK14" s="20"/>
      <c r="IIL14" s="20"/>
      <c r="IIM14" s="20"/>
      <c r="IIN14" s="20"/>
      <c r="IIO14" s="20"/>
      <c r="IIP14" s="20"/>
      <c r="IIQ14" s="20"/>
      <c r="IIR14" s="20"/>
      <c r="IIS14" s="20"/>
      <c r="IIT14" s="20"/>
      <c r="IIU14" s="20"/>
      <c r="IIV14" s="20"/>
      <c r="IIW14" s="20"/>
      <c r="IIX14" s="20"/>
      <c r="IIY14" s="20"/>
      <c r="IIZ14" s="20"/>
      <c r="IJA14" s="20"/>
      <c r="IJB14" s="20"/>
      <c r="IJC14" s="20"/>
      <c r="IJD14" s="20"/>
      <c r="IJE14" s="20"/>
      <c r="IJF14" s="20"/>
      <c r="IJG14" s="20"/>
      <c r="IJH14" s="20"/>
      <c r="IJI14" s="20"/>
      <c r="IJJ14" s="20"/>
      <c r="IJK14" s="20"/>
      <c r="IJL14" s="20"/>
      <c r="IJM14" s="20"/>
      <c r="IJN14" s="20"/>
      <c r="IJO14" s="20"/>
      <c r="IJP14" s="20"/>
      <c r="IJQ14" s="20"/>
      <c r="IJR14" s="20"/>
      <c r="IJS14" s="20"/>
      <c r="IJT14" s="20"/>
      <c r="IJU14" s="20"/>
      <c r="IJV14" s="20"/>
      <c r="IJW14" s="20"/>
      <c r="IJX14" s="20"/>
      <c r="IJY14" s="20"/>
      <c r="IJZ14" s="20"/>
      <c r="IKA14" s="20"/>
      <c r="IKB14" s="20"/>
      <c r="IKC14" s="20"/>
      <c r="IKD14" s="20"/>
      <c r="IKE14" s="20"/>
      <c r="IKF14" s="20"/>
      <c r="IKG14" s="20"/>
      <c r="IKH14" s="20"/>
      <c r="IKI14" s="20"/>
      <c r="IKJ14" s="20"/>
      <c r="IKK14" s="20"/>
      <c r="IKL14" s="20"/>
      <c r="IKM14" s="20"/>
      <c r="IKN14" s="20"/>
      <c r="IKO14" s="20"/>
      <c r="IKP14" s="20"/>
      <c r="IKQ14" s="20"/>
      <c r="IKR14" s="20"/>
      <c r="IKS14" s="20"/>
      <c r="IKT14" s="20"/>
      <c r="IKU14" s="20"/>
      <c r="IKV14" s="20"/>
      <c r="IKW14" s="20"/>
      <c r="IKX14" s="20"/>
      <c r="IKY14" s="20"/>
      <c r="IKZ14" s="20"/>
      <c r="ILA14" s="20"/>
      <c r="ILB14" s="20"/>
      <c r="ILC14" s="20"/>
      <c r="ILD14" s="20"/>
      <c r="ILE14" s="20"/>
      <c r="ILF14" s="20"/>
      <c r="ILG14" s="20"/>
      <c r="ILH14" s="20"/>
      <c r="ILI14" s="20"/>
      <c r="ILJ14" s="20"/>
      <c r="ILK14" s="20"/>
      <c r="ILL14" s="20"/>
      <c r="ILM14" s="20"/>
      <c r="ILN14" s="20"/>
      <c r="ILO14" s="20"/>
      <c r="ILP14" s="20"/>
      <c r="ILQ14" s="20"/>
      <c r="ILR14" s="20"/>
      <c r="ILS14" s="20"/>
      <c r="ILT14" s="20"/>
      <c r="ILU14" s="20"/>
      <c r="ILV14" s="20"/>
      <c r="ILW14" s="20"/>
      <c r="ILX14" s="20"/>
      <c r="ILY14" s="20"/>
      <c r="ILZ14" s="20"/>
      <c r="IMA14" s="20"/>
      <c r="IMB14" s="20"/>
      <c r="IMC14" s="20"/>
      <c r="IMD14" s="20"/>
      <c r="IME14" s="20"/>
      <c r="IMF14" s="20"/>
      <c r="IMG14" s="20"/>
      <c r="IMH14" s="20"/>
      <c r="IMI14" s="20"/>
      <c r="IMJ14" s="20"/>
      <c r="IMK14" s="20"/>
      <c r="IML14" s="20"/>
      <c r="IMM14" s="20"/>
      <c r="IMN14" s="20"/>
      <c r="IMO14" s="20"/>
      <c r="IMP14" s="20"/>
      <c r="IMQ14" s="20"/>
      <c r="IMR14" s="20"/>
      <c r="IMS14" s="20"/>
      <c r="IMT14" s="20"/>
      <c r="IMU14" s="20"/>
      <c r="IMV14" s="20"/>
      <c r="IMW14" s="20"/>
      <c r="IMX14" s="20"/>
      <c r="IMY14" s="20"/>
      <c r="IMZ14" s="20"/>
      <c r="INA14" s="20"/>
      <c r="INB14" s="20"/>
      <c r="INC14" s="20"/>
      <c r="IND14" s="20"/>
      <c r="INE14" s="20"/>
      <c r="INF14" s="20"/>
      <c r="ING14" s="20"/>
      <c r="INH14" s="20"/>
      <c r="INI14" s="20"/>
      <c r="INJ14" s="20"/>
      <c r="INK14" s="20"/>
      <c r="INL14" s="20"/>
      <c r="INM14" s="20"/>
      <c r="INN14" s="20"/>
      <c r="INO14" s="20"/>
      <c r="INP14" s="20"/>
      <c r="INQ14" s="20"/>
      <c r="INR14" s="20"/>
      <c r="INS14" s="20"/>
      <c r="INT14" s="20"/>
      <c r="INU14" s="20"/>
      <c r="INV14" s="20"/>
      <c r="INW14" s="20"/>
      <c r="INX14" s="20"/>
      <c r="INY14" s="20"/>
      <c r="INZ14" s="20"/>
      <c r="IOA14" s="20"/>
      <c r="IOB14" s="20"/>
      <c r="IOC14" s="20"/>
      <c r="IOD14" s="20"/>
      <c r="IOE14" s="20"/>
      <c r="IOF14" s="20"/>
      <c r="IOG14" s="20"/>
      <c r="IOH14" s="20"/>
      <c r="IOI14" s="20"/>
      <c r="IOJ14" s="20"/>
      <c r="IOK14" s="20"/>
      <c r="IOL14" s="20"/>
      <c r="IOM14" s="20"/>
      <c r="ION14" s="20"/>
      <c r="IOO14" s="20"/>
      <c r="IOP14" s="20"/>
      <c r="IOQ14" s="20"/>
      <c r="IOR14" s="20"/>
      <c r="IOS14" s="20"/>
      <c r="IOT14" s="20"/>
      <c r="IOU14" s="20"/>
      <c r="IOV14" s="20"/>
      <c r="IOW14" s="20"/>
      <c r="IOX14" s="20"/>
      <c r="IOY14" s="20"/>
      <c r="IOZ14" s="20"/>
      <c r="IPA14" s="20"/>
      <c r="IPB14" s="20"/>
      <c r="IPC14" s="20"/>
      <c r="IPD14" s="20"/>
      <c r="IPE14" s="20"/>
      <c r="IPF14" s="20"/>
      <c r="IPG14" s="20"/>
      <c r="IPH14" s="20"/>
      <c r="IPI14" s="20"/>
      <c r="IPJ14" s="20"/>
      <c r="IPK14" s="20"/>
      <c r="IPL14" s="20"/>
      <c r="IPM14" s="20"/>
      <c r="IPN14" s="20"/>
      <c r="IPO14" s="20"/>
      <c r="IPP14" s="20"/>
      <c r="IPQ14" s="20"/>
      <c r="IPR14" s="20"/>
      <c r="IPS14" s="20"/>
      <c r="IPT14" s="20"/>
      <c r="IPU14" s="20"/>
      <c r="IPV14" s="20"/>
      <c r="IPW14" s="20"/>
      <c r="IPX14" s="20"/>
      <c r="IPY14" s="20"/>
      <c r="IPZ14" s="20"/>
      <c r="IQA14" s="20"/>
      <c r="IQB14" s="20"/>
      <c r="IQC14" s="20"/>
      <c r="IQD14" s="20"/>
      <c r="IQE14" s="20"/>
      <c r="IQF14" s="20"/>
      <c r="IQG14" s="20"/>
      <c r="IQH14" s="20"/>
      <c r="IQI14" s="20"/>
      <c r="IQJ14" s="20"/>
      <c r="IQK14" s="20"/>
      <c r="IQL14" s="20"/>
      <c r="IQM14" s="20"/>
      <c r="IQN14" s="20"/>
      <c r="IQO14" s="20"/>
      <c r="IQP14" s="20"/>
      <c r="IQQ14" s="20"/>
      <c r="IQR14" s="20"/>
      <c r="IQS14" s="20"/>
      <c r="IQT14" s="20"/>
      <c r="IQU14" s="20"/>
      <c r="IQV14" s="20"/>
      <c r="IQW14" s="20"/>
      <c r="IQX14" s="20"/>
      <c r="IQY14" s="20"/>
      <c r="IQZ14" s="20"/>
      <c r="IRA14" s="20"/>
      <c r="IRB14" s="20"/>
      <c r="IRC14" s="20"/>
      <c r="IRD14" s="20"/>
      <c r="IRE14" s="20"/>
      <c r="IRF14" s="20"/>
      <c r="IRG14" s="20"/>
      <c r="IRH14" s="20"/>
      <c r="IRI14" s="20"/>
      <c r="IRJ14" s="20"/>
      <c r="IRK14" s="20"/>
      <c r="IRL14" s="20"/>
      <c r="IRM14" s="20"/>
      <c r="IRN14" s="20"/>
      <c r="IRO14" s="20"/>
      <c r="IRP14" s="20"/>
      <c r="IRQ14" s="20"/>
      <c r="IRR14" s="20"/>
      <c r="IRS14" s="20"/>
      <c r="IRT14" s="20"/>
      <c r="IRU14" s="20"/>
      <c r="IRV14" s="20"/>
      <c r="IRW14" s="20"/>
      <c r="IRX14" s="20"/>
      <c r="IRY14" s="20"/>
      <c r="IRZ14" s="20"/>
      <c r="ISA14" s="20"/>
      <c r="ISB14" s="20"/>
      <c r="ISC14" s="20"/>
      <c r="ISD14" s="20"/>
      <c r="ISE14" s="20"/>
      <c r="ISF14" s="20"/>
      <c r="ISG14" s="20"/>
      <c r="ISH14" s="20"/>
      <c r="ISI14" s="20"/>
      <c r="ISJ14" s="20"/>
      <c r="ISK14" s="20"/>
      <c r="ISL14" s="20"/>
      <c r="ISM14" s="20"/>
      <c r="ISN14" s="20"/>
      <c r="ISO14" s="20"/>
      <c r="ISP14" s="20"/>
      <c r="ISQ14" s="20"/>
      <c r="ISR14" s="20"/>
      <c r="ISS14" s="20"/>
      <c r="IST14" s="20"/>
      <c r="ISU14" s="20"/>
      <c r="ISV14" s="20"/>
      <c r="ISW14" s="20"/>
      <c r="ISX14" s="20"/>
      <c r="ISY14" s="20"/>
      <c r="ISZ14" s="20"/>
      <c r="ITA14" s="20"/>
      <c r="ITB14" s="20"/>
      <c r="ITC14" s="20"/>
      <c r="ITD14" s="20"/>
      <c r="ITE14" s="20"/>
      <c r="ITF14" s="20"/>
      <c r="ITG14" s="20"/>
      <c r="ITH14" s="20"/>
      <c r="ITI14" s="20"/>
      <c r="ITJ14" s="20"/>
      <c r="ITK14" s="20"/>
      <c r="ITL14" s="20"/>
      <c r="ITM14" s="20"/>
      <c r="ITN14" s="20"/>
      <c r="ITO14" s="20"/>
      <c r="ITP14" s="20"/>
      <c r="ITQ14" s="20"/>
      <c r="ITR14" s="20"/>
      <c r="ITS14" s="20"/>
      <c r="ITT14" s="20"/>
      <c r="ITU14" s="20"/>
      <c r="ITV14" s="20"/>
      <c r="ITW14" s="20"/>
      <c r="ITX14" s="20"/>
      <c r="ITY14" s="20"/>
      <c r="ITZ14" s="20"/>
      <c r="IUA14" s="20"/>
      <c r="IUB14" s="20"/>
      <c r="IUC14" s="20"/>
      <c r="IUD14" s="20"/>
      <c r="IUE14" s="20"/>
      <c r="IUF14" s="20"/>
      <c r="IUG14" s="20"/>
      <c r="IUH14" s="20"/>
      <c r="IUI14" s="20"/>
      <c r="IUJ14" s="20"/>
      <c r="IUK14" s="20"/>
      <c r="IUL14" s="20"/>
      <c r="IUM14" s="20"/>
      <c r="IUN14" s="20"/>
      <c r="IUO14" s="20"/>
      <c r="IUP14" s="20"/>
      <c r="IUQ14" s="20"/>
      <c r="IUR14" s="20"/>
      <c r="IUS14" s="20"/>
      <c r="IUT14" s="20"/>
      <c r="IUU14" s="20"/>
      <c r="IUV14" s="20"/>
      <c r="IUW14" s="20"/>
      <c r="IUX14" s="20"/>
      <c r="IUY14" s="20"/>
      <c r="IUZ14" s="20"/>
      <c r="IVA14" s="20"/>
      <c r="IVB14" s="20"/>
      <c r="IVC14" s="20"/>
      <c r="IVD14" s="20"/>
      <c r="IVE14" s="20"/>
      <c r="IVF14" s="20"/>
      <c r="IVG14" s="20"/>
      <c r="IVH14" s="20"/>
      <c r="IVI14" s="20"/>
      <c r="IVJ14" s="20"/>
      <c r="IVK14" s="20"/>
      <c r="IVL14" s="20"/>
      <c r="IVM14" s="20"/>
      <c r="IVN14" s="20"/>
      <c r="IVO14" s="20"/>
      <c r="IVP14" s="20"/>
      <c r="IVQ14" s="20"/>
      <c r="IVR14" s="20"/>
      <c r="IVS14" s="20"/>
      <c r="IVT14" s="20"/>
      <c r="IVU14" s="20"/>
      <c r="IVV14" s="20"/>
      <c r="IVW14" s="20"/>
      <c r="IVX14" s="20"/>
      <c r="IVY14" s="20"/>
      <c r="IVZ14" s="20"/>
      <c r="IWA14" s="20"/>
      <c r="IWB14" s="20"/>
      <c r="IWC14" s="20"/>
      <c r="IWD14" s="20"/>
      <c r="IWE14" s="20"/>
      <c r="IWF14" s="20"/>
      <c r="IWG14" s="20"/>
      <c r="IWH14" s="20"/>
      <c r="IWI14" s="20"/>
      <c r="IWJ14" s="20"/>
      <c r="IWK14" s="20"/>
      <c r="IWL14" s="20"/>
      <c r="IWM14" s="20"/>
      <c r="IWN14" s="20"/>
      <c r="IWO14" s="20"/>
      <c r="IWP14" s="20"/>
      <c r="IWQ14" s="20"/>
      <c r="IWR14" s="20"/>
      <c r="IWS14" s="20"/>
      <c r="IWT14" s="20"/>
      <c r="IWU14" s="20"/>
      <c r="IWV14" s="20"/>
      <c r="IWW14" s="20"/>
      <c r="IWX14" s="20"/>
      <c r="IWY14" s="20"/>
      <c r="IWZ14" s="20"/>
      <c r="IXA14" s="20"/>
      <c r="IXB14" s="20"/>
      <c r="IXC14" s="20"/>
      <c r="IXD14" s="20"/>
      <c r="IXE14" s="20"/>
      <c r="IXF14" s="20"/>
      <c r="IXG14" s="20"/>
      <c r="IXH14" s="20"/>
      <c r="IXI14" s="20"/>
      <c r="IXJ14" s="20"/>
      <c r="IXK14" s="20"/>
      <c r="IXL14" s="20"/>
      <c r="IXM14" s="20"/>
      <c r="IXN14" s="20"/>
      <c r="IXO14" s="20"/>
      <c r="IXP14" s="20"/>
      <c r="IXQ14" s="20"/>
      <c r="IXR14" s="20"/>
      <c r="IXS14" s="20"/>
      <c r="IXT14" s="20"/>
      <c r="IXU14" s="20"/>
      <c r="IXV14" s="20"/>
      <c r="IXW14" s="20"/>
      <c r="IXX14" s="20"/>
      <c r="IXY14" s="20"/>
      <c r="IXZ14" s="20"/>
      <c r="IYA14" s="20"/>
      <c r="IYB14" s="20"/>
      <c r="IYC14" s="20"/>
      <c r="IYD14" s="20"/>
      <c r="IYE14" s="20"/>
      <c r="IYF14" s="20"/>
      <c r="IYG14" s="20"/>
      <c r="IYH14" s="20"/>
      <c r="IYI14" s="20"/>
      <c r="IYJ14" s="20"/>
      <c r="IYK14" s="20"/>
      <c r="IYL14" s="20"/>
      <c r="IYM14" s="20"/>
      <c r="IYN14" s="20"/>
      <c r="IYO14" s="20"/>
      <c r="IYP14" s="20"/>
      <c r="IYQ14" s="20"/>
      <c r="IYR14" s="20"/>
      <c r="IYS14" s="20"/>
      <c r="IYT14" s="20"/>
      <c r="IYU14" s="20"/>
      <c r="IYV14" s="20"/>
      <c r="IYW14" s="20"/>
      <c r="IYX14" s="20"/>
      <c r="IYY14" s="20"/>
      <c r="IYZ14" s="20"/>
      <c r="IZA14" s="20"/>
      <c r="IZB14" s="20"/>
      <c r="IZC14" s="20"/>
      <c r="IZD14" s="20"/>
      <c r="IZE14" s="20"/>
      <c r="IZF14" s="20"/>
      <c r="IZG14" s="20"/>
      <c r="IZH14" s="20"/>
      <c r="IZI14" s="20"/>
      <c r="IZJ14" s="20"/>
      <c r="IZK14" s="20"/>
      <c r="IZL14" s="20"/>
      <c r="IZM14" s="20"/>
      <c r="IZN14" s="20"/>
      <c r="IZO14" s="20"/>
      <c r="IZP14" s="20"/>
      <c r="IZQ14" s="20"/>
      <c r="IZR14" s="20"/>
      <c r="IZS14" s="20"/>
      <c r="IZT14" s="20"/>
      <c r="IZU14" s="20"/>
      <c r="IZV14" s="20"/>
      <c r="IZW14" s="20"/>
      <c r="IZX14" s="20"/>
      <c r="IZY14" s="20"/>
      <c r="IZZ14" s="20"/>
      <c r="JAA14" s="20"/>
      <c r="JAB14" s="20"/>
      <c r="JAC14" s="20"/>
      <c r="JAD14" s="20"/>
      <c r="JAE14" s="20"/>
      <c r="JAF14" s="20"/>
      <c r="JAG14" s="20"/>
      <c r="JAH14" s="20"/>
      <c r="JAI14" s="20"/>
      <c r="JAJ14" s="20"/>
      <c r="JAK14" s="20"/>
      <c r="JAL14" s="20"/>
      <c r="JAM14" s="20"/>
      <c r="JAN14" s="20"/>
      <c r="JAO14" s="20"/>
      <c r="JAP14" s="20"/>
      <c r="JAQ14" s="20"/>
      <c r="JAR14" s="20"/>
      <c r="JAS14" s="20"/>
      <c r="JAT14" s="20"/>
      <c r="JAU14" s="20"/>
      <c r="JAV14" s="20"/>
      <c r="JAW14" s="20"/>
      <c r="JAX14" s="20"/>
      <c r="JAY14" s="20"/>
      <c r="JAZ14" s="20"/>
      <c r="JBA14" s="20"/>
      <c r="JBB14" s="20"/>
      <c r="JBC14" s="20"/>
      <c r="JBD14" s="20"/>
      <c r="JBE14" s="20"/>
      <c r="JBF14" s="20"/>
      <c r="JBG14" s="20"/>
      <c r="JBH14" s="20"/>
      <c r="JBI14" s="20"/>
      <c r="JBJ14" s="20"/>
      <c r="JBK14" s="20"/>
      <c r="JBL14" s="20"/>
      <c r="JBM14" s="20"/>
      <c r="JBN14" s="20"/>
      <c r="JBO14" s="20"/>
      <c r="JBP14" s="20"/>
      <c r="JBQ14" s="20"/>
      <c r="JBR14" s="20"/>
      <c r="JBS14" s="20"/>
      <c r="JBT14" s="20"/>
      <c r="JBU14" s="20"/>
      <c r="JBV14" s="20"/>
      <c r="JBW14" s="20"/>
      <c r="JBX14" s="20"/>
      <c r="JBY14" s="20"/>
      <c r="JBZ14" s="20"/>
      <c r="JCA14" s="20"/>
      <c r="JCB14" s="20"/>
      <c r="JCC14" s="20"/>
      <c r="JCD14" s="20"/>
      <c r="JCE14" s="20"/>
      <c r="JCF14" s="20"/>
      <c r="JCG14" s="20"/>
      <c r="JCH14" s="20"/>
      <c r="JCI14" s="20"/>
      <c r="JCJ14" s="20"/>
      <c r="JCK14" s="20"/>
      <c r="JCL14" s="20"/>
      <c r="JCM14" s="20"/>
      <c r="JCN14" s="20"/>
      <c r="JCO14" s="20"/>
      <c r="JCP14" s="20"/>
      <c r="JCQ14" s="20"/>
      <c r="JCR14" s="20"/>
      <c r="JCS14" s="20"/>
      <c r="JCT14" s="20"/>
      <c r="JCU14" s="20"/>
      <c r="JCV14" s="20"/>
      <c r="JCW14" s="20"/>
      <c r="JCX14" s="20"/>
      <c r="JCY14" s="20"/>
      <c r="JCZ14" s="20"/>
      <c r="JDA14" s="20"/>
      <c r="JDB14" s="20"/>
      <c r="JDC14" s="20"/>
      <c r="JDD14" s="20"/>
      <c r="JDE14" s="20"/>
      <c r="JDF14" s="20"/>
      <c r="JDG14" s="20"/>
      <c r="JDH14" s="20"/>
      <c r="JDI14" s="20"/>
      <c r="JDJ14" s="20"/>
      <c r="JDK14" s="20"/>
      <c r="JDL14" s="20"/>
      <c r="JDM14" s="20"/>
      <c r="JDN14" s="20"/>
      <c r="JDO14" s="20"/>
      <c r="JDP14" s="20"/>
      <c r="JDQ14" s="20"/>
      <c r="JDR14" s="20"/>
      <c r="JDS14" s="20"/>
      <c r="JDT14" s="20"/>
      <c r="JDU14" s="20"/>
      <c r="JDV14" s="20"/>
      <c r="JDW14" s="20"/>
      <c r="JDX14" s="20"/>
      <c r="JDY14" s="20"/>
      <c r="JDZ14" s="20"/>
      <c r="JEA14" s="20"/>
      <c r="JEB14" s="20"/>
      <c r="JEC14" s="20"/>
      <c r="JED14" s="20"/>
      <c r="JEE14" s="20"/>
      <c r="JEF14" s="20"/>
      <c r="JEG14" s="20"/>
      <c r="JEH14" s="20"/>
      <c r="JEI14" s="20"/>
      <c r="JEJ14" s="20"/>
      <c r="JEK14" s="20"/>
      <c r="JEL14" s="20"/>
      <c r="JEM14" s="20"/>
      <c r="JEN14" s="20"/>
      <c r="JEO14" s="20"/>
      <c r="JEP14" s="20"/>
      <c r="JEQ14" s="20"/>
      <c r="JER14" s="20"/>
      <c r="JES14" s="20"/>
      <c r="JET14" s="20"/>
      <c r="JEU14" s="20"/>
      <c r="JEV14" s="20"/>
      <c r="JEW14" s="20"/>
      <c r="JEX14" s="20"/>
      <c r="JEY14" s="20"/>
      <c r="JEZ14" s="20"/>
      <c r="JFA14" s="20"/>
      <c r="JFB14" s="20"/>
      <c r="JFC14" s="20"/>
      <c r="JFD14" s="20"/>
      <c r="JFE14" s="20"/>
      <c r="JFF14" s="20"/>
      <c r="JFG14" s="20"/>
      <c r="JFH14" s="20"/>
      <c r="JFI14" s="20"/>
      <c r="JFJ14" s="20"/>
      <c r="JFK14" s="20"/>
      <c r="JFL14" s="20"/>
      <c r="JFM14" s="20"/>
      <c r="JFN14" s="20"/>
      <c r="JFO14" s="20"/>
      <c r="JFP14" s="20"/>
      <c r="JFQ14" s="20"/>
      <c r="JFR14" s="20"/>
      <c r="JFS14" s="20"/>
      <c r="JFT14" s="20"/>
      <c r="JFU14" s="20"/>
      <c r="JFV14" s="20"/>
      <c r="JFW14" s="20"/>
      <c r="JFX14" s="20"/>
      <c r="JFY14" s="20"/>
      <c r="JFZ14" s="20"/>
      <c r="JGA14" s="20"/>
      <c r="JGB14" s="20"/>
      <c r="JGC14" s="20"/>
      <c r="JGD14" s="20"/>
      <c r="JGE14" s="20"/>
      <c r="JGF14" s="20"/>
      <c r="JGG14" s="20"/>
      <c r="JGH14" s="20"/>
      <c r="JGI14" s="20"/>
      <c r="JGJ14" s="20"/>
      <c r="JGK14" s="20"/>
      <c r="JGL14" s="20"/>
      <c r="JGM14" s="20"/>
      <c r="JGN14" s="20"/>
      <c r="JGO14" s="20"/>
      <c r="JGP14" s="20"/>
      <c r="JGQ14" s="20"/>
      <c r="JGR14" s="20"/>
      <c r="JGS14" s="20"/>
      <c r="JGT14" s="20"/>
      <c r="JGU14" s="20"/>
      <c r="JGV14" s="20"/>
      <c r="JGW14" s="20"/>
      <c r="JGX14" s="20"/>
      <c r="JGY14" s="20"/>
      <c r="JGZ14" s="20"/>
      <c r="JHA14" s="20"/>
      <c r="JHB14" s="20"/>
      <c r="JHC14" s="20"/>
      <c r="JHD14" s="20"/>
      <c r="JHE14" s="20"/>
      <c r="JHF14" s="20"/>
      <c r="JHG14" s="20"/>
      <c r="JHH14" s="20"/>
      <c r="JHI14" s="20"/>
      <c r="JHJ14" s="20"/>
      <c r="JHK14" s="20"/>
      <c r="JHL14" s="20"/>
      <c r="JHM14" s="20"/>
      <c r="JHN14" s="20"/>
      <c r="JHO14" s="20"/>
      <c r="JHP14" s="20"/>
      <c r="JHQ14" s="20"/>
      <c r="JHR14" s="20"/>
      <c r="JHS14" s="20"/>
      <c r="JHT14" s="20"/>
      <c r="JHU14" s="20"/>
      <c r="JHV14" s="20"/>
      <c r="JHW14" s="20"/>
      <c r="JHX14" s="20"/>
      <c r="JHY14" s="20"/>
      <c r="JHZ14" s="20"/>
      <c r="JIA14" s="20"/>
      <c r="JIB14" s="20"/>
      <c r="JIC14" s="20"/>
      <c r="JID14" s="20"/>
      <c r="JIE14" s="20"/>
      <c r="JIF14" s="20"/>
      <c r="JIG14" s="20"/>
      <c r="JIH14" s="20"/>
      <c r="JII14" s="20"/>
      <c r="JIJ14" s="20"/>
      <c r="JIK14" s="20"/>
      <c r="JIL14" s="20"/>
      <c r="JIM14" s="20"/>
      <c r="JIN14" s="20"/>
      <c r="JIO14" s="20"/>
      <c r="JIP14" s="20"/>
      <c r="JIQ14" s="20"/>
      <c r="JIR14" s="20"/>
      <c r="JIS14" s="20"/>
      <c r="JIT14" s="20"/>
      <c r="JIU14" s="20"/>
      <c r="JIV14" s="20"/>
      <c r="JIW14" s="20"/>
      <c r="JIX14" s="20"/>
      <c r="JIY14" s="20"/>
      <c r="JIZ14" s="20"/>
      <c r="JJA14" s="20"/>
      <c r="JJB14" s="20"/>
      <c r="JJC14" s="20"/>
      <c r="JJD14" s="20"/>
      <c r="JJE14" s="20"/>
      <c r="JJF14" s="20"/>
      <c r="JJG14" s="20"/>
      <c r="JJH14" s="20"/>
      <c r="JJI14" s="20"/>
      <c r="JJJ14" s="20"/>
      <c r="JJK14" s="20"/>
      <c r="JJL14" s="20"/>
      <c r="JJM14" s="20"/>
      <c r="JJN14" s="20"/>
      <c r="JJO14" s="20"/>
      <c r="JJP14" s="20"/>
      <c r="JJQ14" s="20"/>
      <c r="JJR14" s="20"/>
      <c r="JJS14" s="20"/>
      <c r="JJT14" s="20"/>
      <c r="JJU14" s="20"/>
      <c r="JJV14" s="20"/>
      <c r="JJW14" s="20"/>
      <c r="JJX14" s="20"/>
      <c r="JJY14" s="20"/>
      <c r="JJZ14" s="20"/>
      <c r="JKA14" s="20"/>
      <c r="JKB14" s="20"/>
      <c r="JKC14" s="20"/>
      <c r="JKD14" s="20"/>
      <c r="JKE14" s="20"/>
      <c r="JKF14" s="20"/>
      <c r="JKG14" s="20"/>
      <c r="JKH14" s="20"/>
      <c r="JKI14" s="20"/>
      <c r="JKJ14" s="20"/>
      <c r="JKK14" s="20"/>
      <c r="JKL14" s="20"/>
      <c r="JKM14" s="20"/>
      <c r="JKN14" s="20"/>
      <c r="JKO14" s="20"/>
      <c r="JKP14" s="20"/>
      <c r="JKQ14" s="20"/>
      <c r="JKR14" s="20"/>
      <c r="JKS14" s="20"/>
      <c r="JKT14" s="20"/>
      <c r="JKU14" s="20"/>
      <c r="JKV14" s="20"/>
      <c r="JKW14" s="20"/>
      <c r="JKX14" s="20"/>
      <c r="JKY14" s="20"/>
      <c r="JKZ14" s="20"/>
      <c r="JLA14" s="20"/>
      <c r="JLB14" s="20"/>
      <c r="JLC14" s="20"/>
      <c r="JLD14" s="20"/>
      <c r="JLE14" s="20"/>
      <c r="JLF14" s="20"/>
      <c r="JLG14" s="20"/>
      <c r="JLH14" s="20"/>
      <c r="JLI14" s="20"/>
      <c r="JLJ14" s="20"/>
      <c r="JLK14" s="20"/>
      <c r="JLL14" s="20"/>
      <c r="JLM14" s="20"/>
      <c r="JLN14" s="20"/>
      <c r="JLO14" s="20"/>
      <c r="JLP14" s="20"/>
      <c r="JLQ14" s="20"/>
      <c r="JLR14" s="20"/>
      <c r="JLS14" s="20"/>
      <c r="JLT14" s="20"/>
      <c r="JLU14" s="20"/>
      <c r="JLV14" s="20"/>
      <c r="JLW14" s="20"/>
      <c r="JLX14" s="20"/>
      <c r="JLY14" s="20"/>
      <c r="JLZ14" s="20"/>
      <c r="JMA14" s="20"/>
      <c r="JMB14" s="20"/>
      <c r="JMC14" s="20"/>
      <c r="JMD14" s="20"/>
      <c r="JME14" s="20"/>
      <c r="JMF14" s="20"/>
      <c r="JMG14" s="20"/>
      <c r="JMH14" s="20"/>
      <c r="JMI14" s="20"/>
      <c r="JMJ14" s="20"/>
      <c r="JMK14" s="20"/>
      <c r="JML14" s="20"/>
      <c r="JMM14" s="20"/>
      <c r="JMN14" s="20"/>
      <c r="JMO14" s="20"/>
      <c r="JMP14" s="20"/>
      <c r="JMQ14" s="20"/>
      <c r="JMR14" s="20"/>
      <c r="JMS14" s="20"/>
      <c r="JMT14" s="20"/>
      <c r="JMU14" s="20"/>
      <c r="JMV14" s="20"/>
      <c r="JMW14" s="20"/>
      <c r="JMX14" s="20"/>
      <c r="JMY14" s="20"/>
      <c r="JMZ14" s="20"/>
      <c r="JNA14" s="20"/>
      <c r="JNB14" s="20"/>
      <c r="JNC14" s="20"/>
      <c r="JND14" s="20"/>
      <c r="JNE14" s="20"/>
      <c r="JNF14" s="20"/>
      <c r="JNG14" s="20"/>
      <c r="JNH14" s="20"/>
      <c r="JNI14" s="20"/>
      <c r="JNJ14" s="20"/>
      <c r="JNK14" s="20"/>
      <c r="JNL14" s="20"/>
      <c r="JNM14" s="20"/>
      <c r="JNN14" s="20"/>
      <c r="JNO14" s="20"/>
      <c r="JNP14" s="20"/>
      <c r="JNQ14" s="20"/>
      <c r="JNR14" s="20"/>
      <c r="JNS14" s="20"/>
      <c r="JNT14" s="20"/>
      <c r="JNU14" s="20"/>
      <c r="JNV14" s="20"/>
      <c r="JNW14" s="20"/>
      <c r="JNX14" s="20"/>
      <c r="JNY14" s="20"/>
      <c r="JNZ14" s="20"/>
      <c r="JOA14" s="20"/>
      <c r="JOB14" s="20"/>
      <c r="JOC14" s="20"/>
      <c r="JOD14" s="20"/>
      <c r="JOE14" s="20"/>
      <c r="JOF14" s="20"/>
      <c r="JOG14" s="20"/>
      <c r="JOH14" s="20"/>
      <c r="JOI14" s="20"/>
      <c r="JOJ14" s="20"/>
      <c r="JOK14" s="20"/>
      <c r="JOL14" s="20"/>
      <c r="JOM14" s="20"/>
      <c r="JON14" s="20"/>
      <c r="JOO14" s="20"/>
      <c r="JOP14" s="20"/>
      <c r="JOQ14" s="20"/>
      <c r="JOR14" s="20"/>
      <c r="JOS14" s="20"/>
      <c r="JOT14" s="20"/>
      <c r="JOU14" s="20"/>
      <c r="JOV14" s="20"/>
      <c r="JOW14" s="20"/>
      <c r="JOX14" s="20"/>
      <c r="JOY14" s="20"/>
      <c r="JOZ14" s="20"/>
      <c r="JPA14" s="20"/>
      <c r="JPB14" s="20"/>
      <c r="JPC14" s="20"/>
      <c r="JPD14" s="20"/>
      <c r="JPE14" s="20"/>
      <c r="JPF14" s="20"/>
      <c r="JPG14" s="20"/>
      <c r="JPH14" s="20"/>
      <c r="JPI14" s="20"/>
      <c r="JPJ14" s="20"/>
      <c r="JPK14" s="20"/>
      <c r="JPL14" s="20"/>
      <c r="JPM14" s="20"/>
      <c r="JPN14" s="20"/>
      <c r="JPO14" s="20"/>
      <c r="JPP14" s="20"/>
      <c r="JPQ14" s="20"/>
      <c r="JPR14" s="20"/>
      <c r="JPS14" s="20"/>
      <c r="JPT14" s="20"/>
      <c r="JPU14" s="20"/>
      <c r="JPV14" s="20"/>
      <c r="JPW14" s="20"/>
      <c r="JPX14" s="20"/>
      <c r="JPY14" s="20"/>
      <c r="JPZ14" s="20"/>
      <c r="JQA14" s="20"/>
      <c r="JQB14" s="20"/>
      <c r="JQC14" s="20"/>
      <c r="JQD14" s="20"/>
      <c r="JQE14" s="20"/>
      <c r="JQF14" s="20"/>
      <c r="JQG14" s="20"/>
      <c r="JQH14" s="20"/>
      <c r="JQI14" s="20"/>
      <c r="JQJ14" s="20"/>
      <c r="JQK14" s="20"/>
      <c r="JQL14" s="20"/>
      <c r="JQM14" s="20"/>
      <c r="JQN14" s="20"/>
      <c r="JQO14" s="20"/>
      <c r="JQP14" s="20"/>
      <c r="JQQ14" s="20"/>
      <c r="JQR14" s="20"/>
      <c r="JQS14" s="20"/>
      <c r="JQT14" s="20"/>
      <c r="JQU14" s="20"/>
      <c r="JQV14" s="20"/>
      <c r="JQW14" s="20"/>
      <c r="JQX14" s="20"/>
      <c r="JQY14" s="20"/>
      <c r="JQZ14" s="20"/>
      <c r="JRA14" s="20"/>
      <c r="JRB14" s="20"/>
      <c r="JRC14" s="20"/>
      <c r="JRD14" s="20"/>
      <c r="JRE14" s="20"/>
      <c r="JRF14" s="20"/>
      <c r="JRG14" s="20"/>
      <c r="JRH14" s="20"/>
      <c r="JRI14" s="20"/>
      <c r="JRJ14" s="20"/>
      <c r="JRK14" s="20"/>
      <c r="JRL14" s="20"/>
      <c r="JRM14" s="20"/>
      <c r="JRN14" s="20"/>
      <c r="JRO14" s="20"/>
      <c r="JRP14" s="20"/>
      <c r="JRQ14" s="20"/>
      <c r="JRR14" s="20"/>
      <c r="JRS14" s="20"/>
      <c r="JRT14" s="20"/>
      <c r="JRU14" s="20"/>
      <c r="JRV14" s="20"/>
      <c r="JRW14" s="20"/>
      <c r="JRX14" s="20"/>
      <c r="JRY14" s="20"/>
      <c r="JRZ14" s="20"/>
      <c r="JSA14" s="20"/>
      <c r="JSB14" s="20"/>
      <c r="JSC14" s="20"/>
      <c r="JSD14" s="20"/>
      <c r="JSE14" s="20"/>
      <c r="JSF14" s="20"/>
      <c r="JSG14" s="20"/>
      <c r="JSH14" s="20"/>
      <c r="JSI14" s="20"/>
      <c r="JSJ14" s="20"/>
      <c r="JSK14" s="20"/>
      <c r="JSL14" s="20"/>
      <c r="JSM14" s="20"/>
      <c r="JSN14" s="20"/>
      <c r="JSO14" s="20"/>
      <c r="JSP14" s="20"/>
      <c r="JSQ14" s="20"/>
      <c r="JSR14" s="20"/>
      <c r="JSS14" s="20"/>
      <c r="JST14" s="20"/>
      <c r="JSU14" s="20"/>
      <c r="JSV14" s="20"/>
      <c r="JSW14" s="20"/>
      <c r="JSX14" s="20"/>
      <c r="JSY14" s="20"/>
      <c r="JSZ14" s="20"/>
      <c r="JTA14" s="20"/>
      <c r="JTB14" s="20"/>
      <c r="JTC14" s="20"/>
      <c r="JTD14" s="20"/>
      <c r="JTE14" s="20"/>
      <c r="JTF14" s="20"/>
      <c r="JTG14" s="20"/>
      <c r="JTH14" s="20"/>
      <c r="JTI14" s="20"/>
      <c r="JTJ14" s="20"/>
      <c r="JTK14" s="20"/>
      <c r="JTL14" s="20"/>
      <c r="JTM14" s="20"/>
      <c r="JTN14" s="20"/>
      <c r="JTO14" s="20"/>
      <c r="JTP14" s="20"/>
      <c r="JTQ14" s="20"/>
      <c r="JTR14" s="20"/>
      <c r="JTS14" s="20"/>
      <c r="JTT14" s="20"/>
      <c r="JTU14" s="20"/>
      <c r="JTV14" s="20"/>
      <c r="JTW14" s="20"/>
      <c r="JTX14" s="20"/>
      <c r="JTY14" s="20"/>
      <c r="JTZ14" s="20"/>
      <c r="JUA14" s="20"/>
      <c r="JUB14" s="20"/>
      <c r="JUC14" s="20"/>
      <c r="JUD14" s="20"/>
      <c r="JUE14" s="20"/>
      <c r="JUF14" s="20"/>
      <c r="JUG14" s="20"/>
      <c r="JUH14" s="20"/>
      <c r="JUI14" s="20"/>
      <c r="JUJ14" s="20"/>
      <c r="JUK14" s="20"/>
      <c r="JUL14" s="20"/>
      <c r="JUM14" s="20"/>
      <c r="JUN14" s="20"/>
      <c r="JUO14" s="20"/>
      <c r="JUP14" s="20"/>
      <c r="JUQ14" s="20"/>
      <c r="JUR14" s="20"/>
      <c r="JUS14" s="20"/>
      <c r="JUT14" s="20"/>
      <c r="JUU14" s="20"/>
      <c r="JUV14" s="20"/>
      <c r="JUW14" s="20"/>
      <c r="JUX14" s="20"/>
      <c r="JUY14" s="20"/>
      <c r="JUZ14" s="20"/>
      <c r="JVA14" s="20"/>
      <c r="JVB14" s="20"/>
      <c r="JVC14" s="20"/>
      <c r="JVD14" s="20"/>
      <c r="JVE14" s="20"/>
      <c r="JVF14" s="20"/>
      <c r="JVG14" s="20"/>
      <c r="JVH14" s="20"/>
      <c r="JVI14" s="20"/>
      <c r="JVJ14" s="20"/>
      <c r="JVK14" s="20"/>
      <c r="JVL14" s="20"/>
      <c r="JVM14" s="20"/>
      <c r="JVN14" s="20"/>
      <c r="JVO14" s="20"/>
      <c r="JVP14" s="20"/>
      <c r="JVQ14" s="20"/>
      <c r="JVR14" s="20"/>
      <c r="JVS14" s="20"/>
      <c r="JVT14" s="20"/>
      <c r="JVU14" s="20"/>
      <c r="JVV14" s="20"/>
      <c r="JVW14" s="20"/>
      <c r="JVX14" s="20"/>
      <c r="JVY14" s="20"/>
      <c r="JVZ14" s="20"/>
      <c r="JWA14" s="20"/>
      <c r="JWB14" s="20"/>
      <c r="JWC14" s="20"/>
      <c r="JWD14" s="20"/>
      <c r="JWE14" s="20"/>
      <c r="JWF14" s="20"/>
      <c r="JWG14" s="20"/>
      <c r="JWH14" s="20"/>
      <c r="JWI14" s="20"/>
      <c r="JWJ14" s="20"/>
      <c r="JWK14" s="20"/>
      <c r="JWL14" s="20"/>
      <c r="JWM14" s="20"/>
      <c r="JWN14" s="20"/>
      <c r="JWO14" s="20"/>
      <c r="JWP14" s="20"/>
      <c r="JWQ14" s="20"/>
      <c r="JWR14" s="20"/>
      <c r="JWS14" s="20"/>
      <c r="JWT14" s="20"/>
      <c r="JWU14" s="20"/>
      <c r="JWV14" s="20"/>
      <c r="JWW14" s="20"/>
      <c r="JWX14" s="20"/>
      <c r="JWY14" s="20"/>
      <c r="JWZ14" s="20"/>
      <c r="JXA14" s="20"/>
      <c r="JXB14" s="20"/>
      <c r="JXC14" s="20"/>
      <c r="JXD14" s="20"/>
      <c r="JXE14" s="20"/>
      <c r="JXF14" s="20"/>
      <c r="JXG14" s="20"/>
      <c r="JXH14" s="20"/>
      <c r="JXI14" s="20"/>
      <c r="JXJ14" s="20"/>
      <c r="JXK14" s="20"/>
      <c r="JXL14" s="20"/>
      <c r="JXM14" s="20"/>
      <c r="JXN14" s="20"/>
      <c r="JXO14" s="20"/>
      <c r="JXP14" s="20"/>
      <c r="JXQ14" s="20"/>
      <c r="JXR14" s="20"/>
      <c r="JXS14" s="20"/>
      <c r="JXT14" s="20"/>
      <c r="JXU14" s="20"/>
      <c r="JXV14" s="20"/>
      <c r="JXW14" s="20"/>
      <c r="JXX14" s="20"/>
      <c r="JXY14" s="20"/>
      <c r="JXZ14" s="20"/>
      <c r="JYA14" s="20"/>
      <c r="JYB14" s="20"/>
      <c r="JYC14" s="20"/>
      <c r="JYD14" s="20"/>
      <c r="JYE14" s="20"/>
      <c r="JYF14" s="20"/>
      <c r="JYG14" s="20"/>
      <c r="JYH14" s="20"/>
      <c r="JYI14" s="20"/>
      <c r="JYJ14" s="20"/>
      <c r="JYK14" s="20"/>
      <c r="JYL14" s="20"/>
      <c r="JYM14" s="20"/>
      <c r="JYN14" s="20"/>
      <c r="JYO14" s="20"/>
      <c r="JYP14" s="20"/>
      <c r="JYQ14" s="20"/>
      <c r="JYR14" s="20"/>
      <c r="JYS14" s="20"/>
      <c r="JYT14" s="20"/>
      <c r="JYU14" s="20"/>
      <c r="JYV14" s="20"/>
      <c r="JYW14" s="20"/>
      <c r="JYX14" s="20"/>
      <c r="JYY14" s="20"/>
      <c r="JYZ14" s="20"/>
      <c r="JZA14" s="20"/>
      <c r="JZB14" s="20"/>
      <c r="JZC14" s="20"/>
      <c r="JZD14" s="20"/>
      <c r="JZE14" s="20"/>
      <c r="JZF14" s="20"/>
      <c r="JZG14" s="20"/>
      <c r="JZH14" s="20"/>
      <c r="JZI14" s="20"/>
      <c r="JZJ14" s="20"/>
      <c r="JZK14" s="20"/>
      <c r="JZL14" s="20"/>
      <c r="JZM14" s="20"/>
      <c r="JZN14" s="20"/>
      <c r="JZO14" s="20"/>
      <c r="JZP14" s="20"/>
      <c r="JZQ14" s="20"/>
      <c r="JZR14" s="20"/>
      <c r="JZS14" s="20"/>
      <c r="JZT14" s="20"/>
      <c r="JZU14" s="20"/>
      <c r="JZV14" s="20"/>
      <c r="JZW14" s="20"/>
      <c r="JZX14" s="20"/>
      <c r="JZY14" s="20"/>
      <c r="JZZ14" s="20"/>
      <c r="KAA14" s="20"/>
      <c r="KAB14" s="20"/>
      <c r="KAC14" s="20"/>
      <c r="KAD14" s="20"/>
      <c r="KAE14" s="20"/>
      <c r="KAF14" s="20"/>
      <c r="KAG14" s="20"/>
      <c r="KAH14" s="20"/>
      <c r="KAI14" s="20"/>
      <c r="KAJ14" s="20"/>
      <c r="KAK14" s="20"/>
      <c r="KAL14" s="20"/>
      <c r="KAM14" s="20"/>
      <c r="KAN14" s="20"/>
      <c r="KAO14" s="20"/>
      <c r="KAP14" s="20"/>
      <c r="KAQ14" s="20"/>
      <c r="KAR14" s="20"/>
      <c r="KAS14" s="20"/>
      <c r="KAT14" s="20"/>
      <c r="KAU14" s="20"/>
      <c r="KAV14" s="20"/>
      <c r="KAW14" s="20"/>
      <c r="KAX14" s="20"/>
      <c r="KAY14" s="20"/>
      <c r="KAZ14" s="20"/>
      <c r="KBA14" s="20"/>
      <c r="KBB14" s="20"/>
      <c r="KBC14" s="20"/>
      <c r="KBD14" s="20"/>
      <c r="KBE14" s="20"/>
      <c r="KBF14" s="20"/>
      <c r="KBG14" s="20"/>
      <c r="KBH14" s="20"/>
      <c r="KBI14" s="20"/>
      <c r="KBJ14" s="20"/>
      <c r="KBK14" s="20"/>
      <c r="KBL14" s="20"/>
      <c r="KBM14" s="20"/>
      <c r="KBN14" s="20"/>
      <c r="KBO14" s="20"/>
      <c r="KBP14" s="20"/>
      <c r="KBQ14" s="20"/>
      <c r="KBR14" s="20"/>
      <c r="KBS14" s="20"/>
      <c r="KBT14" s="20"/>
      <c r="KBU14" s="20"/>
      <c r="KBV14" s="20"/>
      <c r="KBW14" s="20"/>
      <c r="KBX14" s="20"/>
      <c r="KBY14" s="20"/>
      <c r="KBZ14" s="20"/>
      <c r="KCA14" s="20"/>
      <c r="KCB14" s="20"/>
      <c r="KCC14" s="20"/>
      <c r="KCD14" s="20"/>
      <c r="KCE14" s="20"/>
      <c r="KCF14" s="20"/>
      <c r="KCG14" s="20"/>
      <c r="KCH14" s="20"/>
      <c r="KCI14" s="20"/>
      <c r="KCJ14" s="20"/>
      <c r="KCK14" s="20"/>
      <c r="KCL14" s="20"/>
      <c r="KCM14" s="20"/>
      <c r="KCN14" s="20"/>
      <c r="KCO14" s="20"/>
      <c r="KCP14" s="20"/>
      <c r="KCQ14" s="20"/>
      <c r="KCR14" s="20"/>
      <c r="KCS14" s="20"/>
      <c r="KCT14" s="20"/>
      <c r="KCU14" s="20"/>
      <c r="KCV14" s="20"/>
      <c r="KCW14" s="20"/>
      <c r="KCX14" s="20"/>
      <c r="KCY14" s="20"/>
      <c r="KCZ14" s="20"/>
      <c r="KDA14" s="20"/>
      <c r="KDB14" s="20"/>
      <c r="KDC14" s="20"/>
      <c r="KDD14" s="20"/>
      <c r="KDE14" s="20"/>
      <c r="KDF14" s="20"/>
      <c r="KDG14" s="20"/>
      <c r="KDH14" s="20"/>
      <c r="KDI14" s="20"/>
      <c r="KDJ14" s="20"/>
      <c r="KDK14" s="20"/>
      <c r="KDL14" s="20"/>
      <c r="KDM14" s="20"/>
      <c r="KDN14" s="20"/>
      <c r="KDO14" s="20"/>
      <c r="KDP14" s="20"/>
      <c r="KDQ14" s="20"/>
      <c r="KDR14" s="20"/>
      <c r="KDS14" s="20"/>
      <c r="KDT14" s="20"/>
      <c r="KDU14" s="20"/>
      <c r="KDV14" s="20"/>
      <c r="KDW14" s="20"/>
      <c r="KDX14" s="20"/>
      <c r="KDY14" s="20"/>
      <c r="KDZ14" s="20"/>
      <c r="KEA14" s="20"/>
      <c r="KEB14" s="20"/>
      <c r="KEC14" s="20"/>
      <c r="KED14" s="20"/>
      <c r="KEE14" s="20"/>
      <c r="KEF14" s="20"/>
      <c r="KEG14" s="20"/>
      <c r="KEH14" s="20"/>
      <c r="KEI14" s="20"/>
      <c r="KEJ14" s="20"/>
      <c r="KEK14" s="20"/>
      <c r="KEL14" s="20"/>
      <c r="KEM14" s="20"/>
      <c r="KEN14" s="20"/>
      <c r="KEO14" s="20"/>
      <c r="KEP14" s="20"/>
      <c r="KEQ14" s="20"/>
      <c r="KER14" s="20"/>
      <c r="KES14" s="20"/>
      <c r="KET14" s="20"/>
      <c r="KEU14" s="20"/>
      <c r="KEV14" s="20"/>
      <c r="KEW14" s="20"/>
      <c r="KEX14" s="20"/>
      <c r="KEY14" s="20"/>
      <c r="KEZ14" s="20"/>
      <c r="KFA14" s="20"/>
      <c r="KFB14" s="20"/>
      <c r="KFC14" s="20"/>
      <c r="KFD14" s="20"/>
      <c r="KFE14" s="20"/>
      <c r="KFF14" s="20"/>
      <c r="KFG14" s="20"/>
      <c r="KFH14" s="20"/>
      <c r="KFI14" s="20"/>
      <c r="KFJ14" s="20"/>
      <c r="KFK14" s="20"/>
      <c r="KFL14" s="20"/>
      <c r="KFM14" s="20"/>
      <c r="KFN14" s="20"/>
      <c r="KFO14" s="20"/>
      <c r="KFP14" s="20"/>
      <c r="KFQ14" s="20"/>
      <c r="KFR14" s="20"/>
      <c r="KFS14" s="20"/>
      <c r="KFT14" s="20"/>
      <c r="KFU14" s="20"/>
      <c r="KFV14" s="20"/>
      <c r="KFW14" s="20"/>
      <c r="KFX14" s="20"/>
      <c r="KFY14" s="20"/>
      <c r="KFZ14" s="20"/>
      <c r="KGA14" s="20"/>
      <c r="KGB14" s="20"/>
      <c r="KGC14" s="20"/>
      <c r="KGD14" s="20"/>
      <c r="KGE14" s="20"/>
      <c r="KGF14" s="20"/>
      <c r="KGG14" s="20"/>
      <c r="KGH14" s="20"/>
      <c r="KGI14" s="20"/>
      <c r="KGJ14" s="20"/>
      <c r="KGK14" s="20"/>
      <c r="KGL14" s="20"/>
      <c r="KGM14" s="20"/>
      <c r="KGN14" s="20"/>
      <c r="KGO14" s="20"/>
      <c r="KGP14" s="20"/>
      <c r="KGQ14" s="20"/>
      <c r="KGR14" s="20"/>
      <c r="KGS14" s="20"/>
      <c r="KGT14" s="20"/>
      <c r="KGU14" s="20"/>
      <c r="KGV14" s="20"/>
      <c r="KGW14" s="20"/>
      <c r="KGX14" s="20"/>
      <c r="KGY14" s="20"/>
      <c r="KGZ14" s="20"/>
      <c r="KHA14" s="20"/>
      <c r="KHB14" s="20"/>
      <c r="KHC14" s="20"/>
      <c r="KHD14" s="20"/>
      <c r="KHE14" s="20"/>
      <c r="KHF14" s="20"/>
      <c r="KHG14" s="20"/>
      <c r="KHH14" s="20"/>
      <c r="KHI14" s="20"/>
      <c r="KHJ14" s="20"/>
      <c r="KHK14" s="20"/>
      <c r="KHL14" s="20"/>
      <c r="KHM14" s="20"/>
      <c r="KHN14" s="20"/>
      <c r="KHO14" s="20"/>
      <c r="KHP14" s="20"/>
      <c r="KHQ14" s="20"/>
      <c r="KHR14" s="20"/>
      <c r="KHS14" s="20"/>
      <c r="KHT14" s="20"/>
      <c r="KHU14" s="20"/>
      <c r="KHV14" s="20"/>
      <c r="KHW14" s="20"/>
      <c r="KHX14" s="20"/>
      <c r="KHY14" s="20"/>
      <c r="KHZ14" s="20"/>
      <c r="KIA14" s="20"/>
      <c r="KIB14" s="20"/>
      <c r="KIC14" s="20"/>
      <c r="KID14" s="20"/>
      <c r="KIE14" s="20"/>
      <c r="KIF14" s="20"/>
      <c r="KIG14" s="20"/>
      <c r="KIH14" s="20"/>
      <c r="KII14" s="20"/>
      <c r="KIJ14" s="20"/>
      <c r="KIK14" s="20"/>
      <c r="KIL14" s="20"/>
      <c r="KIM14" s="20"/>
      <c r="KIN14" s="20"/>
      <c r="KIO14" s="20"/>
      <c r="KIP14" s="20"/>
      <c r="KIQ14" s="20"/>
      <c r="KIR14" s="20"/>
      <c r="KIS14" s="20"/>
      <c r="KIT14" s="20"/>
      <c r="KIU14" s="20"/>
      <c r="KIV14" s="20"/>
      <c r="KIW14" s="20"/>
      <c r="KIX14" s="20"/>
      <c r="KIY14" s="20"/>
      <c r="KIZ14" s="20"/>
      <c r="KJA14" s="20"/>
      <c r="KJB14" s="20"/>
      <c r="KJC14" s="20"/>
      <c r="KJD14" s="20"/>
      <c r="KJE14" s="20"/>
      <c r="KJF14" s="20"/>
      <c r="KJG14" s="20"/>
      <c r="KJH14" s="20"/>
      <c r="KJI14" s="20"/>
      <c r="KJJ14" s="20"/>
      <c r="KJK14" s="20"/>
      <c r="KJL14" s="20"/>
      <c r="KJM14" s="20"/>
      <c r="KJN14" s="20"/>
      <c r="KJO14" s="20"/>
      <c r="KJP14" s="20"/>
      <c r="KJQ14" s="20"/>
      <c r="KJR14" s="20"/>
      <c r="KJS14" s="20"/>
      <c r="KJT14" s="20"/>
      <c r="KJU14" s="20"/>
      <c r="KJV14" s="20"/>
      <c r="KJW14" s="20"/>
      <c r="KJX14" s="20"/>
      <c r="KJY14" s="20"/>
      <c r="KJZ14" s="20"/>
      <c r="KKA14" s="20"/>
      <c r="KKB14" s="20"/>
      <c r="KKC14" s="20"/>
      <c r="KKD14" s="20"/>
      <c r="KKE14" s="20"/>
      <c r="KKF14" s="20"/>
      <c r="KKG14" s="20"/>
      <c r="KKH14" s="20"/>
      <c r="KKI14" s="20"/>
      <c r="KKJ14" s="20"/>
      <c r="KKK14" s="20"/>
      <c r="KKL14" s="20"/>
      <c r="KKM14" s="20"/>
      <c r="KKN14" s="20"/>
      <c r="KKO14" s="20"/>
      <c r="KKP14" s="20"/>
      <c r="KKQ14" s="20"/>
      <c r="KKR14" s="20"/>
      <c r="KKS14" s="20"/>
      <c r="KKT14" s="20"/>
      <c r="KKU14" s="20"/>
      <c r="KKV14" s="20"/>
      <c r="KKW14" s="20"/>
      <c r="KKX14" s="20"/>
      <c r="KKY14" s="20"/>
      <c r="KKZ14" s="20"/>
      <c r="KLA14" s="20"/>
      <c r="KLB14" s="20"/>
      <c r="KLC14" s="20"/>
      <c r="KLD14" s="20"/>
      <c r="KLE14" s="20"/>
      <c r="KLF14" s="20"/>
      <c r="KLG14" s="20"/>
      <c r="KLH14" s="20"/>
      <c r="KLI14" s="20"/>
      <c r="KLJ14" s="20"/>
      <c r="KLK14" s="20"/>
      <c r="KLL14" s="20"/>
      <c r="KLM14" s="20"/>
      <c r="KLN14" s="20"/>
      <c r="KLO14" s="20"/>
      <c r="KLP14" s="20"/>
      <c r="KLQ14" s="20"/>
      <c r="KLR14" s="20"/>
      <c r="KLS14" s="20"/>
      <c r="KLT14" s="20"/>
      <c r="KLU14" s="20"/>
      <c r="KLV14" s="20"/>
      <c r="KLW14" s="20"/>
      <c r="KLX14" s="20"/>
      <c r="KLY14" s="20"/>
      <c r="KLZ14" s="20"/>
      <c r="KMA14" s="20"/>
      <c r="KMB14" s="20"/>
      <c r="KMC14" s="20"/>
      <c r="KMD14" s="20"/>
      <c r="KME14" s="20"/>
      <c r="KMF14" s="20"/>
      <c r="KMG14" s="20"/>
      <c r="KMH14" s="20"/>
      <c r="KMI14" s="20"/>
      <c r="KMJ14" s="20"/>
      <c r="KMK14" s="20"/>
      <c r="KML14" s="20"/>
      <c r="KMM14" s="20"/>
      <c r="KMN14" s="20"/>
      <c r="KMO14" s="20"/>
      <c r="KMP14" s="20"/>
      <c r="KMQ14" s="20"/>
      <c r="KMR14" s="20"/>
      <c r="KMS14" s="20"/>
      <c r="KMT14" s="20"/>
      <c r="KMU14" s="20"/>
      <c r="KMV14" s="20"/>
      <c r="KMW14" s="20"/>
      <c r="KMX14" s="20"/>
      <c r="KMY14" s="20"/>
      <c r="KMZ14" s="20"/>
      <c r="KNA14" s="20"/>
      <c r="KNB14" s="20"/>
      <c r="KNC14" s="20"/>
      <c r="KND14" s="20"/>
      <c r="KNE14" s="20"/>
      <c r="KNF14" s="20"/>
      <c r="KNG14" s="20"/>
      <c r="KNH14" s="20"/>
      <c r="KNI14" s="20"/>
      <c r="KNJ14" s="20"/>
      <c r="KNK14" s="20"/>
      <c r="KNL14" s="20"/>
      <c r="KNM14" s="20"/>
      <c r="KNN14" s="20"/>
      <c r="KNO14" s="20"/>
      <c r="KNP14" s="20"/>
      <c r="KNQ14" s="20"/>
      <c r="KNR14" s="20"/>
      <c r="KNS14" s="20"/>
      <c r="KNT14" s="20"/>
      <c r="KNU14" s="20"/>
      <c r="KNV14" s="20"/>
      <c r="KNW14" s="20"/>
      <c r="KNX14" s="20"/>
      <c r="KNY14" s="20"/>
      <c r="KNZ14" s="20"/>
      <c r="KOA14" s="20"/>
      <c r="KOB14" s="20"/>
      <c r="KOC14" s="20"/>
      <c r="KOD14" s="20"/>
      <c r="KOE14" s="20"/>
      <c r="KOF14" s="20"/>
      <c r="KOG14" s="20"/>
      <c r="KOH14" s="20"/>
      <c r="KOI14" s="20"/>
      <c r="KOJ14" s="20"/>
      <c r="KOK14" s="20"/>
      <c r="KOL14" s="20"/>
      <c r="KOM14" s="20"/>
      <c r="KON14" s="20"/>
      <c r="KOO14" s="20"/>
      <c r="KOP14" s="20"/>
      <c r="KOQ14" s="20"/>
      <c r="KOR14" s="20"/>
      <c r="KOS14" s="20"/>
      <c r="KOT14" s="20"/>
      <c r="KOU14" s="20"/>
      <c r="KOV14" s="20"/>
      <c r="KOW14" s="20"/>
      <c r="KOX14" s="20"/>
      <c r="KOY14" s="20"/>
      <c r="KOZ14" s="20"/>
      <c r="KPA14" s="20"/>
      <c r="KPB14" s="20"/>
      <c r="KPC14" s="20"/>
      <c r="KPD14" s="20"/>
      <c r="KPE14" s="20"/>
      <c r="KPF14" s="20"/>
      <c r="KPG14" s="20"/>
      <c r="KPH14" s="20"/>
      <c r="KPI14" s="20"/>
      <c r="KPJ14" s="20"/>
      <c r="KPK14" s="20"/>
      <c r="KPL14" s="20"/>
      <c r="KPM14" s="20"/>
      <c r="KPN14" s="20"/>
      <c r="KPO14" s="20"/>
      <c r="KPP14" s="20"/>
      <c r="KPQ14" s="20"/>
      <c r="KPR14" s="20"/>
      <c r="KPS14" s="20"/>
      <c r="KPT14" s="20"/>
      <c r="KPU14" s="20"/>
      <c r="KPV14" s="20"/>
      <c r="KPW14" s="20"/>
      <c r="KPX14" s="20"/>
      <c r="KPY14" s="20"/>
      <c r="KPZ14" s="20"/>
      <c r="KQA14" s="20"/>
      <c r="KQB14" s="20"/>
      <c r="KQC14" s="20"/>
      <c r="KQD14" s="20"/>
      <c r="KQE14" s="20"/>
      <c r="KQF14" s="20"/>
      <c r="KQG14" s="20"/>
      <c r="KQH14" s="20"/>
      <c r="KQI14" s="20"/>
      <c r="KQJ14" s="20"/>
      <c r="KQK14" s="20"/>
      <c r="KQL14" s="20"/>
      <c r="KQM14" s="20"/>
      <c r="KQN14" s="20"/>
      <c r="KQO14" s="20"/>
      <c r="KQP14" s="20"/>
      <c r="KQQ14" s="20"/>
      <c r="KQR14" s="20"/>
      <c r="KQS14" s="20"/>
      <c r="KQT14" s="20"/>
      <c r="KQU14" s="20"/>
      <c r="KQV14" s="20"/>
      <c r="KQW14" s="20"/>
      <c r="KQX14" s="20"/>
      <c r="KQY14" s="20"/>
      <c r="KQZ14" s="20"/>
      <c r="KRA14" s="20"/>
      <c r="KRB14" s="20"/>
      <c r="KRC14" s="20"/>
      <c r="KRD14" s="20"/>
      <c r="KRE14" s="20"/>
      <c r="KRF14" s="20"/>
      <c r="KRG14" s="20"/>
      <c r="KRH14" s="20"/>
      <c r="KRI14" s="20"/>
      <c r="KRJ14" s="20"/>
      <c r="KRK14" s="20"/>
      <c r="KRL14" s="20"/>
      <c r="KRM14" s="20"/>
      <c r="KRN14" s="20"/>
      <c r="KRO14" s="20"/>
      <c r="KRP14" s="20"/>
      <c r="KRQ14" s="20"/>
      <c r="KRR14" s="20"/>
      <c r="KRS14" s="20"/>
      <c r="KRT14" s="20"/>
      <c r="KRU14" s="20"/>
      <c r="KRV14" s="20"/>
      <c r="KRW14" s="20"/>
      <c r="KRX14" s="20"/>
      <c r="KRY14" s="20"/>
      <c r="KRZ14" s="20"/>
      <c r="KSA14" s="20"/>
      <c r="KSB14" s="20"/>
      <c r="KSC14" s="20"/>
      <c r="KSD14" s="20"/>
      <c r="KSE14" s="20"/>
      <c r="KSF14" s="20"/>
      <c r="KSG14" s="20"/>
      <c r="KSH14" s="20"/>
      <c r="KSI14" s="20"/>
      <c r="KSJ14" s="20"/>
      <c r="KSK14" s="20"/>
      <c r="KSL14" s="20"/>
      <c r="KSM14" s="20"/>
      <c r="KSN14" s="20"/>
      <c r="KSO14" s="20"/>
      <c r="KSP14" s="20"/>
      <c r="KSQ14" s="20"/>
      <c r="KSR14" s="20"/>
      <c r="KSS14" s="20"/>
      <c r="KST14" s="20"/>
      <c r="KSU14" s="20"/>
      <c r="KSV14" s="20"/>
      <c r="KSW14" s="20"/>
      <c r="KSX14" s="20"/>
      <c r="KSY14" s="20"/>
      <c r="KSZ14" s="20"/>
      <c r="KTA14" s="20"/>
      <c r="KTB14" s="20"/>
      <c r="KTC14" s="20"/>
      <c r="KTD14" s="20"/>
      <c r="KTE14" s="20"/>
      <c r="KTF14" s="20"/>
      <c r="KTG14" s="20"/>
      <c r="KTH14" s="20"/>
      <c r="KTI14" s="20"/>
      <c r="KTJ14" s="20"/>
      <c r="KTK14" s="20"/>
      <c r="KTL14" s="20"/>
      <c r="KTM14" s="20"/>
      <c r="KTN14" s="20"/>
      <c r="KTO14" s="20"/>
      <c r="KTP14" s="20"/>
      <c r="KTQ14" s="20"/>
      <c r="KTR14" s="20"/>
      <c r="KTS14" s="20"/>
      <c r="KTT14" s="20"/>
      <c r="KTU14" s="20"/>
      <c r="KTV14" s="20"/>
      <c r="KTW14" s="20"/>
      <c r="KTX14" s="20"/>
      <c r="KTY14" s="20"/>
      <c r="KTZ14" s="20"/>
      <c r="KUA14" s="20"/>
      <c r="KUB14" s="20"/>
      <c r="KUC14" s="20"/>
      <c r="KUD14" s="20"/>
      <c r="KUE14" s="20"/>
      <c r="KUF14" s="20"/>
      <c r="KUG14" s="20"/>
      <c r="KUH14" s="20"/>
      <c r="KUI14" s="20"/>
      <c r="KUJ14" s="20"/>
      <c r="KUK14" s="20"/>
      <c r="KUL14" s="20"/>
      <c r="KUM14" s="20"/>
      <c r="KUN14" s="20"/>
      <c r="KUO14" s="20"/>
      <c r="KUP14" s="20"/>
      <c r="KUQ14" s="20"/>
      <c r="KUR14" s="20"/>
      <c r="KUS14" s="20"/>
      <c r="KUT14" s="20"/>
      <c r="KUU14" s="20"/>
      <c r="KUV14" s="20"/>
      <c r="KUW14" s="20"/>
      <c r="KUX14" s="20"/>
      <c r="KUY14" s="20"/>
      <c r="KUZ14" s="20"/>
      <c r="KVA14" s="20"/>
      <c r="KVB14" s="20"/>
      <c r="KVC14" s="20"/>
      <c r="KVD14" s="20"/>
      <c r="KVE14" s="20"/>
      <c r="KVF14" s="20"/>
      <c r="KVG14" s="20"/>
      <c r="KVH14" s="20"/>
      <c r="KVI14" s="20"/>
      <c r="KVJ14" s="20"/>
      <c r="KVK14" s="20"/>
      <c r="KVL14" s="20"/>
      <c r="KVM14" s="20"/>
      <c r="KVN14" s="20"/>
      <c r="KVO14" s="20"/>
      <c r="KVP14" s="20"/>
      <c r="KVQ14" s="20"/>
      <c r="KVR14" s="20"/>
      <c r="KVS14" s="20"/>
      <c r="KVT14" s="20"/>
      <c r="KVU14" s="20"/>
      <c r="KVV14" s="20"/>
      <c r="KVW14" s="20"/>
      <c r="KVX14" s="20"/>
      <c r="KVY14" s="20"/>
      <c r="KVZ14" s="20"/>
      <c r="KWA14" s="20"/>
      <c r="KWB14" s="20"/>
      <c r="KWC14" s="20"/>
      <c r="KWD14" s="20"/>
      <c r="KWE14" s="20"/>
      <c r="KWF14" s="20"/>
      <c r="KWG14" s="20"/>
      <c r="KWH14" s="20"/>
      <c r="KWI14" s="20"/>
      <c r="KWJ14" s="20"/>
      <c r="KWK14" s="20"/>
      <c r="KWL14" s="20"/>
      <c r="KWM14" s="20"/>
      <c r="KWN14" s="20"/>
      <c r="KWO14" s="20"/>
      <c r="KWP14" s="20"/>
      <c r="KWQ14" s="20"/>
      <c r="KWR14" s="20"/>
      <c r="KWS14" s="20"/>
      <c r="KWT14" s="20"/>
      <c r="KWU14" s="20"/>
      <c r="KWV14" s="20"/>
      <c r="KWW14" s="20"/>
      <c r="KWX14" s="20"/>
      <c r="KWY14" s="20"/>
      <c r="KWZ14" s="20"/>
      <c r="KXA14" s="20"/>
      <c r="KXB14" s="20"/>
      <c r="KXC14" s="20"/>
      <c r="KXD14" s="20"/>
      <c r="KXE14" s="20"/>
      <c r="KXF14" s="20"/>
      <c r="KXG14" s="20"/>
      <c r="KXH14" s="20"/>
      <c r="KXI14" s="20"/>
      <c r="KXJ14" s="20"/>
      <c r="KXK14" s="20"/>
      <c r="KXL14" s="20"/>
      <c r="KXM14" s="20"/>
      <c r="KXN14" s="20"/>
      <c r="KXO14" s="20"/>
      <c r="KXP14" s="20"/>
      <c r="KXQ14" s="20"/>
      <c r="KXR14" s="20"/>
      <c r="KXS14" s="20"/>
      <c r="KXT14" s="20"/>
      <c r="KXU14" s="20"/>
      <c r="KXV14" s="20"/>
      <c r="KXW14" s="20"/>
      <c r="KXX14" s="20"/>
      <c r="KXY14" s="20"/>
      <c r="KXZ14" s="20"/>
      <c r="KYA14" s="20"/>
      <c r="KYB14" s="20"/>
      <c r="KYC14" s="20"/>
      <c r="KYD14" s="20"/>
      <c r="KYE14" s="20"/>
      <c r="KYF14" s="20"/>
      <c r="KYG14" s="20"/>
      <c r="KYH14" s="20"/>
      <c r="KYI14" s="20"/>
      <c r="KYJ14" s="20"/>
      <c r="KYK14" s="20"/>
      <c r="KYL14" s="20"/>
      <c r="KYM14" s="20"/>
      <c r="KYN14" s="20"/>
      <c r="KYO14" s="20"/>
      <c r="KYP14" s="20"/>
      <c r="KYQ14" s="20"/>
      <c r="KYR14" s="20"/>
      <c r="KYS14" s="20"/>
      <c r="KYT14" s="20"/>
      <c r="KYU14" s="20"/>
      <c r="KYV14" s="20"/>
      <c r="KYW14" s="20"/>
      <c r="KYX14" s="20"/>
      <c r="KYY14" s="20"/>
      <c r="KYZ14" s="20"/>
      <c r="KZA14" s="20"/>
      <c r="KZB14" s="20"/>
      <c r="KZC14" s="20"/>
      <c r="KZD14" s="20"/>
      <c r="KZE14" s="20"/>
      <c r="KZF14" s="20"/>
      <c r="KZG14" s="20"/>
      <c r="KZH14" s="20"/>
      <c r="KZI14" s="20"/>
      <c r="KZJ14" s="20"/>
      <c r="KZK14" s="20"/>
      <c r="KZL14" s="20"/>
      <c r="KZM14" s="20"/>
      <c r="KZN14" s="20"/>
      <c r="KZO14" s="20"/>
      <c r="KZP14" s="20"/>
      <c r="KZQ14" s="20"/>
      <c r="KZR14" s="20"/>
      <c r="KZS14" s="20"/>
      <c r="KZT14" s="20"/>
      <c r="KZU14" s="20"/>
      <c r="KZV14" s="20"/>
      <c r="KZW14" s="20"/>
      <c r="KZX14" s="20"/>
      <c r="KZY14" s="20"/>
      <c r="KZZ14" s="20"/>
      <c r="LAA14" s="20"/>
      <c r="LAB14" s="20"/>
      <c r="LAC14" s="20"/>
      <c r="LAD14" s="20"/>
      <c r="LAE14" s="20"/>
      <c r="LAF14" s="20"/>
      <c r="LAG14" s="20"/>
      <c r="LAH14" s="20"/>
      <c r="LAI14" s="20"/>
      <c r="LAJ14" s="20"/>
      <c r="LAK14" s="20"/>
      <c r="LAL14" s="20"/>
      <c r="LAM14" s="20"/>
      <c r="LAN14" s="20"/>
      <c r="LAO14" s="20"/>
      <c r="LAP14" s="20"/>
      <c r="LAQ14" s="20"/>
      <c r="LAR14" s="20"/>
      <c r="LAS14" s="20"/>
      <c r="LAT14" s="20"/>
      <c r="LAU14" s="20"/>
      <c r="LAV14" s="20"/>
      <c r="LAW14" s="20"/>
      <c r="LAX14" s="20"/>
      <c r="LAY14" s="20"/>
      <c r="LAZ14" s="20"/>
      <c r="LBA14" s="20"/>
      <c r="LBB14" s="20"/>
      <c r="LBC14" s="20"/>
      <c r="LBD14" s="20"/>
      <c r="LBE14" s="20"/>
      <c r="LBF14" s="20"/>
      <c r="LBG14" s="20"/>
      <c r="LBH14" s="20"/>
      <c r="LBI14" s="20"/>
      <c r="LBJ14" s="20"/>
      <c r="LBK14" s="20"/>
      <c r="LBL14" s="20"/>
      <c r="LBM14" s="20"/>
      <c r="LBN14" s="20"/>
      <c r="LBO14" s="20"/>
      <c r="LBP14" s="20"/>
      <c r="LBQ14" s="20"/>
      <c r="LBR14" s="20"/>
      <c r="LBS14" s="20"/>
      <c r="LBT14" s="20"/>
      <c r="LBU14" s="20"/>
      <c r="LBV14" s="20"/>
      <c r="LBW14" s="20"/>
      <c r="LBX14" s="20"/>
      <c r="LBY14" s="20"/>
      <c r="LBZ14" s="20"/>
      <c r="LCA14" s="20"/>
      <c r="LCB14" s="20"/>
      <c r="LCC14" s="20"/>
      <c r="LCD14" s="20"/>
      <c r="LCE14" s="20"/>
      <c r="LCF14" s="20"/>
      <c r="LCG14" s="20"/>
      <c r="LCH14" s="20"/>
      <c r="LCI14" s="20"/>
      <c r="LCJ14" s="20"/>
      <c r="LCK14" s="20"/>
      <c r="LCL14" s="20"/>
      <c r="LCM14" s="20"/>
      <c r="LCN14" s="20"/>
      <c r="LCO14" s="20"/>
      <c r="LCP14" s="20"/>
      <c r="LCQ14" s="20"/>
      <c r="LCR14" s="20"/>
      <c r="LCS14" s="20"/>
      <c r="LCT14" s="20"/>
      <c r="LCU14" s="20"/>
      <c r="LCV14" s="20"/>
      <c r="LCW14" s="20"/>
      <c r="LCX14" s="20"/>
      <c r="LCY14" s="20"/>
      <c r="LCZ14" s="20"/>
      <c r="LDA14" s="20"/>
      <c r="LDB14" s="20"/>
      <c r="LDC14" s="20"/>
      <c r="LDD14" s="20"/>
      <c r="LDE14" s="20"/>
      <c r="LDF14" s="20"/>
      <c r="LDG14" s="20"/>
      <c r="LDH14" s="20"/>
      <c r="LDI14" s="20"/>
      <c r="LDJ14" s="20"/>
      <c r="LDK14" s="20"/>
      <c r="LDL14" s="20"/>
      <c r="LDM14" s="20"/>
      <c r="LDN14" s="20"/>
      <c r="LDO14" s="20"/>
      <c r="LDP14" s="20"/>
      <c r="LDQ14" s="20"/>
      <c r="LDR14" s="20"/>
      <c r="LDS14" s="20"/>
      <c r="LDT14" s="20"/>
      <c r="LDU14" s="20"/>
      <c r="LDV14" s="20"/>
      <c r="LDW14" s="20"/>
      <c r="LDX14" s="20"/>
      <c r="LDY14" s="20"/>
      <c r="LDZ14" s="20"/>
      <c r="LEA14" s="20"/>
      <c r="LEB14" s="20"/>
      <c r="LEC14" s="20"/>
      <c r="LED14" s="20"/>
      <c r="LEE14" s="20"/>
      <c r="LEF14" s="20"/>
      <c r="LEG14" s="20"/>
      <c r="LEH14" s="20"/>
      <c r="LEI14" s="20"/>
      <c r="LEJ14" s="20"/>
      <c r="LEK14" s="20"/>
      <c r="LEL14" s="20"/>
      <c r="LEM14" s="20"/>
      <c r="LEN14" s="20"/>
      <c r="LEO14" s="20"/>
      <c r="LEP14" s="20"/>
      <c r="LEQ14" s="20"/>
      <c r="LER14" s="20"/>
      <c r="LES14" s="20"/>
      <c r="LET14" s="20"/>
      <c r="LEU14" s="20"/>
      <c r="LEV14" s="20"/>
      <c r="LEW14" s="20"/>
      <c r="LEX14" s="20"/>
      <c r="LEY14" s="20"/>
      <c r="LEZ14" s="20"/>
      <c r="LFA14" s="20"/>
      <c r="LFB14" s="20"/>
      <c r="LFC14" s="20"/>
      <c r="LFD14" s="20"/>
      <c r="LFE14" s="20"/>
      <c r="LFF14" s="20"/>
      <c r="LFG14" s="20"/>
      <c r="LFH14" s="20"/>
      <c r="LFI14" s="20"/>
      <c r="LFJ14" s="20"/>
      <c r="LFK14" s="20"/>
      <c r="LFL14" s="20"/>
      <c r="LFM14" s="20"/>
      <c r="LFN14" s="20"/>
      <c r="LFO14" s="20"/>
      <c r="LFP14" s="20"/>
      <c r="LFQ14" s="20"/>
      <c r="LFR14" s="20"/>
      <c r="LFS14" s="20"/>
      <c r="LFT14" s="20"/>
      <c r="LFU14" s="20"/>
      <c r="LFV14" s="20"/>
      <c r="LFW14" s="20"/>
      <c r="LFX14" s="20"/>
      <c r="LFY14" s="20"/>
      <c r="LFZ14" s="20"/>
      <c r="LGA14" s="20"/>
      <c r="LGB14" s="20"/>
      <c r="LGC14" s="20"/>
      <c r="LGD14" s="20"/>
      <c r="LGE14" s="20"/>
      <c r="LGF14" s="20"/>
      <c r="LGG14" s="20"/>
      <c r="LGH14" s="20"/>
      <c r="LGI14" s="20"/>
      <c r="LGJ14" s="20"/>
      <c r="LGK14" s="20"/>
      <c r="LGL14" s="20"/>
      <c r="LGM14" s="20"/>
      <c r="LGN14" s="20"/>
      <c r="LGO14" s="20"/>
      <c r="LGP14" s="20"/>
      <c r="LGQ14" s="20"/>
      <c r="LGR14" s="20"/>
      <c r="LGS14" s="20"/>
      <c r="LGT14" s="20"/>
      <c r="LGU14" s="20"/>
      <c r="LGV14" s="20"/>
      <c r="LGW14" s="20"/>
      <c r="LGX14" s="20"/>
      <c r="LGY14" s="20"/>
      <c r="LGZ14" s="20"/>
      <c r="LHA14" s="20"/>
      <c r="LHB14" s="20"/>
      <c r="LHC14" s="20"/>
      <c r="LHD14" s="20"/>
      <c r="LHE14" s="20"/>
      <c r="LHF14" s="20"/>
      <c r="LHG14" s="20"/>
      <c r="LHH14" s="20"/>
      <c r="LHI14" s="20"/>
      <c r="LHJ14" s="20"/>
      <c r="LHK14" s="20"/>
      <c r="LHL14" s="20"/>
      <c r="LHM14" s="20"/>
      <c r="LHN14" s="20"/>
      <c r="LHO14" s="20"/>
      <c r="LHP14" s="20"/>
      <c r="LHQ14" s="20"/>
      <c r="LHR14" s="20"/>
      <c r="LHS14" s="20"/>
      <c r="LHT14" s="20"/>
      <c r="LHU14" s="20"/>
      <c r="LHV14" s="20"/>
      <c r="LHW14" s="20"/>
      <c r="LHX14" s="20"/>
      <c r="LHY14" s="20"/>
      <c r="LHZ14" s="20"/>
      <c r="LIA14" s="20"/>
      <c r="LIB14" s="20"/>
      <c r="LIC14" s="20"/>
      <c r="LID14" s="20"/>
      <c r="LIE14" s="20"/>
      <c r="LIF14" s="20"/>
      <c r="LIG14" s="20"/>
      <c r="LIH14" s="20"/>
      <c r="LII14" s="20"/>
      <c r="LIJ14" s="20"/>
      <c r="LIK14" s="20"/>
      <c r="LIL14" s="20"/>
      <c r="LIM14" s="20"/>
      <c r="LIN14" s="20"/>
      <c r="LIO14" s="20"/>
      <c r="LIP14" s="20"/>
      <c r="LIQ14" s="20"/>
      <c r="LIR14" s="20"/>
      <c r="LIS14" s="20"/>
      <c r="LIT14" s="20"/>
      <c r="LIU14" s="20"/>
      <c r="LIV14" s="20"/>
      <c r="LIW14" s="20"/>
      <c r="LIX14" s="20"/>
      <c r="LIY14" s="20"/>
      <c r="LIZ14" s="20"/>
      <c r="LJA14" s="20"/>
      <c r="LJB14" s="20"/>
      <c r="LJC14" s="20"/>
      <c r="LJD14" s="20"/>
      <c r="LJE14" s="20"/>
      <c r="LJF14" s="20"/>
      <c r="LJG14" s="20"/>
      <c r="LJH14" s="20"/>
      <c r="LJI14" s="20"/>
      <c r="LJJ14" s="20"/>
      <c r="LJK14" s="20"/>
      <c r="LJL14" s="20"/>
      <c r="LJM14" s="20"/>
      <c r="LJN14" s="20"/>
      <c r="LJO14" s="20"/>
      <c r="LJP14" s="20"/>
      <c r="LJQ14" s="20"/>
      <c r="LJR14" s="20"/>
      <c r="LJS14" s="20"/>
      <c r="LJT14" s="20"/>
      <c r="LJU14" s="20"/>
      <c r="LJV14" s="20"/>
      <c r="LJW14" s="20"/>
      <c r="LJX14" s="20"/>
      <c r="LJY14" s="20"/>
      <c r="LJZ14" s="20"/>
      <c r="LKA14" s="20"/>
      <c r="LKB14" s="20"/>
      <c r="LKC14" s="20"/>
      <c r="LKD14" s="20"/>
      <c r="LKE14" s="20"/>
      <c r="LKF14" s="20"/>
      <c r="LKG14" s="20"/>
      <c r="LKH14" s="20"/>
      <c r="LKI14" s="20"/>
      <c r="LKJ14" s="20"/>
      <c r="LKK14" s="20"/>
      <c r="LKL14" s="20"/>
      <c r="LKM14" s="20"/>
      <c r="LKN14" s="20"/>
      <c r="LKO14" s="20"/>
      <c r="LKP14" s="20"/>
      <c r="LKQ14" s="20"/>
      <c r="LKR14" s="20"/>
      <c r="LKS14" s="20"/>
      <c r="LKT14" s="20"/>
      <c r="LKU14" s="20"/>
      <c r="LKV14" s="20"/>
      <c r="LKW14" s="20"/>
      <c r="LKX14" s="20"/>
      <c r="LKY14" s="20"/>
      <c r="LKZ14" s="20"/>
      <c r="LLA14" s="20"/>
      <c r="LLB14" s="20"/>
      <c r="LLC14" s="20"/>
      <c r="LLD14" s="20"/>
      <c r="LLE14" s="20"/>
      <c r="LLF14" s="20"/>
      <c r="LLG14" s="20"/>
      <c r="LLH14" s="20"/>
      <c r="LLI14" s="20"/>
      <c r="LLJ14" s="20"/>
      <c r="LLK14" s="20"/>
      <c r="LLL14" s="20"/>
      <c r="LLM14" s="20"/>
      <c r="LLN14" s="20"/>
      <c r="LLO14" s="20"/>
      <c r="LLP14" s="20"/>
      <c r="LLQ14" s="20"/>
      <c r="LLR14" s="20"/>
      <c r="LLS14" s="20"/>
      <c r="LLT14" s="20"/>
      <c r="LLU14" s="20"/>
      <c r="LLV14" s="20"/>
      <c r="LLW14" s="20"/>
      <c r="LLX14" s="20"/>
      <c r="LLY14" s="20"/>
      <c r="LLZ14" s="20"/>
      <c r="LMA14" s="20"/>
      <c r="LMB14" s="20"/>
      <c r="LMC14" s="20"/>
      <c r="LMD14" s="20"/>
      <c r="LME14" s="20"/>
      <c r="LMF14" s="20"/>
      <c r="LMG14" s="20"/>
      <c r="LMH14" s="20"/>
      <c r="LMI14" s="20"/>
      <c r="LMJ14" s="20"/>
      <c r="LMK14" s="20"/>
      <c r="LML14" s="20"/>
      <c r="LMM14" s="20"/>
      <c r="LMN14" s="20"/>
      <c r="LMO14" s="20"/>
      <c r="LMP14" s="20"/>
      <c r="LMQ14" s="20"/>
      <c r="LMR14" s="20"/>
      <c r="LMS14" s="20"/>
      <c r="LMT14" s="20"/>
      <c r="LMU14" s="20"/>
      <c r="LMV14" s="20"/>
      <c r="LMW14" s="20"/>
      <c r="LMX14" s="20"/>
      <c r="LMY14" s="20"/>
      <c r="LMZ14" s="20"/>
      <c r="LNA14" s="20"/>
      <c r="LNB14" s="20"/>
      <c r="LNC14" s="20"/>
      <c r="LND14" s="20"/>
      <c r="LNE14" s="20"/>
      <c r="LNF14" s="20"/>
      <c r="LNG14" s="20"/>
      <c r="LNH14" s="20"/>
      <c r="LNI14" s="20"/>
      <c r="LNJ14" s="20"/>
      <c r="LNK14" s="20"/>
      <c r="LNL14" s="20"/>
      <c r="LNM14" s="20"/>
      <c r="LNN14" s="20"/>
      <c r="LNO14" s="20"/>
      <c r="LNP14" s="20"/>
      <c r="LNQ14" s="20"/>
      <c r="LNR14" s="20"/>
      <c r="LNS14" s="20"/>
      <c r="LNT14" s="20"/>
      <c r="LNU14" s="20"/>
      <c r="LNV14" s="20"/>
      <c r="LNW14" s="20"/>
      <c r="LNX14" s="20"/>
      <c r="LNY14" s="20"/>
      <c r="LNZ14" s="20"/>
      <c r="LOA14" s="20"/>
      <c r="LOB14" s="20"/>
      <c r="LOC14" s="20"/>
      <c r="LOD14" s="20"/>
      <c r="LOE14" s="20"/>
      <c r="LOF14" s="20"/>
      <c r="LOG14" s="20"/>
      <c r="LOH14" s="20"/>
      <c r="LOI14" s="20"/>
      <c r="LOJ14" s="20"/>
      <c r="LOK14" s="20"/>
      <c r="LOL14" s="20"/>
      <c r="LOM14" s="20"/>
      <c r="LON14" s="20"/>
      <c r="LOO14" s="20"/>
      <c r="LOP14" s="20"/>
      <c r="LOQ14" s="20"/>
      <c r="LOR14" s="20"/>
      <c r="LOS14" s="20"/>
      <c r="LOT14" s="20"/>
      <c r="LOU14" s="20"/>
      <c r="LOV14" s="20"/>
      <c r="LOW14" s="20"/>
      <c r="LOX14" s="20"/>
      <c r="LOY14" s="20"/>
      <c r="LOZ14" s="20"/>
      <c r="LPA14" s="20"/>
      <c r="LPB14" s="20"/>
      <c r="LPC14" s="20"/>
      <c r="LPD14" s="20"/>
      <c r="LPE14" s="20"/>
      <c r="LPF14" s="20"/>
      <c r="LPG14" s="20"/>
      <c r="LPH14" s="20"/>
      <c r="LPI14" s="20"/>
      <c r="LPJ14" s="20"/>
      <c r="LPK14" s="20"/>
      <c r="LPL14" s="20"/>
      <c r="LPM14" s="20"/>
      <c r="LPN14" s="20"/>
      <c r="LPO14" s="20"/>
      <c r="LPP14" s="20"/>
      <c r="LPQ14" s="20"/>
      <c r="LPR14" s="20"/>
      <c r="LPS14" s="20"/>
      <c r="LPT14" s="20"/>
      <c r="LPU14" s="20"/>
      <c r="LPV14" s="20"/>
      <c r="LPW14" s="20"/>
      <c r="LPX14" s="20"/>
      <c r="LPY14" s="20"/>
      <c r="LPZ14" s="20"/>
      <c r="LQA14" s="20"/>
      <c r="LQB14" s="20"/>
      <c r="LQC14" s="20"/>
      <c r="LQD14" s="20"/>
      <c r="LQE14" s="20"/>
      <c r="LQF14" s="20"/>
      <c r="LQG14" s="20"/>
      <c r="LQH14" s="20"/>
      <c r="LQI14" s="20"/>
      <c r="LQJ14" s="20"/>
      <c r="LQK14" s="20"/>
      <c r="LQL14" s="20"/>
      <c r="LQM14" s="20"/>
      <c r="LQN14" s="20"/>
      <c r="LQO14" s="20"/>
      <c r="LQP14" s="20"/>
      <c r="LQQ14" s="20"/>
      <c r="LQR14" s="20"/>
      <c r="LQS14" s="20"/>
      <c r="LQT14" s="20"/>
      <c r="LQU14" s="20"/>
      <c r="LQV14" s="20"/>
      <c r="LQW14" s="20"/>
      <c r="LQX14" s="20"/>
      <c r="LQY14" s="20"/>
      <c r="LQZ14" s="20"/>
      <c r="LRA14" s="20"/>
      <c r="LRB14" s="20"/>
      <c r="LRC14" s="20"/>
      <c r="LRD14" s="20"/>
      <c r="LRE14" s="20"/>
      <c r="LRF14" s="20"/>
      <c r="LRG14" s="20"/>
      <c r="LRH14" s="20"/>
      <c r="LRI14" s="20"/>
      <c r="LRJ14" s="20"/>
      <c r="LRK14" s="20"/>
      <c r="LRL14" s="20"/>
      <c r="LRM14" s="20"/>
      <c r="LRN14" s="20"/>
      <c r="LRO14" s="20"/>
      <c r="LRP14" s="20"/>
      <c r="LRQ14" s="20"/>
      <c r="LRR14" s="20"/>
      <c r="LRS14" s="20"/>
      <c r="LRT14" s="20"/>
      <c r="LRU14" s="20"/>
      <c r="LRV14" s="20"/>
      <c r="LRW14" s="20"/>
      <c r="LRX14" s="20"/>
      <c r="LRY14" s="20"/>
      <c r="LRZ14" s="20"/>
      <c r="LSA14" s="20"/>
      <c r="LSB14" s="20"/>
      <c r="LSC14" s="20"/>
      <c r="LSD14" s="20"/>
      <c r="LSE14" s="20"/>
      <c r="LSF14" s="20"/>
      <c r="LSG14" s="20"/>
      <c r="LSH14" s="20"/>
      <c r="LSI14" s="20"/>
      <c r="LSJ14" s="20"/>
      <c r="LSK14" s="20"/>
      <c r="LSL14" s="20"/>
      <c r="LSM14" s="20"/>
      <c r="LSN14" s="20"/>
      <c r="LSO14" s="20"/>
      <c r="LSP14" s="20"/>
      <c r="LSQ14" s="20"/>
      <c r="LSR14" s="20"/>
      <c r="LSS14" s="20"/>
      <c r="LST14" s="20"/>
      <c r="LSU14" s="20"/>
      <c r="LSV14" s="20"/>
      <c r="LSW14" s="20"/>
      <c r="LSX14" s="20"/>
      <c r="LSY14" s="20"/>
      <c r="LSZ14" s="20"/>
      <c r="LTA14" s="20"/>
      <c r="LTB14" s="20"/>
      <c r="LTC14" s="20"/>
      <c r="LTD14" s="20"/>
      <c r="LTE14" s="20"/>
      <c r="LTF14" s="20"/>
      <c r="LTG14" s="20"/>
      <c r="LTH14" s="20"/>
      <c r="LTI14" s="20"/>
      <c r="LTJ14" s="20"/>
      <c r="LTK14" s="20"/>
      <c r="LTL14" s="20"/>
      <c r="LTM14" s="20"/>
      <c r="LTN14" s="20"/>
      <c r="LTO14" s="20"/>
      <c r="LTP14" s="20"/>
      <c r="LTQ14" s="20"/>
      <c r="LTR14" s="20"/>
      <c r="LTS14" s="20"/>
      <c r="LTT14" s="20"/>
      <c r="LTU14" s="20"/>
      <c r="LTV14" s="20"/>
      <c r="LTW14" s="20"/>
      <c r="LTX14" s="20"/>
      <c r="LTY14" s="20"/>
      <c r="LTZ14" s="20"/>
      <c r="LUA14" s="20"/>
      <c r="LUB14" s="20"/>
      <c r="LUC14" s="20"/>
      <c r="LUD14" s="20"/>
      <c r="LUE14" s="20"/>
      <c r="LUF14" s="20"/>
      <c r="LUG14" s="20"/>
      <c r="LUH14" s="20"/>
      <c r="LUI14" s="20"/>
      <c r="LUJ14" s="20"/>
      <c r="LUK14" s="20"/>
      <c r="LUL14" s="20"/>
      <c r="LUM14" s="20"/>
      <c r="LUN14" s="20"/>
      <c r="LUO14" s="20"/>
      <c r="LUP14" s="20"/>
      <c r="LUQ14" s="20"/>
      <c r="LUR14" s="20"/>
      <c r="LUS14" s="20"/>
      <c r="LUT14" s="20"/>
      <c r="LUU14" s="20"/>
      <c r="LUV14" s="20"/>
      <c r="LUW14" s="20"/>
      <c r="LUX14" s="20"/>
      <c r="LUY14" s="20"/>
      <c r="LUZ14" s="20"/>
      <c r="LVA14" s="20"/>
      <c r="LVB14" s="20"/>
      <c r="LVC14" s="20"/>
      <c r="LVD14" s="20"/>
      <c r="LVE14" s="20"/>
      <c r="LVF14" s="20"/>
      <c r="LVG14" s="20"/>
      <c r="LVH14" s="20"/>
      <c r="LVI14" s="20"/>
      <c r="LVJ14" s="20"/>
      <c r="LVK14" s="20"/>
      <c r="LVL14" s="20"/>
      <c r="LVM14" s="20"/>
      <c r="LVN14" s="20"/>
      <c r="LVO14" s="20"/>
      <c r="LVP14" s="20"/>
      <c r="LVQ14" s="20"/>
      <c r="LVR14" s="20"/>
      <c r="LVS14" s="20"/>
      <c r="LVT14" s="20"/>
      <c r="LVU14" s="20"/>
      <c r="LVV14" s="20"/>
      <c r="LVW14" s="20"/>
      <c r="LVX14" s="20"/>
      <c r="LVY14" s="20"/>
      <c r="LVZ14" s="20"/>
      <c r="LWA14" s="20"/>
      <c r="LWB14" s="20"/>
      <c r="LWC14" s="20"/>
      <c r="LWD14" s="20"/>
      <c r="LWE14" s="20"/>
      <c r="LWF14" s="20"/>
      <c r="LWG14" s="20"/>
      <c r="LWH14" s="20"/>
      <c r="LWI14" s="20"/>
      <c r="LWJ14" s="20"/>
      <c r="LWK14" s="20"/>
      <c r="LWL14" s="20"/>
      <c r="LWM14" s="20"/>
      <c r="LWN14" s="20"/>
      <c r="LWO14" s="20"/>
      <c r="LWP14" s="20"/>
      <c r="LWQ14" s="20"/>
      <c r="LWR14" s="20"/>
      <c r="LWS14" s="20"/>
      <c r="LWT14" s="20"/>
      <c r="LWU14" s="20"/>
      <c r="LWV14" s="20"/>
      <c r="LWW14" s="20"/>
      <c r="LWX14" s="20"/>
      <c r="LWY14" s="20"/>
      <c r="LWZ14" s="20"/>
      <c r="LXA14" s="20"/>
      <c r="LXB14" s="20"/>
      <c r="LXC14" s="20"/>
      <c r="LXD14" s="20"/>
      <c r="LXE14" s="20"/>
      <c r="LXF14" s="20"/>
      <c r="LXG14" s="20"/>
      <c r="LXH14" s="20"/>
      <c r="LXI14" s="20"/>
      <c r="LXJ14" s="20"/>
      <c r="LXK14" s="20"/>
      <c r="LXL14" s="20"/>
      <c r="LXM14" s="20"/>
      <c r="LXN14" s="20"/>
      <c r="LXO14" s="20"/>
      <c r="LXP14" s="20"/>
      <c r="LXQ14" s="20"/>
      <c r="LXR14" s="20"/>
      <c r="LXS14" s="20"/>
      <c r="LXT14" s="20"/>
      <c r="LXU14" s="20"/>
      <c r="LXV14" s="20"/>
      <c r="LXW14" s="20"/>
      <c r="LXX14" s="20"/>
      <c r="LXY14" s="20"/>
      <c r="LXZ14" s="20"/>
      <c r="LYA14" s="20"/>
      <c r="LYB14" s="20"/>
      <c r="LYC14" s="20"/>
      <c r="LYD14" s="20"/>
      <c r="LYE14" s="20"/>
      <c r="LYF14" s="20"/>
      <c r="LYG14" s="20"/>
      <c r="LYH14" s="20"/>
      <c r="LYI14" s="20"/>
      <c r="LYJ14" s="20"/>
      <c r="LYK14" s="20"/>
      <c r="LYL14" s="20"/>
      <c r="LYM14" s="20"/>
      <c r="LYN14" s="20"/>
      <c r="LYO14" s="20"/>
      <c r="LYP14" s="20"/>
      <c r="LYQ14" s="20"/>
      <c r="LYR14" s="20"/>
      <c r="LYS14" s="20"/>
      <c r="LYT14" s="20"/>
      <c r="LYU14" s="20"/>
      <c r="LYV14" s="20"/>
      <c r="LYW14" s="20"/>
      <c r="LYX14" s="20"/>
      <c r="LYY14" s="20"/>
      <c r="LYZ14" s="20"/>
      <c r="LZA14" s="20"/>
      <c r="LZB14" s="20"/>
      <c r="LZC14" s="20"/>
      <c r="LZD14" s="20"/>
      <c r="LZE14" s="20"/>
      <c r="LZF14" s="20"/>
      <c r="LZG14" s="20"/>
      <c r="LZH14" s="20"/>
      <c r="LZI14" s="20"/>
      <c r="LZJ14" s="20"/>
      <c r="LZK14" s="20"/>
      <c r="LZL14" s="20"/>
      <c r="LZM14" s="20"/>
      <c r="LZN14" s="20"/>
      <c r="LZO14" s="20"/>
      <c r="LZP14" s="20"/>
      <c r="LZQ14" s="20"/>
      <c r="LZR14" s="20"/>
      <c r="LZS14" s="20"/>
      <c r="LZT14" s="20"/>
      <c r="LZU14" s="20"/>
      <c r="LZV14" s="20"/>
      <c r="LZW14" s="20"/>
      <c r="LZX14" s="20"/>
      <c r="LZY14" s="20"/>
      <c r="LZZ14" s="20"/>
      <c r="MAA14" s="20"/>
      <c r="MAB14" s="20"/>
      <c r="MAC14" s="20"/>
      <c r="MAD14" s="20"/>
      <c r="MAE14" s="20"/>
      <c r="MAF14" s="20"/>
      <c r="MAG14" s="20"/>
      <c r="MAH14" s="20"/>
      <c r="MAI14" s="20"/>
      <c r="MAJ14" s="20"/>
      <c r="MAK14" s="20"/>
      <c r="MAL14" s="20"/>
      <c r="MAM14" s="20"/>
      <c r="MAN14" s="20"/>
      <c r="MAO14" s="20"/>
      <c r="MAP14" s="20"/>
      <c r="MAQ14" s="20"/>
      <c r="MAR14" s="20"/>
      <c r="MAS14" s="20"/>
      <c r="MAT14" s="20"/>
      <c r="MAU14" s="20"/>
      <c r="MAV14" s="20"/>
      <c r="MAW14" s="20"/>
      <c r="MAX14" s="20"/>
      <c r="MAY14" s="20"/>
      <c r="MAZ14" s="20"/>
      <c r="MBA14" s="20"/>
      <c r="MBB14" s="20"/>
      <c r="MBC14" s="20"/>
      <c r="MBD14" s="20"/>
      <c r="MBE14" s="20"/>
      <c r="MBF14" s="20"/>
      <c r="MBG14" s="20"/>
      <c r="MBH14" s="20"/>
      <c r="MBI14" s="20"/>
      <c r="MBJ14" s="20"/>
      <c r="MBK14" s="20"/>
      <c r="MBL14" s="20"/>
      <c r="MBM14" s="20"/>
      <c r="MBN14" s="20"/>
      <c r="MBO14" s="20"/>
      <c r="MBP14" s="20"/>
      <c r="MBQ14" s="20"/>
      <c r="MBR14" s="20"/>
      <c r="MBS14" s="20"/>
      <c r="MBT14" s="20"/>
      <c r="MBU14" s="20"/>
      <c r="MBV14" s="20"/>
      <c r="MBW14" s="20"/>
      <c r="MBX14" s="20"/>
      <c r="MBY14" s="20"/>
      <c r="MBZ14" s="20"/>
      <c r="MCA14" s="20"/>
      <c r="MCB14" s="20"/>
      <c r="MCC14" s="20"/>
      <c r="MCD14" s="20"/>
      <c r="MCE14" s="20"/>
      <c r="MCF14" s="20"/>
      <c r="MCG14" s="20"/>
      <c r="MCH14" s="20"/>
      <c r="MCI14" s="20"/>
      <c r="MCJ14" s="20"/>
      <c r="MCK14" s="20"/>
      <c r="MCL14" s="20"/>
      <c r="MCM14" s="20"/>
      <c r="MCN14" s="20"/>
      <c r="MCO14" s="20"/>
      <c r="MCP14" s="20"/>
      <c r="MCQ14" s="20"/>
      <c r="MCR14" s="20"/>
      <c r="MCS14" s="20"/>
      <c r="MCT14" s="20"/>
      <c r="MCU14" s="20"/>
      <c r="MCV14" s="20"/>
      <c r="MCW14" s="20"/>
      <c r="MCX14" s="20"/>
      <c r="MCY14" s="20"/>
      <c r="MCZ14" s="20"/>
      <c r="MDA14" s="20"/>
      <c r="MDB14" s="20"/>
      <c r="MDC14" s="20"/>
      <c r="MDD14" s="20"/>
      <c r="MDE14" s="20"/>
      <c r="MDF14" s="20"/>
      <c r="MDG14" s="20"/>
      <c r="MDH14" s="20"/>
      <c r="MDI14" s="20"/>
      <c r="MDJ14" s="20"/>
      <c r="MDK14" s="20"/>
      <c r="MDL14" s="20"/>
      <c r="MDM14" s="20"/>
      <c r="MDN14" s="20"/>
      <c r="MDO14" s="20"/>
      <c r="MDP14" s="20"/>
      <c r="MDQ14" s="20"/>
      <c r="MDR14" s="20"/>
      <c r="MDS14" s="20"/>
      <c r="MDT14" s="20"/>
      <c r="MDU14" s="20"/>
      <c r="MDV14" s="20"/>
      <c r="MDW14" s="20"/>
      <c r="MDX14" s="20"/>
      <c r="MDY14" s="20"/>
      <c r="MDZ14" s="20"/>
      <c r="MEA14" s="20"/>
      <c r="MEB14" s="20"/>
      <c r="MEC14" s="20"/>
      <c r="MED14" s="20"/>
      <c r="MEE14" s="20"/>
      <c r="MEF14" s="20"/>
      <c r="MEG14" s="20"/>
      <c r="MEH14" s="20"/>
      <c r="MEI14" s="20"/>
      <c r="MEJ14" s="20"/>
      <c r="MEK14" s="20"/>
      <c r="MEL14" s="20"/>
      <c r="MEM14" s="20"/>
      <c r="MEN14" s="20"/>
      <c r="MEO14" s="20"/>
      <c r="MEP14" s="20"/>
      <c r="MEQ14" s="20"/>
      <c r="MER14" s="20"/>
      <c r="MES14" s="20"/>
      <c r="MET14" s="20"/>
      <c r="MEU14" s="20"/>
      <c r="MEV14" s="20"/>
      <c r="MEW14" s="20"/>
      <c r="MEX14" s="20"/>
      <c r="MEY14" s="20"/>
      <c r="MEZ14" s="20"/>
      <c r="MFA14" s="20"/>
      <c r="MFB14" s="20"/>
      <c r="MFC14" s="20"/>
      <c r="MFD14" s="20"/>
      <c r="MFE14" s="20"/>
      <c r="MFF14" s="20"/>
      <c r="MFG14" s="20"/>
      <c r="MFH14" s="20"/>
      <c r="MFI14" s="20"/>
      <c r="MFJ14" s="20"/>
      <c r="MFK14" s="20"/>
      <c r="MFL14" s="20"/>
      <c r="MFM14" s="20"/>
      <c r="MFN14" s="20"/>
      <c r="MFO14" s="20"/>
      <c r="MFP14" s="20"/>
      <c r="MFQ14" s="20"/>
      <c r="MFR14" s="20"/>
      <c r="MFS14" s="20"/>
      <c r="MFT14" s="20"/>
      <c r="MFU14" s="20"/>
      <c r="MFV14" s="20"/>
      <c r="MFW14" s="20"/>
      <c r="MFX14" s="20"/>
      <c r="MFY14" s="20"/>
      <c r="MFZ14" s="20"/>
      <c r="MGA14" s="20"/>
      <c r="MGB14" s="20"/>
      <c r="MGC14" s="20"/>
      <c r="MGD14" s="20"/>
      <c r="MGE14" s="20"/>
      <c r="MGF14" s="20"/>
      <c r="MGG14" s="20"/>
      <c r="MGH14" s="20"/>
      <c r="MGI14" s="20"/>
      <c r="MGJ14" s="20"/>
      <c r="MGK14" s="20"/>
      <c r="MGL14" s="20"/>
      <c r="MGM14" s="20"/>
      <c r="MGN14" s="20"/>
      <c r="MGO14" s="20"/>
      <c r="MGP14" s="20"/>
      <c r="MGQ14" s="20"/>
      <c r="MGR14" s="20"/>
      <c r="MGS14" s="20"/>
      <c r="MGT14" s="20"/>
      <c r="MGU14" s="20"/>
      <c r="MGV14" s="20"/>
      <c r="MGW14" s="20"/>
      <c r="MGX14" s="20"/>
      <c r="MGY14" s="20"/>
      <c r="MGZ14" s="20"/>
      <c r="MHA14" s="20"/>
      <c r="MHB14" s="20"/>
      <c r="MHC14" s="20"/>
      <c r="MHD14" s="20"/>
      <c r="MHE14" s="20"/>
      <c r="MHF14" s="20"/>
      <c r="MHG14" s="20"/>
      <c r="MHH14" s="20"/>
      <c r="MHI14" s="20"/>
      <c r="MHJ14" s="20"/>
      <c r="MHK14" s="20"/>
      <c r="MHL14" s="20"/>
      <c r="MHM14" s="20"/>
      <c r="MHN14" s="20"/>
      <c r="MHO14" s="20"/>
      <c r="MHP14" s="20"/>
      <c r="MHQ14" s="20"/>
      <c r="MHR14" s="20"/>
      <c r="MHS14" s="20"/>
      <c r="MHT14" s="20"/>
      <c r="MHU14" s="20"/>
      <c r="MHV14" s="20"/>
      <c r="MHW14" s="20"/>
      <c r="MHX14" s="20"/>
      <c r="MHY14" s="20"/>
      <c r="MHZ14" s="20"/>
      <c r="MIA14" s="20"/>
      <c r="MIB14" s="20"/>
      <c r="MIC14" s="20"/>
      <c r="MID14" s="20"/>
      <c r="MIE14" s="20"/>
      <c r="MIF14" s="20"/>
      <c r="MIG14" s="20"/>
      <c r="MIH14" s="20"/>
      <c r="MII14" s="20"/>
      <c r="MIJ14" s="20"/>
      <c r="MIK14" s="20"/>
      <c r="MIL14" s="20"/>
      <c r="MIM14" s="20"/>
      <c r="MIN14" s="20"/>
      <c r="MIO14" s="20"/>
      <c r="MIP14" s="20"/>
      <c r="MIQ14" s="20"/>
      <c r="MIR14" s="20"/>
      <c r="MIS14" s="20"/>
      <c r="MIT14" s="20"/>
      <c r="MIU14" s="20"/>
      <c r="MIV14" s="20"/>
      <c r="MIW14" s="20"/>
      <c r="MIX14" s="20"/>
      <c r="MIY14" s="20"/>
      <c r="MIZ14" s="20"/>
      <c r="MJA14" s="20"/>
      <c r="MJB14" s="20"/>
      <c r="MJC14" s="20"/>
      <c r="MJD14" s="20"/>
      <c r="MJE14" s="20"/>
      <c r="MJF14" s="20"/>
      <c r="MJG14" s="20"/>
      <c r="MJH14" s="20"/>
      <c r="MJI14" s="20"/>
      <c r="MJJ14" s="20"/>
      <c r="MJK14" s="20"/>
      <c r="MJL14" s="20"/>
      <c r="MJM14" s="20"/>
      <c r="MJN14" s="20"/>
      <c r="MJO14" s="20"/>
      <c r="MJP14" s="20"/>
      <c r="MJQ14" s="20"/>
      <c r="MJR14" s="20"/>
      <c r="MJS14" s="20"/>
      <c r="MJT14" s="20"/>
      <c r="MJU14" s="20"/>
      <c r="MJV14" s="20"/>
      <c r="MJW14" s="20"/>
      <c r="MJX14" s="20"/>
      <c r="MJY14" s="20"/>
      <c r="MJZ14" s="20"/>
      <c r="MKA14" s="20"/>
      <c r="MKB14" s="20"/>
      <c r="MKC14" s="20"/>
      <c r="MKD14" s="20"/>
      <c r="MKE14" s="20"/>
      <c r="MKF14" s="20"/>
      <c r="MKG14" s="20"/>
      <c r="MKH14" s="20"/>
      <c r="MKI14" s="20"/>
      <c r="MKJ14" s="20"/>
      <c r="MKK14" s="20"/>
      <c r="MKL14" s="20"/>
      <c r="MKM14" s="20"/>
      <c r="MKN14" s="20"/>
      <c r="MKO14" s="20"/>
      <c r="MKP14" s="20"/>
      <c r="MKQ14" s="20"/>
      <c r="MKR14" s="20"/>
      <c r="MKS14" s="20"/>
      <c r="MKT14" s="20"/>
      <c r="MKU14" s="20"/>
      <c r="MKV14" s="20"/>
      <c r="MKW14" s="20"/>
      <c r="MKX14" s="20"/>
      <c r="MKY14" s="20"/>
      <c r="MKZ14" s="20"/>
      <c r="MLA14" s="20"/>
      <c r="MLB14" s="20"/>
      <c r="MLC14" s="20"/>
      <c r="MLD14" s="20"/>
      <c r="MLE14" s="20"/>
      <c r="MLF14" s="20"/>
      <c r="MLG14" s="20"/>
      <c r="MLH14" s="20"/>
      <c r="MLI14" s="20"/>
      <c r="MLJ14" s="20"/>
      <c r="MLK14" s="20"/>
      <c r="MLL14" s="20"/>
      <c r="MLM14" s="20"/>
      <c r="MLN14" s="20"/>
      <c r="MLO14" s="20"/>
      <c r="MLP14" s="20"/>
      <c r="MLQ14" s="20"/>
      <c r="MLR14" s="20"/>
      <c r="MLS14" s="20"/>
      <c r="MLT14" s="20"/>
      <c r="MLU14" s="20"/>
      <c r="MLV14" s="20"/>
      <c r="MLW14" s="20"/>
      <c r="MLX14" s="20"/>
      <c r="MLY14" s="20"/>
      <c r="MLZ14" s="20"/>
      <c r="MMA14" s="20"/>
      <c r="MMB14" s="20"/>
      <c r="MMC14" s="20"/>
      <c r="MMD14" s="20"/>
      <c r="MME14" s="20"/>
      <c r="MMF14" s="20"/>
      <c r="MMG14" s="20"/>
      <c r="MMH14" s="20"/>
      <c r="MMI14" s="20"/>
      <c r="MMJ14" s="20"/>
      <c r="MMK14" s="20"/>
      <c r="MML14" s="20"/>
      <c r="MMM14" s="20"/>
      <c r="MMN14" s="20"/>
      <c r="MMO14" s="20"/>
      <c r="MMP14" s="20"/>
      <c r="MMQ14" s="20"/>
      <c r="MMR14" s="20"/>
      <c r="MMS14" s="20"/>
      <c r="MMT14" s="20"/>
      <c r="MMU14" s="20"/>
      <c r="MMV14" s="20"/>
      <c r="MMW14" s="20"/>
      <c r="MMX14" s="20"/>
      <c r="MMY14" s="20"/>
      <c r="MMZ14" s="20"/>
      <c r="MNA14" s="20"/>
      <c r="MNB14" s="20"/>
      <c r="MNC14" s="20"/>
      <c r="MND14" s="20"/>
      <c r="MNE14" s="20"/>
      <c r="MNF14" s="20"/>
      <c r="MNG14" s="20"/>
      <c r="MNH14" s="20"/>
      <c r="MNI14" s="20"/>
      <c r="MNJ14" s="20"/>
      <c r="MNK14" s="20"/>
      <c r="MNL14" s="20"/>
      <c r="MNM14" s="20"/>
      <c r="MNN14" s="20"/>
      <c r="MNO14" s="20"/>
      <c r="MNP14" s="20"/>
      <c r="MNQ14" s="20"/>
      <c r="MNR14" s="20"/>
      <c r="MNS14" s="20"/>
      <c r="MNT14" s="20"/>
      <c r="MNU14" s="20"/>
      <c r="MNV14" s="20"/>
      <c r="MNW14" s="20"/>
      <c r="MNX14" s="20"/>
      <c r="MNY14" s="20"/>
      <c r="MNZ14" s="20"/>
      <c r="MOA14" s="20"/>
      <c r="MOB14" s="20"/>
      <c r="MOC14" s="20"/>
      <c r="MOD14" s="20"/>
      <c r="MOE14" s="20"/>
      <c r="MOF14" s="20"/>
      <c r="MOG14" s="20"/>
      <c r="MOH14" s="20"/>
      <c r="MOI14" s="20"/>
      <c r="MOJ14" s="20"/>
      <c r="MOK14" s="20"/>
      <c r="MOL14" s="20"/>
      <c r="MOM14" s="20"/>
      <c r="MON14" s="20"/>
      <c r="MOO14" s="20"/>
      <c r="MOP14" s="20"/>
      <c r="MOQ14" s="20"/>
      <c r="MOR14" s="20"/>
      <c r="MOS14" s="20"/>
      <c r="MOT14" s="20"/>
      <c r="MOU14" s="20"/>
      <c r="MOV14" s="20"/>
      <c r="MOW14" s="20"/>
      <c r="MOX14" s="20"/>
      <c r="MOY14" s="20"/>
      <c r="MOZ14" s="20"/>
      <c r="MPA14" s="20"/>
      <c r="MPB14" s="20"/>
      <c r="MPC14" s="20"/>
      <c r="MPD14" s="20"/>
      <c r="MPE14" s="20"/>
      <c r="MPF14" s="20"/>
      <c r="MPG14" s="20"/>
      <c r="MPH14" s="20"/>
      <c r="MPI14" s="20"/>
      <c r="MPJ14" s="20"/>
      <c r="MPK14" s="20"/>
      <c r="MPL14" s="20"/>
      <c r="MPM14" s="20"/>
      <c r="MPN14" s="20"/>
      <c r="MPO14" s="20"/>
      <c r="MPP14" s="20"/>
      <c r="MPQ14" s="20"/>
      <c r="MPR14" s="20"/>
      <c r="MPS14" s="20"/>
      <c r="MPT14" s="20"/>
      <c r="MPU14" s="20"/>
      <c r="MPV14" s="20"/>
      <c r="MPW14" s="20"/>
      <c r="MPX14" s="20"/>
      <c r="MPY14" s="20"/>
      <c r="MPZ14" s="20"/>
      <c r="MQA14" s="20"/>
      <c r="MQB14" s="20"/>
      <c r="MQC14" s="20"/>
      <c r="MQD14" s="20"/>
      <c r="MQE14" s="20"/>
      <c r="MQF14" s="20"/>
      <c r="MQG14" s="20"/>
      <c r="MQH14" s="20"/>
      <c r="MQI14" s="20"/>
      <c r="MQJ14" s="20"/>
      <c r="MQK14" s="20"/>
      <c r="MQL14" s="20"/>
      <c r="MQM14" s="20"/>
      <c r="MQN14" s="20"/>
      <c r="MQO14" s="20"/>
      <c r="MQP14" s="20"/>
      <c r="MQQ14" s="20"/>
      <c r="MQR14" s="20"/>
      <c r="MQS14" s="20"/>
      <c r="MQT14" s="20"/>
      <c r="MQU14" s="20"/>
      <c r="MQV14" s="20"/>
      <c r="MQW14" s="20"/>
      <c r="MQX14" s="20"/>
      <c r="MQY14" s="20"/>
      <c r="MQZ14" s="20"/>
      <c r="MRA14" s="20"/>
      <c r="MRB14" s="20"/>
      <c r="MRC14" s="20"/>
      <c r="MRD14" s="20"/>
      <c r="MRE14" s="20"/>
      <c r="MRF14" s="20"/>
      <c r="MRG14" s="20"/>
      <c r="MRH14" s="20"/>
      <c r="MRI14" s="20"/>
      <c r="MRJ14" s="20"/>
      <c r="MRK14" s="20"/>
      <c r="MRL14" s="20"/>
      <c r="MRM14" s="20"/>
      <c r="MRN14" s="20"/>
      <c r="MRO14" s="20"/>
      <c r="MRP14" s="20"/>
      <c r="MRQ14" s="20"/>
      <c r="MRR14" s="20"/>
      <c r="MRS14" s="20"/>
      <c r="MRT14" s="20"/>
      <c r="MRU14" s="20"/>
      <c r="MRV14" s="20"/>
      <c r="MRW14" s="20"/>
      <c r="MRX14" s="20"/>
      <c r="MRY14" s="20"/>
      <c r="MRZ14" s="20"/>
      <c r="MSA14" s="20"/>
      <c r="MSB14" s="20"/>
      <c r="MSC14" s="20"/>
      <c r="MSD14" s="20"/>
      <c r="MSE14" s="20"/>
      <c r="MSF14" s="20"/>
      <c r="MSG14" s="20"/>
      <c r="MSH14" s="20"/>
      <c r="MSI14" s="20"/>
      <c r="MSJ14" s="20"/>
      <c r="MSK14" s="20"/>
      <c r="MSL14" s="20"/>
      <c r="MSM14" s="20"/>
      <c r="MSN14" s="20"/>
      <c r="MSO14" s="20"/>
      <c r="MSP14" s="20"/>
      <c r="MSQ14" s="20"/>
      <c r="MSR14" s="20"/>
      <c r="MSS14" s="20"/>
      <c r="MST14" s="20"/>
      <c r="MSU14" s="20"/>
      <c r="MSV14" s="20"/>
      <c r="MSW14" s="20"/>
      <c r="MSX14" s="20"/>
      <c r="MSY14" s="20"/>
      <c r="MSZ14" s="20"/>
      <c r="MTA14" s="20"/>
      <c r="MTB14" s="20"/>
      <c r="MTC14" s="20"/>
      <c r="MTD14" s="20"/>
      <c r="MTE14" s="20"/>
      <c r="MTF14" s="20"/>
      <c r="MTG14" s="20"/>
      <c r="MTH14" s="20"/>
      <c r="MTI14" s="20"/>
      <c r="MTJ14" s="20"/>
      <c r="MTK14" s="20"/>
      <c r="MTL14" s="20"/>
      <c r="MTM14" s="20"/>
      <c r="MTN14" s="20"/>
      <c r="MTO14" s="20"/>
      <c r="MTP14" s="20"/>
      <c r="MTQ14" s="20"/>
      <c r="MTR14" s="20"/>
      <c r="MTS14" s="20"/>
      <c r="MTT14" s="20"/>
      <c r="MTU14" s="20"/>
      <c r="MTV14" s="20"/>
      <c r="MTW14" s="20"/>
      <c r="MTX14" s="20"/>
      <c r="MTY14" s="20"/>
      <c r="MTZ14" s="20"/>
      <c r="MUA14" s="20"/>
      <c r="MUB14" s="20"/>
      <c r="MUC14" s="20"/>
      <c r="MUD14" s="20"/>
      <c r="MUE14" s="20"/>
      <c r="MUF14" s="20"/>
      <c r="MUG14" s="20"/>
      <c r="MUH14" s="20"/>
      <c r="MUI14" s="20"/>
      <c r="MUJ14" s="20"/>
      <c r="MUK14" s="20"/>
      <c r="MUL14" s="20"/>
      <c r="MUM14" s="20"/>
      <c r="MUN14" s="20"/>
      <c r="MUO14" s="20"/>
      <c r="MUP14" s="20"/>
      <c r="MUQ14" s="20"/>
      <c r="MUR14" s="20"/>
      <c r="MUS14" s="20"/>
      <c r="MUT14" s="20"/>
      <c r="MUU14" s="20"/>
      <c r="MUV14" s="20"/>
      <c r="MUW14" s="20"/>
      <c r="MUX14" s="20"/>
      <c r="MUY14" s="20"/>
      <c r="MUZ14" s="20"/>
      <c r="MVA14" s="20"/>
      <c r="MVB14" s="20"/>
      <c r="MVC14" s="20"/>
      <c r="MVD14" s="20"/>
      <c r="MVE14" s="20"/>
      <c r="MVF14" s="20"/>
      <c r="MVG14" s="20"/>
      <c r="MVH14" s="20"/>
      <c r="MVI14" s="20"/>
      <c r="MVJ14" s="20"/>
      <c r="MVK14" s="20"/>
      <c r="MVL14" s="20"/>
      <c r="MVM14" s="20"/>
      <c r="MVN14" s="20"/>
      <c r="MVO14" s="20"/>
      <c r="MVP14" s="20"/>
      <c r="MVQ14" s="20"/>
      <c r="MVR14" s="20"/>
      <c r="MVS14" s="20"/>
      <c r="MVT14" s="20"/>
      <c r="MVU14" s="20"/>
      <c r="MVV14" s="20"/>
      <c r="MVW14" s="20"/>
      <c r="MVX14" s="20"/>
      <c r="MVY14" s="20"/>
      <c r="MVZ14" s="20"/>
      <c r="MWA14" s="20"/>
      <c r="MWB14" s="20"/>
      <c r="MWC14" s="20"/>
      <c r="MWD14" s="20"/>
      <c r="MWE14" s="20"/>
      <c r="MWF14" s="20"/>
      <c r="MWG14" s="20"/>
      <c r="MWH14" s="20"/>
      <c r="MWI14" s="20"/>
      <c r="MWJ14" s="20"/>
      <c r="MWK14" s="20"/>
      <c r="MWL14" s="20"/>
      <c r="MWM14" s="20"/>
      <c r="MWN14" s="20"/>
      <c r="MWO14" s="20"/>
      <c r="MWP14" s="20"/>
      <c r="MWQ14" s="20"/>
      <c r="MWR14" s="20"/>
      <c r="MWS14" s="20"/>
      <c r="MWT14" s="20"/>
      <c r="MWU14" s="20"/>
      <c r="MWV14" s="20"/>
      <c r="MWW14" s="20"/>
      <c r="MWX14" s="20"/>
      <c r="MWY14" s="20"/>
      <c r="MWZ14" s="20"/>
      <c r="MXA14" s="20"/>
      <c r="MXB14" s="20"/>
      <c r="MXC14" s="20"/>
      <c r="MXD14" s="20"/>
      <c r="MXE14" s="20"/>
      <c r="MXF14" s="20"/>
      <c r="MXG14" s="20"/>
      <c r="MXH14" s="20"/>
      <c r="MXI14" s="20"/>
      <c r="MXJ14" s="20"/>
      <c r="MXK14" s="20"/>
      <c r="MXL14" s="20"/>
      <c r="MXM14" s="20"/>
      <c r="MXN14" s="20"/>
      <c r="MXO14" s="20"/>
      <c r="MXP14" s="20"/>
      <c r="MXQ14" s="20"/>
      <c r="MXR14" s="20"/>
      <c r="MXS14" s="20"/>
      <c r="MXT14" s="20"/>
      <c r="MXU14" s="20"/>
      <c r="MXV14" s="20"/>
      <c r="MXW14" s="20"/>
      <c r="MXX14" s="20"/>
      <c r="MXY14" s="20"/>
      <c r="MXZ14" s="20"/>
      <c r="MYA14" s="20"/>
      <c r="MYB14" s="20"/>
      <c r="MYC14" s="20"/>
      <c r="MYD14" s="20"/>
      <c r="MYE14" s="20"/>
      <c r="MYF14" s="20"/>
      <c r="MYG14" s="20"/>
      <c r="MYH14" s="20"/>
      <c r="MYI14" s="20"/>
      <c r="MYJ14" s="20"/>
      <c r="MYK14" s="20"/>
      <c r="MYL14" s="20"/>
      <c r="MYM14" s="20"/>
      <c r="MYN14" s="20"/>
      <c r="MYO14" s="20"/>
      <c r="MYP14" s="20"/>
      <c r="MYQ14" s="20"/>
      <c r="MYR14" s="20"/>
      <c r="MYS14" s="20"/>
      <c r="MYT14" s="20"/>
      <c r="MYU14" s="20"/>
      <c r="MYV14" s="20"/>
      <c r="MYW14" s="20"/>
      <c r="MYX14" s="20"/>
      <c r="MYY14" s="20"/>
      <c r="MYZ14" s="20"/>
      <c r="MZA14" s="20"/>
      <c r="MZB14" s="20"/>
      <c r="MZC14" s="20"/>
      <c r="MZD14" s="20"/>
      <c r="MZE14" s="20"/>
      <c r="MZF14" s="20"/>
      <c r="MZG14" s="20"/>
      <c r="MZH14" s="20"/>
      <c r="MZI14" s="20"/>
      <c r="MZJ14" s="20"/>
      <c r="MZK14" s="20"/>
      <c r="MZL14" s="20"/>
      <c r="MZM14" s="20"/>
      <c r="MZN14" s="20"/>
      <c r="MZO14" s="20"/>
      <c r="MZP14" s="20"/>
      <c r="MZQ14" s="20"/>
      <c r="MZR14" s="20"/>
      <c r="MZS14" s="20"/>
      <c r="MZT14" s="20"/>
      <c r="MZU14" s="20"/>
      <c r="MZV14" s="20"/>
      <c r="MZW14" s="20"/>
      <c r="MZX14" s="20"/>
      <c r="MZY14" s="20"/>
      <c r="MZZ14" s="20"/>
      <c r="NAA14" s="20"/>
      <c r="NAB14" s="20"/>
      <c r="NAC14" s="20"/>
      <c r="NAD14" s="20"/>
      <c r="NAE14" s="20"/>
      <c r="NAF14" s="20"/>
      <c r="NAG14" s="20"/>
      <c r="NAH14" s="20"/>
      <c r="NAI14" s="20"/>
      <c r="NAJ14" s="20"/>
      <c r="NAK14" s="20"/>
      <c r="NAL14" s="20"/>
      <c r="NAM14" s="20"/>
      <c r="NAN14" s="20"/>
      <c r="NAO14" s="20"/>
      <c r="NAP14" s="20"/>
      <c r="NAQ14" s="20"/>
      <c r="NAR14" s="20"/>
      <c r="NAS14" s="20"/>
      <c r="NAT14" s="20"/>
      <c r="NAU14" s="20"/>
      <c r="NAV14" s="20"/>
      <c r="NAW14" s="20"/>
      <c r="NAX14" s="20"/>
      <c r="NAY14" s="20"/>
      <c r="NAZ14" s="20"/>
      <c r="NBA14" s="20"/>
      <c r="NBB14" s="20"/>
      <c r="NBC14" s="20"/>
      <c r="NBD14" s="20"/>
      <c r="NBE14" s="20"/>
      <c r="NBF14" s="20"/>
      <c r="NBG14" s="20"/>
      <c r="NBH14" s="20"/>
      <c r="NBI14" s="20"/>
      <c r="NBJ14" s="20"/>
      <c r="NBK14" s="20"/>
      <c r="NBL14" s="20"/>
      <c r="NBM14" s="20"/>
      <c r="NBN14" s="20"/>
      <c r="NBO14" s="20"/>
      <c r="NBP14" s="20"/>
      <c r="NBQ14" s="20"/>
      <c r="NBR14" s="20"/>
      <c r="NBS14" s="20"/>
      <c r="NBT14" s="20"/>
      <c r="NBU14" s="20"/>
      <c r="NBV14" s="20"/>
      <c r="NBW14" s="20"/>
      <c r="NBX14" s="20"/>
      <c r="NBY14" s="20"/>
      <c r="NBZ14" s="20"/>
      <c r="NCA14" s="20"/>
      <c r="NCB14" s="20"/>
      <c r="NCC14" s="20"/>
      <c r="NCD14" s="20"/>
      <c r="NCE14" s="20"/>
      <c r="NCF14" s="20"/>
      <c r="NCG14" s="20"/>
      <c r="NCH14" s="20"/>
      <c r="NCI14" s="20"/>
      <c r="NCJ14" s="20"/>
      <c r="NCK14" s="20"/>
      <c r="NCL14" s="20"/>
      <c r="NCM14" s="20"/>
      <c r="NCN14" s="20"/>
      <c r="NCO14" s="20"/>
      <c r="NCP14" s="20"/>
      <c r="NCQ14" s="20"/>
      <c r="NCR14" s="20"/>
      <c r="NCS14" s="20"/>
      <c r="NCT14" s="20"/>
      <c r="NCU14" s="20"/>
      <c r="NCV14" s="20"/>
      <c r="NCW14" s="20"/>
      <c r="NCX14" s="20"/>
      <c r="NCY14" s="20"/>
      <c r="NCZ14" s="20"/>
      <c r="NDA14" s="20"/>
      <c r="NDB14" s="20"/>
      <c r="NDC14" s="20"/>
      <c r="NDD14" s="20"/>
      <c r="NDE14" s="20"/>
      <c r="NDF14" s="20"/>
      <c r="NDG14" s="20"/>
      <c r="NDH14" s="20"/>
      <c r="NDI14" s="20"/>
      <c r="NDJ14" s="20"/>
      <c r="NDK14" s="20"/>
      <c r="NDL14" s="20"/>
      <c r="NDM14" s="20"/>
      <c r="NDN14" s="20"/>
      <c r="NDO14" s="20"/>
      <c r="NDP14" s="20"/>
      <c r="NDQ14" s="20"/>
      <c r="NDR14" s="20"/>
      <c r="NDS14" s="20"/>
      <c r="NDT14" s="20"/>
      <c r="NDU14" s="20"/>
      <c r="NDV14" s="20"/>
      <c r="NDW14" s="20"/>
      <c r="NDX14" s="20"/>
      <c r="NDY14" s="20"/>
      <c r="NDZ14" s="20"/>
      <c r="NEA14" s="20"/>
      <c r="NEB14" s="20"/>
      <c r="NEC14" s="20"/>
      <c r="NED14" s="20"/>
      <c r="NEE14" s="20"/>
      <c r="NEF14" s="20"/>
      <c r="NEG14" s="20"/>
      <c r="NEH14" s="20"/>
      <c r="NEI14" s="20"/>
      <c r="NEJ14" s="20"/>
      <c r="NEK14" s="20"/>
      <c r="NEL14" s="20"/>
      <c r="NEM14" s="20"/>
      <c r="NEN14" s="20"/>
      <c r="NEO14" s="20"/>
      <c r="NEP14" s="20"/>
      <c r="NEQ14" s="20"/>
      <c r="NER14" s="20"/>
      <c r="NES14" s="20"/>
      <c r="NET14" s="20"/>
      <c r="NEU14" s="20"/>
      <c r="NEV14" s="20"/>
      <c r="NEW14" s="20"/>
      <c r="NEX14" s="20"/>
      <c r="NEY14" s="20"/>
      <c r="NEZ14" s="20"/>
      <c r="NFA14" s="20"/>
      <c r="NFB14" s="20"/>
      <c r="NFC14" s="20"/>
      <c r="NFD14" s="20"/>
      <c r="NFE14" s="20"/>
      <c r="NFF14" s="20"/>
      <c r="NFG14" s="20"/>
      <c r="NFH14" s="20"/>
      <c r="NFI14" s="20"/>
      <c r="NFJ14" s="20"/>
      <c r="NFK14" s="20"/>
      <c r="NFL14" s="20"/>
      <c r="NFM14" s="20"/>
      <c r="NFN14" s="20"/>
      <c r="NFO14" s="20"/>
      <c r="NFP14" s="20"/>
      <c r="NFQ14" s="20"/>
      <c r="NFR14" s="20"/>
      <c r="NFS14" s="20"/>
      <c r="NFT14" s="20"/>
      <c r="NFU14" s="20"/>
      <c r="NFV14" s="20"/>
      <c r="NFW14" s="20"/>
      <c r="NFX14" s="20"/>
      <c r="NFY14" s="20"/>
      <c r="NFZ14" s="20"/>
      <c r="NGA14" s="20"/>
      <c r="NGB14" s="20"/>
      <c r="NGC14" s="20"/>
      <c r="NGD14" s="20"/>
      <c r="NGE14" s="20"/>
      <c r="NGF14" s="20"/>
      <c r="NGG14" s="20"/>
      <c r="NGH14" s="20"/>
      <c r="NGI14" s="20"/>
      <c r="NGJ14" s="20"/>
      <c r="NGK14" s="20"/>
      <c r="NGL14" s="20"/>
      <c r="NGM14" s="20"/>
      <c r="NGN14" s="20"/>
      <c r="NGO14" s="20"/>
      <c r="NGP14" s="20"/>
      <c r="NGQ14" s="20"/>
      <c r="NGR14" s="20"/>
      <c r="NGS14" s="20"/>
      <c r="NGT14" s="20"/>
      <c r="NGU14" s="20"/>
      <c r="NGV14" s="20"/>
      <c r="NGW14" s="20"/>
      <c r="NGX14" s="20"/>
      <c r="NGY14" s="20"/>
      <c r="NGZ14" s="20"/>
      <c r="NHA14" s="20"/>
      <c r="NHB14" s="20"/>
      <c r="NHC14" s="20"/>
      <c r="NHD14" s="20"/>
      <c r="NHE14" s="20"/>
      <c r="NHF14" s="20"/>
      <c r="NHG14" s="20"/>
      <c r="NHH14" s="20"/>
      <c r="NHI14" s="20"/>
      <c r="NHJ14" s="20"/>
      <c r="NHK14" s="20"/>
      <c r="NHL14" s="20"/>
      <c r="NHM14" s="20"/>
      <c r="NHN14" s="20"/>
      <c r="NHO14" s="20"/>
      <c r="NHP14" s="20"/>
      <c r="NHQ14" s="20"/>
      <c r="NHR14" s="20"/>
      <c r="NHS14" s="20"/>
      <c r="NHT14" s="20"/>
      <c r="NHU14" s="20"/>
      <c r="NHV14" s="20"/>
      <c r="NHW14" s="20"/>
      <c r="NHX14" s="20"/>
      <c r="NHY14" s="20"/>
      <c r="NHZ14" s="20"/>
      <c r="NIA14" s="20"/>
      <c r="NIB14" s="20"/>
      <c r="NIC14" s="20"/>
      <c r="NID14" s="20"/>
      <c r="NIE14" s="20"/>
      <c r="NIF14" s="20"/>
      <c r="NIG14" s="20"/>
      <c r="NIH14" s="20"/>
      <c r="NII14" s="20"/>
      <c r="NIJ14" s="20"/>
      <c r="NIK14" s="20"/>
      <c r="NIL14" s="20"/>
      <c r="NIM14" s="20"/>
      <c r="NIN14" s="20"/>
      <c r="NIO14" s="20"/>
      <c r="NIP14" s="20"/>
      <c r="NIQ14" s="20"/>
      <c r="NIR14" s="20"/>
      <c r="NIS14" s="20"/>
      <c r="NIT14" s="20"/>
      <c r="NIU14" s="20"/>
      <c r="NIV14" s="20"/>
      <c r="NIW14" s="20"/>
      <c r="NIX14" s="20"/>
      <c r="NIY14" s="20"/>
      <c r="NIZ14" s="20"/>
      <c r="NJA14" s="20"/>
      <c r="NJB14" s="20"/>
      <c r="NJC14" s="20"/>
      <c r="NJD14" s="20"/>
      <c r="NJE14" s="20"/>
      <c r="NJF14" s="20"/>
      <c r="NJG14" s="20"/>
      <c r="NJH14" s="20"/>
      <c r="NJI14" s="20"/>
      <c r="NJJ14" s="20"/>
      <c r="NJK14" s="20"/>
      <c r="NJL14" s="20"/>
      <c r="NJM14" s="20"/>
      <c r="NJN14" s="20"/>
      <c r="NJO14" s="20"/>
      <c r="NJP14" s="20"/>
      <c r="NJQ14" s="20"/>
      <c r="NJR14" s="20"/>
      <c r="NJS14" s="20"/>
      <c r="NJT14" s="20"/>
      <c r="NJU14" s="20"/>
      <c r="NJV14" s="20"/>
      <c r="NJW14" s="20"/>
      <c r="NJX14" s="20"/>
      <c r="NJY14" s="20"/>
      <c r="NJZ14" s="20"/>
      <c r="NKA14" s="20"/>
      <c r="NKB14" s="20"/>
      <c r="NKC14" s="20"/>
      <c r="NKD14" s="20"/>
      <c r="NKE14" s="20"/>
      <c r="NKF14" s="20"/>
      <c r="NKG14" s="20"/>
      <c r="NKH14" s="20"/>
      <c r="NKI14" s="20"/>
      <c r="NKJ14" s="20"/>
      <c r="NKK14" s="20"/>
      <c r="NKL14" s="20"/>
      <c r="NKM14" s="20"/>
      <c r="NKN14" s="20"/>
      <c r="NKO14" s="20"/>
      <c r="NKP14" s="20"/>
      <c r="NKQ14" s="20"/>
      <c r="NKR14" s="20"/>
      <c r="NKS14" s="20"/>
      <c r="NKT14" s="20"/>
      <c r="NKU14" s="20"/>
      <c r="NKV14" s="20"/>
      <c r="NKW14" s="20"/>
      <c r="NKX14" s="20"/>
      <c r="NKY14" s="20"/>
      <c r="NKZ14" s="20"/>
      <c r="NLA14" s="20"/>
      <c r="NLB14" s="20"/>
      <c r="NLC14" s="20"/>
      <c r="NLD14" s="20"/>
      <c r="NLE14" s="20"/>
      <c r="NLF14" s="20"/>
      <c r="NLG14" s="20"/>
      <c r="NLH14" s="20"/>
      <c r="NLI14" s="20"/>
      <c r="NLJ14" s="20"/>
      <c r="NLK14" s="20"/>
      <c r="NLL14" s="20"/>
      <c r="NLM14" s="20"/>
      <c r="NLN14" s="20"/>
      <c r="NLO14" s="20"/>
      <c r="NLP14" s="20"/>
      <c r="NLQ14" s="20"/>
      <c r="NLR14" s="20"/>
      <c r="NLS14" s="20"/>
      <c r="NLT14" s="20"/>
      <c r="NLU14" s="20"/>
      <c r="NLV14" s="20"/>
      <c r="NLW14" s="20"/>
      <c r="NLX14" s="20"/>
      <c r="NLY14" s="20"/>
      <c r="NLZ14" s="20"/>
      <c r="NMA14" s="20"/>
      <c r="NMB14" s="20"/>
      <c r="NMC14" s="20"/>
      <c r="NMD14" s="20"/>
      <c r="NME14" s="20"/>
      <c r="NMF14" s="20"/>
      <c r="NMG14" s="20"/>
      <c r="NMH14" s="20"/>
      <c r="NMI14" s="20"/>
      <c r="NMJ14" s="20"/>
      <c r="NMK14" s="20"/>
      <c r="NML14" s="20"/>
      <c r="NMM14" s="20"/>
      <c r="NMN14" s="20"/>
      <c r="NMO14" s="20"/>
      <c r="NMP14" s="20"/>
      <c r="NMQ14" s="20"/>
      <c r="NMR14" s="20"/>
      <c r="NMS14" s="20"/>
      <c r="NMT14" s="20"/>
      <c r="NMU14" s="20"/>
      <c r="NMV14" s="20"/>
      <c r="NMW14" s="20"/>
      <c r="NMX14" s="20"/>
      <c r="NMY14" s="20"/>
      <c r="NMZ14" s="20"/>
      <c r="NNA14" s="20"/>
      <c r="NNB14" s="20"/>
      <c r="NNC14" s="20"/>
      <c r="NND14" s="20"/>
      <c r="NNE14" s="20"/>
      <c r="NNF14" s="20"/>
      <c r="NNG14" s="20"/>
      <c r="NNH14" s="20"/>
      <c r="NNI14" s="20"/>
      <c r="NNJ14" s="20"/>
      <c r="NNK14" s="20"/>
      <c r="NNL14" s="20"/>
      <c r="NNM14" s="20"/>
      <c r="NNN14" s="20"/>
      <c r="NNO14" s="20"/>
      <c r="NNP14" s="20"/>
      <c r="NNQ14" s="20"/>
      <c r="NNR14" s="20"/>
      <c r="NNS14" s="20"/>
      <c r="NNT14" s="20"/>
      <c r="NNU14" s="20"/>
      <c r="NNV14" s="20"/>
      <c r="NNW14" s="20"/>
      <c r="NNX14" s="20"/>
      <c r="NNY14" s="20"/>
      <c r="NNZ14" s="20"/>
      <c r="NOA14" s="20"/>
      <c r="NOB14" s="20"/>
      <c r="NOC14" s="20"/>
      <c r="NOD14" s="20"/>
      <c r="NOE14" s="20"/>
      <c r="NOF14" s="20"/>
      <c r="NOG14" s="20"/>
      <c r="NOH14" s="20"/>
      <c r="NOI14" s="20"/>
      <c r="NOJ14" s="20"/>
      <c r="NOK14" s="20"/>
      <c r="NOL14" s="20"/>
      <c r="NOM14" s="20"/>
      <c r="NON14" s="20"/>
      <c r="NOO14" s="20"/>
      <c r="NOP14" s="20"/>
      <c r="NOQ14" s="20"/>
      <c r="NOR14" s="20"/>
      <c r="NOS14" s="20"/>
      <c r="NOT14" s="20"/>
      <c r="NOU14" s="20"/>
      <c r="NOV14" s="20"/>
      <c r="NOW14" s="20"/>
      <c r="NOX14" s="20"/>
      <c r="NOY14" s="20"/>
      <c r="NOZ14" s="20"/>
      <c r="NPA14" s="20"/>
      <c r="NPB14" s="20"/>
      <c r="NPC14" s="20"/>
      <c r="NPD14" s="20"/>
      <c r="NPE14" s="20"/>
      <c r="NPF14" s="20"/>
      <c r="NPG14" s="20"/>
      <c r="NPH14" s="20"/>
      <c r="NPI14" s="20"/>
      <c r="NPJ14" s="20"/>
      <c r="NPK14" s="20"/>
      <c r="NPL14" s="20"/>
      <c r="NPM14" s="20"/>
      <c r="NPN14" s="20"/>
      <c r="NPO14" s="20"/>
      <c r="NPP14" s="20"/>
      <c r="NPQ14" s="20"/>
      <c r="NPR14" s="20"/>
      <c r="NPS14" s="20"/>
      <c r="NPT14" s="20"/>
      <c r="NPU14" s="20"/>
      <c r="NPV14" s="20"/>
      <c r="NPW14" s="20"/>
      <c r="NPX14" s="20"/>
      <c r="NPY14" s="20"/>
      <c r="NPZ14" s="20"/>
      <c r="NQA14" s="20"/>
      <c r="NQB14" s="20"/>
      <c r="NQC14" s="20"/>
      <c r="NQD14" s="20"/>
      <c r="NQE14" s="20"/>
      <c r="NQF14" s="20"/>
      <c r="NQG14" s="20"/>
      <c r="NQH14" s="20"/>
      <c r="NQI14" s="20"/>
      <c r="NQJ14" s="20"/>
      <c r="NQK14" s="20"/>
      <c r="NQL14" s="20"/>
      <c r="NQM14" s="20"/>
      <c r="NQN14" s="20"/>
      <c r="NQO14" s="20"/>
      <c r="NQP14" s="20"/>
      <c r="NQQ14" s="20"/>
      <c r="NQR14" s="20"/>
      <c r="NQS14" s="20"/>
      <c r="NQT14" s="20"/>
      <c r="NQU14" s="20"/>
      <c r="NQV14" s="20"/>
      <c r="NQW14" s="20"/>
      <c r="NQX14" s="20"/>
      <c r="NQY14" s="20"/>
      <c r="NQZ14" s="20"/>
      <c r="NRA14" s="20"/>
      <c r="NRB14" s="20"/>
      <c r="NRC14" s="20"/>
      <c r="NRD14" s="20"/>
      <c r="NRE14" s="20"/>
      <c r="NRF14" s="20"/>
      <c r="NRG14" s="20"/>
      <c r="NRH14" s="20"/>
      <c r="NRI14" s="20"/>
      <c r="NRJ14" s="20"/>
      <c r="NRK14" s="20"/>
      <c r="NRL14" s="20"/>
      <c r="NRM14" s="20"/>
      <c r="NRN14" s="20"/>
      <c r="NRO14" s="20"/>
      <c r="NRP14" s="20"/>
      <c r="NRQ14" s="20"/>
      <c r="NRR14" s="20"/>
      <c r="NRS14" s="20"/>
      <c r="NRT14" s="20"/>
      <c r="NRU14" s="20"/>
      <c r="NRV14" s="20"/>
      <c r="NRW14" s="20"/>
      <c r="NRX14" s="20"/>
      <c r="NRY14" s="20"/>
      <c r="NRZ14" s="20"/>
      <c r="NSA14" s="20"/>
      <c r="NSB14" s="20"/>
      <c r="NSC14" s="20"/>
      <c r="NSD14" s="20"/>
      <c r="NSE14" s="20"/>
      <c r="NSF14" s="20"/>
      <c r="NSG14" s="20"/>
      <c r="NSH14" s="20"/>
      <c r="NSI14" s="20"/>
      <c r="NSJ14" s="20"/>
      <c r="NSK14" s="20"/>
      <c r="NSL14" s="20"/>
      <c r="NSM14" s="20"/>
      <c r="NSN14" s="20"/>
      <c r="NSO14" s="20"/>
      <c r="NSP14" s="20"/>
      <c r="NSQ14" s="20"/>
      <c r="NSR14" s="20"/>
      <c r="NSS14" s="20"/>
      <c r="NST14" s="20"/>
      <c r="NSU14" s="20"/>
      <c r="NSV14" s="20"/>
      <c r="NSW14" s="20"/>
      <c r="NSX14" s="20"/>
      <c r="NSY14" s="20"/>
      <c r="NSZ14" s="20"/>
      <c r="NTA14" s="20"/>
      <c r="NTB14" s="20"/>
      <c r="NTC14" s="20"/>
      <c r="NTD14" s="20"/>
      <c r="NTE14" s="20"/>
      <c r="NTF14" s="20"/>
      <c r="NTG14" s="20"/>
      <c r="NTH14" s="20"/>
      <c r="NTI14" s="20"/>
      <c r="NTJ14" s="20"/>
      <c r="NTK14" s="20"/>
      <c r="NTL14" s="20"/>
      <c r="NTM14" s="20"/>
      <c r="NTN14" s="20"/>
      <c r="NTO14" s="20"/>
      <c r="NTP14" s="20"/>
      <c r="NTQ14" s="20"/>
      <c r="NTR14" s="20"/>
      <c r="NTS14" s="20"/>
      <c r="NTT14" s="20"/>
      <c r="NTU14" s="20"/>
      <c r="NTV14" s="20"/>
      <c r="NTW14" s="20"/>
      <c r="NTX14" s="20"/>
      <c r="NTY14" s="20"/>
      <c r="NTZ14" s="20"/>
      <c r="NUA14" s="20"/>
      <c r="NUB14" s="20"/>
      <c r="NUC14" s="20"/>
      <c r="NUD14" s="20"/>
      <c r="NUE14" s="20"/>
      <c r="NUF14" s="20"/>
      <c r="NUG14" s="20"/>
      <c r="NUH14" s="20"/>
      <c r="NUI14" s="20"/>
      <c r="NUJ14" s="20"/>
      <c r="NUK14" s="20"/>
      <c r="NUL14" s="20"/>
      <c r="NUM14" s="20"/>
      <c r="NUN14" s="20"/>
      <c r="NUO14" s="20"/>
      <c r="NUP14" s="20"/>
      <c r="NUQ14" s="20"/>
      <c r="NUR14" s="20"/>
      <c r="NUS14" s="20"/>
      <c r="NUT14" s="20"/>
      <c r="NUU14" s="20"/>
      <c r="NUV14" s="20"/>
      <c r="NUW14" s="20"/>
      <c r="NUX14" s="20"/>
      <c r="NUY14" s="20"/>
      <c r="NUZ14" s="20"/>
      <c r="NVA14" s="20"/>
      <c r="NVB14" s="20"/>
      <c r="NVC14" s="20"/>
      <c r="NVD14" s="20"/>
      <c r="NVE14" s="20"/>
      <c r="NVF14" s="20"/>
      <c r="NVG14" s="20"/>
      <c r="NVH14" s="20"/>
      <c r="NVI14" s="20"/>
      <c r="NVJ14" s="20"/>
      <c r="NVK14" s="20"/>
      <c r="NVL14" s="20"/>
      <c r="NVM14" s="20"/>
      <c r="NVN14" s="20"/>
      <c r="NVO14" s="20"/>
      <c r="NVP14" s="20"/>
      <c r="NVQ14" s="20"/>
      <c r="NVR14" s="20"/>
      <c r="NVS14" s="20"/>
      <c r="NVT14" s="20"/>
      <c r="NVU14" s="20"/>
      <c r="NVV14" s="20"/>
      <c r="NVW14" s="20"/>
      <c r="NVX14" s="20"/>
      <c r="NVY14" s="20"/>
      <c r="NVZ14" s="20"/>
      <c r="NWA14" s="20"/>
      <c r="NWB14" s="20"/>
      <c r="NWC14" s="20"/>
      <c r="NWD14" s="20"/>
      <c r="NWE14" s="20"/>
      <c r="NWF14" s="20"/>
      <c r="NWG14" s="20"/>
      <c r="NWH14" s="20"/>
      <c r="NWI14" s="20"/>
      <c r="NWJ14" s="20"/>
      <c r="NWK14" s="20"/>
      <c r="NWL14" s="20"/>
      <c r="NWM14" s="20"/>
      <c r="NWN14" s="20"/>
      <c r="NWO14" s="20"/>
      <c r="NWP14" s="20"/>
      <c r="NWQ14" s="20"/>
      <c r="NWR14" s="20"/>
      <c r="NWS14" s="20"/>
      <c r="NWT14" s="20"/>
      <c r="NWU14" s="20"/>
      <c r="NWV14" s="20"/>
      <c r="NWW14" s="20"/>
      <c r="NWX14" s="20"/>
      <c r="NWY14" s="20"/>
      <c r="NWZ14" s="20"/>
      <c r="NXA14" s="20"/>
      <c r="NXB14" s="20"/>
      <c r="NXC14" s="20"/>
      <c r="NXD14" s="20"/>
      <c r="NXE14" s="20"/>
      <c r="NXF14" s="20"/>
      <c r="NXG14" s="20"/>
      <c r="NXH14" s="20"/>
      <c r="NXI14" s="20"/>
      <c r="NXJ14" s="20"/>
      <c r="NXK14" s="20"/>
      <c r="NXL14" s="20"/>
      <c r="NXM14" s="20"/>
      <c r="NXN14" s="20"/>
      <c r="NXO14" s="20"/>
      <c r="NXP14" s="20"/>
      <c r="NXQ14" s="20"/>
      <c r="NXR14" s="20"/>
      <c r="NXS14" s="20"/>
      <c r="NXT14" s="20"/>
      <c r="NXU14" s="20"/>
      <c r="NXV14" s="20"/>
      <c r="NXW14" s="20"/>
      <c r="NXX14" s="20"/>
      <c r="NXY14" s="20"/>
      <c r="NXZ14" s="20"/>
      <c r="NYA14" s="20"/>
      <c r="NYB14" s="20"/>
      <c r="NYC14" s="20"/>
      <c r="NYD14" s="20"/>
      <c r="NYE14" s="20"/>
      <c r="NYF14" s="20"/>
      <c r="NYG14" s="20"/>
      <c r="NYH14" s="20"/>
      <c r="NYI14" s="20"/>
      <c r="NYJ14" s="20"/>
      <c r="NYK14" s="20"/>
      <c r="NYL14" s="20"/>
      <c r="NYM14" s="20"/>
      <c r="NYN14" s="20"/>
      <c r="NYO14" s="20"/>
      <c r="NYP14" s="20"/>
      <c r="NYQ14" s="20"/>
      <c r="NYR14" s="20"/>
      <c r="NYS14" s="20"/>
      <c r="NYT14" s="20"/>
      <c r="NYU14" s="20"/>
      <c r="NYV14" s="20"/>
      <c r="NYW14" s="20"/>
      <c r="NYX14" s="20"/>
      <c r="NYY14" s="20"/>
      <c r="NYZ14" s="20"/>
      <c r="NZA14" s="20"/>
      <c r="NZB14" s="20"/>
      <c r="NZC14" s="20"/>
      <c r="NZD14" s="20"/>
      <c r="NZE14" s="20"/>
      <c r="NZF14" s="20"/>
      <c r="NZG14" s="20"/>
      <c r="NZH14" s="20"/>
      <c r="NZI14" s="20"/>
      <c r="NZJ14" s="20"/>
      <c r="NZK14" s="20"/>
      <c r="NZL14" s="20"/>
      <c r="NZM14" s="20"/>
      <c r="NZN14" s="20"/>
      <c r="NZO14" s="20"/>
      <c r="NZP14" s="20"/>
      <c r="NZQ14" s="20"/>
      <c r="NZR14" s="20"/>
      <c r="NZS14" s="20"/>
      <c r="NZT14" s="20"/>
      <c r="NZU14" s="20"/>
      <c r="NZV14" s="20"/>
      <c r="NZW14" s="20"/>
      <c r="NZX14" s="20"/>
      <c r="NZY14" s="20"/>
      <c r="NZZ14" s="20"/>
      <c r="OAA14" s="20"/>
      <c r="OAB14" s="20"/>
      <c r="OAC14" s="20"/>
      <c r="OAD14" s="20"/>
      <c r="OAE14" s="20"/>
      <c r="OAF14" s="20"/>
      <c r="OAG14" s="20"/>
      <c r="OAH14" s="20"/>
      <c r="OAI14" s="20"/>
      <c r="OAJ14" s="20"/>
      <c r="OAK14" s="20"/>
      <c r="OAL14" s="20"/>
      <c r="OAM14" s="20"/>
      <c r="OAN14" s="20"/>
      <c r="OAO14" s="20"/>
      <c r="OAP14" s="20"/>
      <c r="OAQ14" s="20"/>
      <c r="OAR14" s="20"/>
      <c r="OAS14" s="20"/>
      <c r="OAT14" s="20"/>
      <c r="OAU14" s="20"/>
      <c r="OAV14" s="20"/>
      <c r="OAW14" s="20"/>
      <c r="OAX14" s="20"/>
      <c r="OAY14" s="20"/>
      <c r="OAZ14" s="20"/>
      <c r="OBA14" s="20"/>
      <c r="OBB14" s="20"/>
      <c r="OBC14" s="20"/>
      <c r="OBD14" s="20"/>
      <c r="OBE14" s="20"/>
      <c r="OBF14" s="20"/>
      <c r="OBG14" s="20"/>
      <c r="OBH14" s="20"/>
      <c r="OBI14" s="20"/>
      <c r="OBJ14" s="20"/>
      <c r="OBK14" s="20"/>
      <c r="OBL14" s="20"/>
      <c r="OBM14" s="20"/>
      <c r="OBN14" s="20"/>
      <c r="OBO14" s="20"/>
      <c r="OBP14" s="20"/>
      <c r="OBQ14" s="20"/>
      <c r="OBR14" s="20"/>
      <c r="OBS14" s="20"/>
      <c r="OBT14" s="20"/>
      <c r="OBU14" s="20"/>
      <c r="OBV14" s="20"/>
      <c r="OBW14" s="20"/>
      <c r="OBX14" s="20"/>
      <c r="OBY14" s="20"/>
      <c r="OBZ14" s="20"/>
      <c r="OCA14" s="20"/>
      <c r="OCB14" s="20"/>
      <c r="OCC14" s="20"/>
      <c r="OCD14" s="20"/>
      <c r="OCE14" s="20"/>
      <c r="OCF14" s="20"/>
      <c r="OCG14" s="20"/>
      <c r="OCH14" s="20"/>
      <c r="OCI14" s="20"/>
      <c r="OCJ14" s="20"/>
      <c r="OCK14" s="20"/>
      <c r="OCL14" s="20"/>
      <c r="OCM14" s="20"/>
      <c r="OCN14" s="20"/>
      <c r="OCO14" s="20"/>
      <c r="OCP14" s="20"/>
      <c r="OCQ14" s="20"/>
      <c r="OCR14" s="20"/>
      <c r="OCS14" s="20"/>
      <c r="OCT14" s="20"/>
      <c r="OCU14" s="20"/>
      <c r="OCV14" s="20"/>
      <c r="OCW14" s="20"/>
      <c r="OCX14" s="20"/>
      <c r="OCY14" s="20"/>
      <c r="OCZ14" s="20"/>
      <c r="ODA14" s="20"/>
      <c r="ODB14" s="20"/>
      <c r="ODC14" s="20"/>
      <c r="ODD14" s="20"/>
      <c r="ODE14" s="20"/>
      <c r="ODF14" s="20"/>
      <c r="ODG14" s="20"/>
      <c r="ODH14" s="20"/>
      <c r="ODI14" s="20"/>
      <c r="ODJ14" s="20"/>
      <c r="ODK14" s="20"/>
      <c r="ODL14" s="20"/>
      <c r="ODM14" s="20"/>
      <c r="ODN14" s="20"/>
      <c r="ODO14" s="20"/>
      <c r="ODP14" s="20"/>
      <c r="ODQ14" s="20"/>
      <c r="ODR14" s="20"/>
      <c r="ODS14" s="20"/>
      <c r="ODT14" s="20"/>
      <c r="ODU14" s="20"/>
      <c r="ODV14" s="20"/>
      <c r="ODW14" s="20"/>
      <c r="ODX14" s="20"/>
      <c r="ODY14" s="20"/>
      <c r="ODZ14" s="20"/>
      <c r="OEA14" s="20"/>
      <c r="OEB14" s="20"/>
      <c r="OEC14" s="20"/>
      <c r="OED14" s="20"/>
      <c r="OEE14" s="20"/>
      <c r="OEF14" s="20"/>
      <c r="OEG14" s="20"/>
      <c r="OEH14" s="20"/>
      <c r="OEI14" s="20"/>
      <c r="OEJ14" s="20"/>
      <c r="OEK14" s="20"/>
      <c r="OEL14" s="20"/>
      <c r="OEM14" s="20"/>
      <c r="OEN14" s="20"/>
      <c r="OEO14" s="20"/>
      <c r="OEP14" s="20"/>
      <c r="OEQ14" s="20"/>
      <c r="OER14" s="20"/>
      <c r="OES14" s="20"/>
      <c r="OET14" s="20"/>
      <c r="OEU14" s="20"/>
      <c r="OEV14" s="20"/>
      <c r="OEW14" s="20"/>
      <c r="OEX14" s="20"/>
      <c r="OEY14" s="20"/>
      <c r="OEZ14" s="20"/>
      <c r="OFA14" s="20"/>
      <c r="OFB14" s="20"/>
      <c r="OFC14" s="20"/>
      <c r="OFD14" s="20"/>
      <c r="OFE14" s="20"/>
      <c r="OFF14" s="20"/>
      <c r="OFG14" s="20"/>
      <c r="OFH14" s="20"/>
      <c r="OFI14" s="20"/>
      <c r="OFJ14" s="20"/>
      <c r="OFK14" s="20"/>
      <c r="OFL14" s="20"/>
      <c r="OFM14" s="20"/>
      <c r="OFN14" s="20"/>
      <c r="OFO14" s="20"/>
      <c r="OFP14" s="20"/>
      <c r="OFQ14" s="20"/>
      <c r="OFR14" s="20"/>
      <c r="OFS14" s="20"/>
      <c r="OFT14" s="20"/>
      <c r="OFU14" s="20"/>
      <c r="OFV14" s="20"/>
      <c r="OFW14" s="20"/>
      <c r="OFX14" s="20"/>
      <c r="OFY14" s="20"/>
      <c r="OFZ14" s="20"/>
      <c r="OGA14" s="20"/>
      <c r="OGB14" s="20"/>
      <c r="OGC14" s="20"/>
      <c r="OGD14" s="20"/>
      <c r="OGE14" s="20"/>
      <c r="OGF14" s="20"/>
      <c r="OGG14" s="20"/>
      <c r="OGH14" s="20"/>
      <c r="OGI14" s="20"/>
      <c r="OGJ14" s="20"/>
      <c r="OGK14" s="20"/>
      <c r="OGL14" s="20"/>
      <c r="OGM14" s="20"/>
      <c r="OGN14" s="20"/>
      <c r="OGO14" s="20"/>
      <c r="OGP14" s="20"/>
      <c r="OGQ14" s="20"/>
      <c r="OGR14" s="20"/>
      <c r="OGS14" s="20"/>
      <c r="OGT14" s="20"/>
      <c r="OGU14" s="20"/>
      <c r="OGV14" s="20"/>
      <c r="OGW14" s="20"/>
      <c r="OGX14" s="20"/>
      <c r="OGY14" s="20"/>
      <c r="OGZ14" s="20"/>
      <c r="OHA14" s="20"/>
      <c r="OHB14" s="20"/>
      <c r="OHC14" s="20"/>
      <c r="OHD14" s="20"/>
      <c r="OHE14" s="20"/>
      <c r="OHF14" s="20"/>
      <c r="OHG14" s="20"/>
      <c r="OHH14" s="20"/>
      <c r="OHI14" s="20"/>
      <c r="OHJ14" s="20"/>
      <c r="OHK14" s="20"/>
      <c r="OHL14" s="20"/>
      <c r="OHM14" s="20"/>
      <c r="OHN14" s="20"/>
      <c r="OHO14" s="20"/>
      <c r="OHP14" s="20"/>
      <c r="OHQ14" s="20"/>
      <c r="OHR14" s="20"/>
      <c r="OHS14" s="20"/>
      <c r="OHT14" s="20"/>
      <c r="OHU14" s="20"/>
      <c r="OHV14" s="20"/>
      <c r="OHW14" s="20"/>
      <c r="OHX14" s="20"/>
      <c r="OHY14" s="20"/>
      <c r="OHZ14" s="20"/>
      <c r="OIA14" s="20"/>
      <c r="OIB14" s="20"/>
      <c r="OIC14" s="20"/>
      <c r="OID14" s="20"/>
      <c r="OIE14" s="20"/>
      <c r="OIF14" s="20"/>
      <c r="OIG14" s="20"/>
      <c r="OIH14" s="20"/>
      <c r="OII14" s="20"/>
      <c r="OIJ14" s="20"/>
      <c r="OIK14" s="20"/>
      <c r="OIL14" s="20"/>
      <c r="OIM14" s="20"/>
      <c r="OIN14" s="20"/>
      <c r="OIO14" s="20"/>
      <c r="OIP14" s="20"/>
      <c r="OIQ14" s="20"/>
      <c r="OIR14" s="20"/>
      <c r="OIS14" s="20"/>
      <c r="OIT14" s="20"/>
      <c r="OIU14" s="20"/>
      <c r="OIV14" s="20"/>
      <c r="OIW14" s="20"/>
      <c r="OIX14" s="20"/>
      <c r="OIY14" s="20"/>
      <c r="OIZ14" s="20"/>
      <c r="OJA14" s="20"/>
      <c r="OJB14" s="20"/>
      <c r="OJC14" s="20"/>
      <c r="OJD14" s="20"/>
      <c r="OJE14" s="20"/>
      <c r="OJF14" s="20"/>
      <c r="OJG14" s="20"/>
      <c r="OJH14" s="20"/>
      <c r="OJI14" s="20"/>
      <c r="OJJ14" s="20"/>
      <c r="OJK14" s="20"/>
      <c r="OJL14" s="20"/>
      <c r="OJM14" s="20"/>
      <c r="OJN14" s="20"/>
      <c r="OJO14" s="20"/>
      <c r="OJP14" s="20"/>
      <c r="OJQ14" s="20"/>
      <c r="OJR14" s="20"/>
      <c r="OJS14" s="20"/>
      <c r="OJT14" s="20"/>
      <c r="OJU14" s="20"/>
      <c r="OJV14" s="20"/>
      <c r="OJW14" s="20"/>
      <c r="OJX14" s="20"/>
      <c r="OJY14" s="20"/>
      <c r="OJZ14" s="20"/>
      <c r="OKA14" s="20"/>
      <c r="OKB14" s="20"/>
      <c r="OKC14" s="20"/>
      <c r="OKD14" s="20"/>
      <c r="OKE14" s="20"/>
      <c r="OKF14" s="20"/>
      <c r="OKG14" s="20"/>
      <c r="OKH14" s="20"/>
      <c r="OKI14" s="20"/>
      <c r="OKJ14" s="20"/>
      <c r="OKK14" s="20"/>
      <c r="OKL14" s="20"/>
      <c r="OKM14" s="20"/>
      <c r="OKN14" s="20"/>
      <c r="OKO14" s="20"/>
      <c r="OKP14" s="20"/>
      <c r="OKQ14" s="20"/>
      <c r="OKR14" s="20"/>
      <c r="OKS14" s="20"/>
      <c r="OKT14" s="20"/>
      <c r="OKU14" s="20"/>
      <c r="OKV14" s="20"/>
      <c r="OKW14" s="20"/>
      <c r="OKX14" s="20"/>
      <c r="OKY14" s="20"/>
      <c r="OKZ14" s="20"/>
      <c r="OLA14" s="20"/>
      <c r="OLB14" s="20"/>
      <c r="OLC14" s="20"/>
      <c r="OLD14" s="20"/>
      <c r="OLE14" s="20"/>
      <c r="OLF14" s="20"/>
      <c r="OLG14" s="20"/>
      <c r="OLH14" s="20"/>
      <c r="OLI14" s="20"/>
      <c r="OLJ14" s="20"/>
      <c r="OLK14" s="20"/>
      <c r="OLL14" s="20"/>
      <c r="OLM14" s="20"/>
      <c r="OLN14" s="20"/>
      <c r="OLO14" s="20"/>
      <c r="OLP14" s="20"/>
      <c r="OLQ14" s="20"/>
      <c r="OLR14" s="20"/>
      <c r="OLS14" s="20"/>
      <c r="OLT14" s="20"/>
      <c r="OLU14" s="20"/>
      <c r="OLV14" s="20"/>
      <c r="OLW14" s="20"/>
      <c r="OLX14" s="20"/>
      <c r="OLY14" s="20"/>
      <c r="OLZ14" s="20"/>
      <c r="OMA14" s="20"/>
      <c r="OMB14" s="20"/>
      <c r="OMC14" s="20"/>
      <c r="OMD14" s="20"/>
      <c r="OME14" s="20"/>
      <c r="OMF14" s="20"/>
      <c r="OMG14" s="20"/>
      <c r="OMH14" s="20"/>
      <c r="OMI14" s="20"/>
      <c r="OMJ14" s="20"/>
      <c r="OMK14" s="20"/>
      <c r="OML14" s="20"/>
      <c r="OMM14" s="20"/>
      <c r="OMN14" s="20"/>
      <c r="OMO14" s="20"/>
      <c r="OMP14" s="20"/>
      <c r="OMQ14" s="20"/>
      <c r="OMR14" s="20"/>
      <c r="OMS14" s="20"/>
      <c r="OMT14" s="20"/>
      <c r="OMU14" s="20"/>
      <c r="OMV14" s="20"/>
      <c r="OMW14" s="20"/>
      <c r="OMX14" s="20"/>
      <c r="OMY14" s="20"/>
      <c r="OMZ14" s="20"/>
      <c r="ONA14" s="20"/>
      <c r="ONB14" s="20"/>
      <c r="ONC14" s="20"/>
      <c r="OND14" s="20"/>
      <c r="ONE14" s="20"/>
      <c r="ONF14" s="20"/>
      <c r="ONG14" s="20"/>
      <c r="ONH14" s="20"/>
      <c r="ONI14" s="20"/>
      <c r="ONJ14" s="20"/>
      <c r="ONK14" s="20"/>
      <c r="ONL14" s="20"/>
      <c r="ONM14" s="20"/>
      <c r="ONN14" s="20"/>
      <c r="ONO14" s="20"/>
      <c r="ONP14" s="20"/>
      <c r="ONQ14" s="20"/>
      <c r="ONR14" s="20"/>
      <c r="ONS14" s="20"/>
      <c r="ONT14" s="20"/>
      <c r="ONU14" s="20"/>
      <c r="ONV14" s="20"/>
      <c r="ONW14" s="20"/>
      <c r="ONX14" s="20"/>
      <c r="ONY14" s="20"/>
      <c r="ONZ14" s="20"/>
      <c r="OOA14" s="20"/>
      <c r="OOB14" s="20"/>
      <c r="OOC14" s="20"/>
      <c r="OOD14" s="20"/>
      <c r="OOE14" s="20"/>
      <c r="OOF14" s="20"/>
      <c r="OOG14" s="20"/>
      <c r="OOH14" s="20"/>
      <c r="OOI14" s="20"/>
      <c r="OOJ14" s="20"/>
      <c r="OOK14" s="20"/>
      <c r="OOL14" s="20"/>
      <c r="OOM14" s="20"/>
      <c r="OON14" s="20"/>
      <c r="OOO14" s="20"/>
      <c r="OOP14" s="20"/>
      <c r="OOQ14" s="20"/>
      <c r="OOR14" s="20"/>
      <c r="OOS14" s="20"/>
      <c r="OOT14" s="20"/>
      <c r="OOU14" s="20"/>
      <c r="OOV14" s="20"/>
      <c r="OOW14" s="20"/>
      <c r="OOX14" s="20"/>
      <c r="OOY14" s="20"/>
      <c r="OOZ14" s="20"/>
      <c r="OPA14" s="20"/>
      <c r="OPB14" s="20"/>
      <c r="OPC14" s="20"/>
      <c r="OPD14" s="20"/>
      <c r="OPE14" s="20"/>
      <c r="OPF14" s="20"/>
      <c r="OPG14" s="20"/>
      <c r="OPH14" s="20"/>
      <c r="OPI14" s="20"/>
      <c r="OPJ14" s="20"/>
      <c r="OPK14" s="20"/>
      <c r="OPL14" s="20"/>
      <c r="OPM14" s="20"/>
      <c r="OPN14" s="20"/>
      <c r="OPO14" s="20"/>
      <c r="OPP14" s="20"/>
      <c r="OPQ14" s="20"/>
      <c r="OPR14" s="20"/>
      <c r="OPS14" s="20"/>
      <c r="OPT14" s="20"/>
      <c r="OPU14" s="20"/>
      <c r="OPV14" s="20"/>
      <c r="OPW14" s="20"/>
      <c r="OPX14" s="20"/>
      <c r="OPY14" s="20"/>
      <c r="OPZ14" s="20"/>
      <c r="OQA14" s="20"/>
      <c r="OQB14" s="20"/>
      <c r="OQC14" s="20"/>
      <c r="OQD14" s="20"/>
      <c r="OQE14" s="20"/>
      <c r="OQF14" s="20"/>
      <c r="OQG14" s="20"/>
      <c r="OQH14" s="20"/>
      <c r="OQI14" s="20"/>
      <c r="OQJ14" s="20"/>
      <c r="OQK14" s="20"/>
      <c r="OQL14" s="20"/>
      <c r="OQM14" s="20"/>
      <c r="OQN14" s="20"/>
      <c r="OQO14" s="20"/>
      <c r="OQP14" s="20"/>
      <c r="OQQ14" s="20"/>
      <c r="OQR14" s="20"/>
      <c r="OQS14" s="20"/>
      <c r="OQT14" s="20"/>
      <c r="OQU14" s="20"/>
      <c r="OQV14" s="20"/>
      <c r="OQW14" s="20"/>
      <c r="OQX14" s="20"/>
      <c r="OQY14" s="20"/>
      <c r="OQZ14" s="20"/>
      <c r="ORA14" s="20"/>
      <c r="ORB14" s="20"/>
      <c r="ORC14" s="20"/>
      <c r="ORD14" s="20"/>
      <c r="ORE14" s="20"/>
      <c r="ORF14" s="20"/>
      <c r="ORG14" s="20"/>
      <c r="ORH14" s="20"/>
      <c r="ORI14" s="20"/>
      <c r="ORJ14" s="20"/>
      <c r="ORK14" s="20"/>
      <c r="ORL14" s="20"/>
      <c r="ORM14" s="20"/>
      <c r="ORN14" s="20"/>
      <c r="ORO14" s="20"/>
      <c r="ORP14" s="20"/>
      <c r="ORQ14" s="20"/>
      <c r="ORR14" s="20"/>
      <c r="ORS14" s="20"/>
      <c r="ORT14" s="20"/>
      <c r="ORU14" s="20"/>
      <c r="ORV14" s="20"/>
      <c r="ORW14" s="20"/>
      <c r="ORX14" s="20"/>
      <c r="ORY14" s="20"/>
      <c r="ORZ14" s="20"/>
      <c r="OSA14" s="20"/>
      <c r="OSB14" s="20"/>
      <c r="OSC14" s="20"/>
      <c r="OSD14" s="20"/>
      <c r="OSE14" s="20"/>
      <c r="OSF14" s="20"/>
      <c r="OSG14" s="20"/>
      <c r="OSH14" s="20"/>
      <c r="OSI14" s="20"/>
      <c r="OSJ14" s="20"/>
      <c r="OSK14" s="20"/>
      <c r="OSL14" s="20"/>
      <c r="OSM14" s="20"/>
      <c r="OSN14" s="20"/>
      <c r="OSO14" s="20"/>
      <c r="OSP14" s="20"/>
      <c r="OSQ14" s="20"/>
      <c r="OSR14" s="20"/>
      <c r="OSS14" s="20"/>
      <c r="OST14" s="20"/>
      <c r="OSU14" s="20"/>
      <c r="OSV14" s="20"/>
      <c r="OSW14" s="20"/>
      <c r="OSX14" s="20"/>
      <c r="OSY14" s="20"/>
      <c r="OSZ14" s="20"/>
      <c r="OTA14" s="20"/>
      <c r="OTB14" s="20"/>
      <c r="OTC14" s="20"/>
      <c r="OTD14" s="20"/>
      <c r="OTE14" s="20"/>
      <c r="OTF14" s="20"/>
      <c r="OTG14" s="20"/>
      <c r="OTH14" s="20"/>
      <c r="OTI14" s="20"/>
      <c r="OTJ14" s="20"/>
      <c r="OTK14" s="20"/>
      <c r="OTL14" s="20"/>
      <c r="OTM14" s="20"/>
      <c r="OTN14" s="20"/>
      <c r="OTO14" s="20"/>
      <c r="OTP14" s="20"/>
      <c r="OTQ14" s="20"/>
      <c r="OTR14" s="20"/>
      <c r="OTS14" s="20"/>
      <c r="OTT14" s="20"/>
      <c r="OTU14" s="20"/>
      <c r="OTV14" s="20"/>
      <c r="OTW14" s="20"/>
      <c r="OTX14" s="20"/>
      <c r="OTY14" s="20"/>
      <c r="OTZ14" s="20"/>
      <c r="OUA14" s="20"/>
      <c r="OUB14" s="20"/>
      <c r="OUC14" s="20"/>
      <c r="OUD14" s="20"/>
      <c r="OUE14" s="20"/>
      <c r="OUF14" s="20"/>
      <c r="OUG14" s="20"/>
      <c r="OUH14" s="20"/>
      <c r="OUI14" s="20"/>
      <c r="OUJ14" s="20"/>
      <c r="OUK14" s="20"/>
      <c r="OUL14" s="20"/>
      <c r="OUM14" s="20"/>
      <c r="OUN14" s="20"/>
      <c r="OUO14" s="20"/>
      <c r="OUP14" s="20"/>
      <c r="OUQ14" s="20"/>
      <c r="OUR14" s="20"/>
      <c r="OUS14" s="20"/>
      <c r="OUT14" s="20"/>
      <c r="OUU14" s="20"/>
      <c r="OUV14" s="20"/>
      <c r="OUW14" s="20"/>
      <c r="OUX14" s="20"/>
      <c r="OUY14" s="20"/>
      <c r="OUZ14" s="20"/>
      <c r="OVA14" s="20"/>
      <c r="OVB14" s="20"/>
      <c r="OVC14" s="20"/>
      <c r="OVD14" s="20"/>
      <c r="OVE14" s="20"/>
      <c r="OVF14" s="20"/>
      <c r="OVG14" s="20"/>
      <c r="OVH14" s="20"/>
      <c r="OVI14" s="20"/>
      <c r="OVJ14" s="20"/>
      <c r="OVK14" s="20"/>
      <c r="OVL14" s="20"/>
      <c r="OVM14" s="20"/>
      <c r="OVN14" s="20"/>
      <c r="OVO14" s="20"/>
      <c r="OVP14" s="20"/>
      <c r="OVQ14" s="20"/>
      <c r="OVR14" s="20"/>
      <c r="OVS14" s="20"/>
      <c r="OVT14" s="20"/>
      <c r="OVU14" s="20"/>
      <c r="OVV14" s="20"/>
      <c r="OVW14" s="20"/>
      <c r="OVX14" s="20"/>
      <c r="OVY14" s="20"/>
      <c r="OVZ14" s="20"/>
      <c r="OWA14" s="20"/>
      <c r="OWB14" s="20"/>
      <c r="OWC14" s="20"/>
      <c r="OWD14" s="20"/>
      <c r="OWE14" s="20"/>
      <c r="OWF14" s="20"/>
      <c r="OWG14" s="20"/>
      <c r="OWH14" s="20"/>
      <c r="OWI14" s="20"/>
      <c r="OWJ14" s="20"/>
      <c r="OWK14" s="20"/>
      <c r="OWL14" s="20"/>
      <c r="OWM14" s="20"/>
      <c r="OWN14" s="20"/>
      <c r="OWO14" s="20"/>
      <c r="OWP14" s="20"/>
      <c r="OWQ14" s="20"/>
      <c r="OWR14" s="20"/>
      <c r="OWS14" s="20"/>
      <c r="OWT14" s="20"/>
      <c r="OWU14" s="20"/>
      <c r="OWV14" s="20"/>
      <c r="OWW14" s="20"/>
      <c r="OWX14" s="20"/>
      <c r="OWY14" s="20"/>
      <c r="OWZ14" s="20"/>
      <c r="OXA14" s="20"/>
      <c r="OXB14" s="20"/>
      <c r="OXC14" s="20"/>
      <c r="OXD14" s="20"/>
      <c r="OXE14" s="20"/>
      <c r="OXF14" s="20"/>
      <c r="OXG14" s="20"/>
      <c r="OXH14" s="20"/>
      <c r="OXI14" s="20"/>
      <c r="OXJ14" s="20"/>
      <c r="OXK14" s="20"/>
      <c r="OXL14" s="20"/>
      <c r="OXM14" s="20"/>
      <c r="OXN14" s="20"/>
      <c r="OXO14" s="20"/>
      <c r="OXP14" s="20"/>
      <c r="OXQ14" s="20"/>
      <c r="OXR14" s="20"/>
      <c r="OXS14" s="20"/>
      <c r="OXT14" s="20"/>
      <c r="OXU14" s="20"/>
      <c r="OXV14" s="20"/>
      <c r="OXW14" s="20"/>
      <c r="OXX14" s="20"/>
      <c r="OXY14" s="20"/>
      <c r="OXZ14" s="20"/>
      <c r="OYA14" s="20"/>
      <c r="OYB14" s="20"/>
      <c r="OYC14" s="20"/>
      <c r="OYD14" s="20"/>
      <c r="OYE14" s="20"/>
      <c r="OYF14" s="20"/>
      <c r="OYG14" s="20"/>
      <c r="OYH14" s="20"/>
      <c r="OYI14" s="20"/>
      <c r="OYJ14" s="20"/>
      <c r="OYK14" s="20"/>
      <c r="OYL14" s="20"/>
      <c r="OYM14" s="20"/>
      <c r="OYN14" s="20"/>
      <c r="OYO14" s="20"/>
      <c r="OYP14" s="20"/>
      <c r="OYQ14" s="20"/>
      <c r="OYR14" s="20"/>
      <c r="OYS14" s="20"/>
      <c r="OYT14" s="20"/>
      <c r="OYU14" s="20"/>
      <c r="OYV14" s="20"/>
      <c r="OYW14" s="20"/>
      <c r="OYX14" s="20"/>
      <c r="OYY14" s="20"/>
      <c r="OYZ14" s="20"/>
      <c r="OZA14" s="20"/>
      <c r="OZB14" s="20"/>
      <c r="OZC14" s="20"/>
      <c r="OZD14" s="20"/>
      <c r="OZE14" s="20"/>
      <c r="OZF14" s="20"/>
      <c r="OZG14" s="20"/>
      <c r="OZH14" s="20"/>
      <c r="OZI14" s="20"/>
      <c r="OZJ14" s="20"/>
      <c r="OZK14" s="20"/>
      <c r="OZL14" s="20"/>
      <c r="OZM14" s="20"/>
      <c r="OZN14" s="20"/>
      <c r="OZO14" s="20"/>
      <c r="OZP14" s="20"/>
      <c r="OZQ14" s="20"/>
      <c r="OZR14" s="20"/>
      <c r="OZS14" s="20"/>
      <c r="OZT14" s="20"/>
      <c r="OZU14" s="20"/>
      <c r="OZV14" s="20"/>
      <c r="OZW14" s="20"/>
      <c r="OZX14" s="20"/>
      <c r="OZY14" s="20"/>
      <c r="OZZ14" s="20"/>
      <c r="PAA14" s="20"/>
      <c r="PAB14" s="20"/>
      <c r="PAC14" s="20"/>
      <c r="PAD14" s="20"/>
      <c r="PAE14" s="20"/>
      <c r="PAF14" s="20"/>
      <c r="PAG14" s="20"/>
      <c r="PAH14" s="20"/>
      <c r="PAI14" s="20"/>
      <c r="PAJ14" s="20"/>
      <c r="PAK14" s="20"/>
      <c r="PAL14" s="20"/>
      <c r="PAM14" s="20"/>
      <c r="PAN14" s="20"/>
      <c r="PAO14" s="20"/>
      <c r="PAP14" s="20"/>
      <c r="PAQ14" s="20"/>
      <c r="PAR14" s="20"/>
      <c r="PAS14" s="20"/>
      <c r="PAT14" s="20"/>
      <c r="PAU14" s="20"/>
      <c r="PAV14" s="20"/>
      <c r="PAW14" s="20"/>
      <c r="PAX14" s="20"/>
      <c r="PAY14" s="20"/>
      <c r="PAZ14" s="20"/>
      <c r="PBA14" s="20"/>
      <c r="PBB14" s="20"/>
      <c r="PBC14" s="20"/>
      <c r="PBD14" s="20"/>
      <c r="PBE14" s="20"/>
      <c r="PBF14" s="20"/>
      <c r="PBG14" s="20"/>
      <c r="PBH14" s="20"/>
      <c r="PBI14" s="20"/>
      <c r="PBJ14" s="20"/>
      <c r="PBK14" s="20"/>
      <c r="PBL14" s="20"/>
      <c r="PBM14" s="20"/>
      <c r="PBN14" s="20"/>
      <c r="PBO14" s="20"/>
      <c r="PBP14" s="20"/>
      <c r="PBQ14" s="20"/>
      <c r="PBR14" s="20"/>
      <c r="PBS14" s="20"/>
      <c r="PBT14" s="20"/>
      <c r="PBU14" s="20"/>
      <c r="PBV14" s="20"/>
      <c r="PBW14" s="20"/>
      <c r="PBX14" s="20"/>
      <c r="PBY14" s="20"/>
      <c r="PBZ14" s="20"/>
      <c r="PCA14" s="20"/>
      <c r="PCB14" s="20"/>
      <c r="PCC14" s="20"/>
      <c r="PCD14" s="20"/>
      <c r="PCE14" s="20"/>
      <c r="PCF14" s="20"/>
      <c r="PCG14" s="20"/>
      <c r="PCH14" s="20"/>
      <c r="PCI14" s="20"/>
      <c r="PCJ14" s="20"/>
      <c r="PCK14" s="20"/>
      <c r="PCL14" s="20"/>
      <c r="PCM14" s="20"/>
      <c r="PCN14" s="20"/>
      <c r="PCO14" s="20"/>
      <c r="PCP14" s="20"/>
      <c r="PCQ14" s="20"/>
      <c r="PCR14" s="20"/>
      <c r="PCS14" s="20"/>
      <c r="PCT14" s="20"/>
      <c r="PCU14" s="20"/>
      <c r="PCV14" s="20"/>
      <c r="PCW14" s="20"/>
      <c r="PCX14" s="20"/>
      <c r="PCY14" s="20"/>
      <c r="PCZ14" s="20"/>
      <c r="PDA14" s="20"/>
      <c r="PDB14" s="20"/>
      <c r="PDC14" s="20"/>
      <c r="PDD14" s="20"/>
      <c r="PDE14" s="20"/>
      <c r="PDF14" s="20"/>
      <c r="PDG14" s="20"/>
      <c r="PDH14" s="20"/>
      <c r="PDI14" s="20"/>
      <c r="PDJ14" s="20"/>
      <c r="PDK14" s="20"/>
      <c r="PDL14" s="20"/>
      <c r="PDM14" s="20"/>
      <c r="PDN14" s="20"/>
      <c r="PDO14" s="20"/>
      <c r="PDP14" s="20"/>
      <c r="PDQ14" s="20"/>
      <c r="PDR14" s="20"/>
      <c r="PDS14" s="20"/>
      <c r="PDT14" s="20"/>
      <c r="PDU14" s="20"/>
      <c r="PDV14" s="20"/>
      <c r="PDW14" s="20"/>
      <c r="PDX14" s="20"/>
      <c r="PDY14" s="20"/>
      <c r="PDZ14" s="20"/>
      <c r="PEA14" s="20"/>
      <c r="PEB14" s="20"/>
      <c r="PEC14" s="20"/>
      <c r="PED14" s="20"/>
      <c r="PEE14" s="20"/>
      <c r="PEF14" s="20"/>
      <c r="PEG14" s="20"/>
      <c r="PEH14" s="20"/>
      <c r="PEI14" s="20"/>
      <c r="PEJ14" s="20"/>
      <c r="PEK14" s="20"/>
      <c r="PEL14" s="20"/>
      <c r="PEM14" s="20"/>
      <c r="PEN14" s="20"/>
      <c r="PEO14" s="20"/>
      <c r="PEP14" s="20"/>
      <c r="PEQ14" s="20"/>
      <c r="PER14" s="20"/>
      <c r="PES14" s="20"/>
      <c r="PET14" s="20"/>
      <c r="PEU14" s="20"/>
      <c r="PEV14" s="20"/>
      <c r="PEW14" s="20"/>
      <c r="PEX14" s="20"/>
      <c r="PEY14" s="20"/>
      <c r="PEZ14" s="20"/>
      <c r="PFA14" s="20"/>
      <c r="PFB14" s="20"/>
      <c r="PFC14" s="20"/>
      <c r="PFD14" s="20"/>
      <c r="PFE14" s="20"/>
      <c r="PFF14" s="20"/>
      <c r="PFG14" s="20"/>
      <c r="PFH14" s="20"/>
      <c r="PFI14" s="20"/>
      <c r="PFJ14" s="20"/>
      <c r="PFK14" s="20"/>
      <c r="PFL14" s="20"/>
      <c r="PFM14" s="20"/>
      <c r="PFN14" s="20"/>
      <c r="PFO14" s="20"/>
      <c r="PFP14" s="20"/>
      <c r="PFQ14" s="20"/>
      <c r="PFR14" s="20"/>
      <c r="PFS14" s="20"/>
      <c r="PFT14" s="20"/>
      <c r="PFU14" s="20"/>
      <c r="PFV14" s="20"/>
      <c r="PFW14" s="20"/>
      <c r="PFX14" s="20"/>
      <c r="PFY14" s="20"/>
      <c r="PFZ14" s="20"/>
      <c r="PGA14" s="20"/>
      <c r="PGB14" s="20"/>
      <c r="PGC14" s="20"/>
      <c r="PGD14" s="20"/>
      <c r="PGE14" s="20"/>
      <c r="PGF14" s="20"/>
      <c r="PGG14" s="20"/>
      <c r="PGH14" s="20"/>
      <c r="PGI14" s="20"/>
      <c r="PGJ14" s="20"/>
      <c r="PGK14" s="20"/>
      <c r="PGL14" s="20"/>
      <c r="PGM14" s="20"/>
      <c r="PGN14" s="20"/>
      <c r="PGO14" s="20"/>
      <c r="PGP14" s="20"/>
      <c r="PGQ14" s="20"/>
      <c r="PGR14" s="20"/>
      <c r="PGS14" s="20"/>
      <c r="PGT14" s="20"/>
      <c r="PGU14" s="20"/>
      <c r="PGV14" s="20"/>
      <c r="PGW14" s="20"/>
      <c r="PGX14" s="20"/>
      <c r="PGY14" s="20"/>
      <c r="PGZ14" s="20"/>
      <c r="PHA14" s="20"/>
      <c r="PHB14" s="20"/>
      <c r="PHC14" s="20"/>
      <c r="PHD14" s="20"/>
      <c r="PHE14" s="20"/>
      <c r="PHF14" s="20"/>
      <c r="PHG14" s="20"/>
      <c r="PHH14" s="20"/>
      <c r="PHI14" s="20"/>
      <c r="PHJ14" s="20"/>
      <c r="PHK14" s="20"/>
      <c r="PHL14" s="20"/>
      <c r="PHM14" s="20"/>
      <c r="PHN14" s="20"/>
      <c r="PHO14" s="20"/>
      <c r="PHP14" s="20"/>
      <c r="PHQ14" s="20"/>
      <c r="PHR14" s="20"/>
      <c r="PHS14" s="20"/>
      <c r="PHT14" s="20"/>
      <c r="PHU14" s="20"/>
      <c r="PHV14" s="20"/>
      <c r="PHW14" s="20"/>
      <c r="PHX14" s="20"/>
      <c r="PHY14" s="20"/>
      <c r="PHZ14" s="20"/>
      <c r="PIA14" s="20"/>
      <c r="PIB14" s="20"/>
      <c r="PIC14" s="20"/>
      <c r="PID14" s="20"/>
      <c r="PIE14" s="20"/>
      <c r="PIF14" s="20"/>
      <c r="PIG14" s="20"/>
      <c r="PIH14" s="20"/>
      <c r="PII14" s="20"/>
      <c r="PIJ14" s="20"/>
      <c r="PIK14" s="20"/>
      <c r="PIL14" s="20"/>
      <c r="PIM14" s="20"/>
      <c r="PIN14" s="20"/>
      <c r="PIO14" s="20"/>
      <c r="PIP14" s="20"/>
      <c r="PIQ14" s="20"/>
      <c r="PIR14" s="20"/>
      <c r="PIS14" s="20"/>
      <c r="PIT14" s="20"/>
      <c r="PIU14" s="20"/>
      <c r="PIV14" s="20"/>
      <c r="PIW14" s="20"/>
      <c r="PIX14" s="20"/>
      <c r="PIY14" s="20"/>
      <c r="PIZ14" s="20"/>
      <c r="PJA14" s="20"/>
      <c r="PJB14" s="20"/>
      <c r="PJC14" s="20"/>
      <c r="PJD14" s="20"/>
      <c r="PJE14" s="20"/>
      <c r="PJF14" s="20"/>
      <c r="PJG14" s="20"/>
      <c r="PJH14" s="20"/>
      <c r="PJI14" s="20"/>
      <c r="PJJ14" s="20"/>
      <c r="PJK14" s="20"/>
      <c r="PJL14" s="20"/>
      <c r="PJM14" s="20"/>
      <c r="PJN14" s="20"/>
      <c r="PJO14" s="20"/>
      <c r="PJP14" s="20"/>
      <c r="PJQ14" s="20"/>
      <c r="PJR14" s="20"/>
      <c r="PJS14" s="20"/>
      <c r="PJT14" s="20"/>
      <c r="PJU14" s="20"/>
      <c r="PJV14" s="20"/>
      <c r="PJW14" s="20"/>
      <c r="PJX14" s="20"/>
      <c r="PJY14" s="20"/>
      <c r="PJZ14" s="20"/>
      <c r="PKA14" s="20"/>
      <c r="PKB14" s="20"/>
      <c r="PKC14" s="20"/>
      <c r="PKD14" s="20"/>
      <c r="PKE14" s="20"/>
      <c r="PKF14" s="20"/>
      <c r="PKG14" s="20"/>
      <c r="PKH14" s="20"/>
      <c r="PKI14" s="20"/>
      <c r="PKJ14" s="20"/>
      <c r="PKK14" s="20"/>
      <c r="PKL14" s="20"/>
      <c r="PKM14" s="20"/>
      <c r="PKN14" s="20"/>
      <c r="PKO14" s="20"/>
      <c r="PKP14" s="20"/>
      <c r="PKQ14" s="20"/>
      <c r="PKR14" s="20"/>
      <c r="PKS14" s="20"/>
      <c r="PKT14" s="20"/>
      <c r="PKU14" s="20"/>
      <c r="PKV14" s="20"/>
      <c r="PKW14" s="20"/>
      <c r="PKX14" s="20"/>
      <c r="PKY14" s="20"/>
      <c r="PKZ14" s="20"/>
      <c r="PLA14" s="20"/>
      <c r="PLB14" s="20"/>
      <c r="PLC14" s="20"/>
      <c r="PLD14" s="20"/>
      <c r="PLE14" s="20"/>
      <c r="PLF14" s="20"/>
      <c r="PLG14" s="20"/>
      <c r="PLH14" s="20"/>
      <c r="PLI14" s="20"/>
      <c r="PLJ14" s="20"/>
      <c r="PLK14" s="20"/>
      <c r="PLL14" s="20"/>
      <c r="PLM14" s="20"/>
      <c r="PLN14" s="20"/>
      <c r="PLO14" s="20"/>
      <c r="PLP14" s="20"/>
      <c r="PLQ14" s="20"/>
      <c r="PLR14" s="20"/>
      <c r="PLS14" s="20"/>
      <c r="PLT14" s="20"/>
      <c r="PLU14" s="20"/>
      <c r="PLV14" s="20"/>
      <c r="PLW14" s="20"/>
      <c r="PLX14" s="20"/>
      <c r="PLY14" s="20"/>
      <c r="PLZ14" s="20"/>
      <c r="PMA14" s="20"/>
      <c r="PMB14" s="20"/>
      <c r="PMC14" s="20"/>
      <c r="PMD14" s="20"/>
      <c r="PME14" s="20"/>
      <c r="PMF14" s="20"/>
      <c r="PMG14" s="20"/>
      <c r="PMH14" s="20"/>
      <c r="PMI14" s="20"/>
      <c r="PMJ14" s="20"/>
      <c r="PMK14" s="20"/>
      <c r="PML14" s="20"/>
      <c r="PMM14" s="20"/>
      <c r="PMN14" s="20"/>
      <c r="PMO14" s="20"/>
      <c r="PMP14" s="20"/>
      <c r="PMQ14" s="20"/>
      <c r="PMR14" s="20"/>
      <c r="PMS14" s="20"/>
      <c r="PMT14" s="20"/>
      <c r="PMU14" s="20"/>
      <c r="PMV14" s="20"/>
      <c r="PMW14" s="20"/>
      <c r="PMX14" s="20"/>
      <c r="PMY14" s="20"/>
      <c r="PMZ14" s="20"/>
      <c r="PNA14" s="20"/>
      <c r="PNB14" s="20"/>
      <c r="PNC14" s="20"/>
      <c r="PND14" s="20"/>
      <c r="PNE14" s="20"/>
      <c r="PNF14" s="20"/>
      <c r="PNG14" s="20"/>
      <c r="PNH14" s="20"/>
      <c r="PNI14" s="20"/>
      <c r="PNJ14" s="20"/>
      <c r="PNK14" s="20"/>
      <c r="PNL14" s="20"/>
      <c r="PNM14" s="20"/>
      <c r="PNN14" s="20"/>
      <c r="PNO14" s="20"/>
      <c r="PNP14" s="20"/>
      <c r="PNQ14" s="20"/>
      <c r="PNR14" s="20"/>
      <c r="PNS14" s="20"/>
      <c r="PNT14" s="20"/>
      <c r="PNU14" s="20"/>
      <c r="PNV14" s="20"/>
      <c r="PNW14" s="20"/>
      <c r="PNX14" s="20"/>
      <c r="PNY14" s="20"/>
      <c r="PNZ14" s="20"/>
      <c r="POA14" s="20"/>
      <c r="POB14" s="20"/>
      <c r="POC14" s="20"/>
      <c r="POD14" s="20"/>
      <c r="POE14" s="20"/>
      <c r="POF14" s="20"/>
      <c r="POG14" s="20"/>
      <c r="POH14" s="20"/>
      <c r="POI14" s="20"/>
      <c r="POJ14" s="20"/>
      <c r="POK14" s="20"/>
      <c r="POL14" s="20"/>
      <c r="POM14" s="20"/>
      <c r="PON14" s="20"/>
      <c r="POO14" s="20"/>
      <c r="POP14" s="20"/>
      <c r="POQ14" s="20"/>
      <c r="POR14" s="20"/>
      <c r="POS14" s="20"/>
      <c r="POT14" s="20"/>
      <c r="POU14" s="20"/>
      <c r="POV14" s="20"/>
      <c r="POW14" s="20"/>
      <c r="POX14" s="20"/>
      <c r="POY14" s="20"/>
      <c r="POZ14" s="20"/>
      <c r="PPA14" s="20"/>
      <c r="PPB14" s="20"/>
      <c r="PPC14" s="20"/>
      <c r="PPD14" s="20"/>
      <c r="PPE14" s="20"/>
      <c r="PPF14" s="20"/>
      <c r="PPG14" s="20"/>
      <c r="PPH14" s="20"/>
      <c r="PPI14" s="20"/>
      <c r="PPJ14" s="20"/>
      <c r="PPK14" s="20"/>
      <c r="PPL14" s="20"/>
      <c r="PPM14" s="20"/>
      <c r="PPN14" s="20"/>
      <c r="PPO14" s="20"/>
      <c r="PPP14" s="20"/>
      <c r="PPQ14" s="20"/>
      <c r="PPR14" s="20"/>
      <c r="PPS14" s="20"/>
      <c r="PPT14" s="20"/>
      <c r="PPU14" s="20"/>
      <c r="PPV14" s="20"/>
      <c r="PPW14" s="20"/>
      <c r="PPX14" s="20"/>
      <c r="PPY14" s="20"/>
      <c r="PPZ14" s="20"/>
      <c r="PQA14" s="20"/>
      <c r="PQB14" s="20"/>
      <c r="PQC14" s="20"/>
      <c r="PQD14" s="20"/>
      <c r="PQE14" s="20"/>
      <c r="PQF14" s="20"/>
      <c r="PQG14" s="20"/>
      <c r="PQH14" s="20"/>
      <c r="PQI14" s="20"/>
      <c r="PQJ14" s="20"/>
      <c r="PQK14" s="20"/>
      <c r="PQL14" s="20"/>
      <c r="PQM14" s="20"/>
      <c r="PQN14" s="20"/>
      <c r="PQO14" s="20"/>
      <c r="PQP14" s="20"/>
      <c r="PQQ14" s="20"/>
      <c r="PQR14" s="20"/>
      <c r="PQS14" s="20"/>
      <c r="PQT14" s="20"/>
      <c r="PQU14" s="20"/>
      <c r="PQV14" s="20"/>
      <c r="PQW14" s="20"/>
      <c r="PQX14" s="20"/>
      <c r="PQY14" s="20"/>
      <c r="PQZ14" s="20"/>
      <c r="PRA14" s="20"/>
      <c r="PRB14" s="20"/>
      <c r="PRC14" s="20"/>
      <c r="PRD14" s="20"/>
      <c r="PRE14" s="20"/>
      <c r="PRF14" s="20"/>
      <c r="PRG14" s="20"/>
      <c r="PRH14" s="20"/>
      <c r="PRI14" s="20"/>
      <c r="PRJ14" s="20"/>
      <c r="PRK14" s="20"/>
      <c r="PRL14" s="20"/>
      <c r="PRM14" s="20"/>
      <c r="PRN14" s="20"/>
      <c r="PRO14" s="20"/>
      <c r="PRP14" s="20"/>
      <c r="PRQ14" s="20"/>
      <c r="PRR14" s="20"/>
      <c r="PRS14" s="20"/>
      <c r="PRT14" s="20"/>
      <c r="PRU14" s="20"/>
      <c r="PRV14" s="20"/>
      <c r="PRW14" s="20"/>
      <c r="PRX14" s="20"/>
      <c r="PRY14" s="20"/>
      <c r="PRZ14" s="20"/>
      <c r="PSA14" s="20"/>
      <c r="PSB14" s="20"/>
      <c r="PSC14" s="20"/>
      <c r="PSD14" s="20"/>
      <c r="PSE14" s="20"/>
      <c r="PSF14" s="20"/>
      <c r="PSG14" s="20"/>
      <c r="PSH14" s="20"/>
      <c r="PSI14" s="20"/>
      <c r="PSJ14" s="20"/>
      <c r="PSK14" s="20"/>
      <c r="PSL14" s="20"/>
      <c r="PSM14" s="20"/>
      <c r="PSN14" s="20"/>
      <c r="PSO14" s="20"/>
      <c r="PSP14" s="20"/>
      <c r="PSQ14" s="20"/>
      <c r="PSR14" s="20"/>
      <c r="PSS14" s="20"/>
      <c r="PST14" s="20"/>
      <c r="PSU14" s="20"/>
      <c r="PSV14" s="20"/>
      <c r="PSW14" s="20"/>
      <c r="PSX14" s="20"/>
      <c r="PSY14" s="20"/>
      <c r="PSZ14" s="20"/>
      <c r="PTA14" s="20"/>
      <c r="PTB14" s="20"/>
      <c r="PTC14" s="20"/>
      <c r="PTD14" s="20"/>
      <c r="PTE14" s="20"/>
      <c r="PTF14" s="20"/>
      <c r="PTG14" s="20"/>
      <c r="PTH14" s="20"/>
      <c r="PTI14" s="20"/>
      <c r="PTJ14" s="20"/>
      <c r="PTK14" s="20"/>
      <c r="PTL14" s="20"/>
      <c r="PTM14" s="20"/>
      <c r="PTN14" s="20"/>
      <c r="PTO14" s="20"/>
      <c r="PTP14" s="20"/>
      <c r="PTQ14" s="20"/>
      <c r="PTR14" s="20"/>
      <c r="PTS14" s="20"/>
      <c r="PTT14" s="20"/>
      <c r="PTU14" s="20"/>
      <c r="PTV14" s="20"/>
      <c r="PTW14" s="20"/>
      <c r="PTX14" s="20"/>
      <c r="PTY14" s="20"/>
      <c r="PTZ14" s="20"/>
      <c r="PUA14" s="20"/>
      <c r="PUB14" s="20"/>
      <c r="PUC14" s="20"/>
      <c r="PUD14" s="20"/>
      <c r="PUE14" s="20"/>
      <c r="PUF14" s="20"/>
      <c r="PUG14" s="20"/>
      <c r="PUH14" s="20"/>
      <c r="PUI14" s="20"/>
      <c r="PUJ14" s="20"/>
      <c r="PUK14" s="20"/>
      <c r="PUL14" s="20"/>
      <c r="PUM14" s="20"/>
      <c r="PUN14" s="20"/>
      <c r="PUO14" s="20"/>
      <c r="PUP14" s="20"/>
      <c r="PUQ14" s="20"/>
      <c r="PUR14" s="20"/>
      <c r="PUS14" s="20"/>
      <c r="PUT14" s="20"/>
      <c r="PUU14" s="20"/>
      <c r="PUV14" s="20"/>
      <c r="PUW14" s="20"/>
      <c r="PUX14" s="20"/>
      <c r="PUY14" s="20"/>
      <c r="PUZ14" s="20"/>
      <c r="PVA14" s="20"/>
      <c r="PVB14" s="20"/>
      <c r="PVC14" s="20"/>
      <c r="PVD14" s="20"/>
      <c r="PVE14" s="20"/>
      <c r="PVF14" s="20"/>
      <c r="PVG14" s="20"/>
      <c r="PVH14" s="20"/>
      <c r="PVI14" s="20"/>
      <c r="PVJ14" s="20"/>
      <c r="PVK14" s="20"/>
      <c r="PVL14" s="20"/>
      <c r="PVM14" s="20"/>
      <c r="PVN14" s="20"/>
      <c r="PVO14" s="20"/>
      <c r="PVP14" s="20"/>
      <c r="PVQ14" s="20"/>
      <c r="PVR14" s="20"/>
      <c r="PVS14" s="20"/>
      <c r="PVT14" s="20"/>
      <c r="PVU14" s="20"/>
      <c r="PVV14" s="20"/>
      <c r="PVW14" s="20"/>
      <c r="PVX14" s="20"/>
      <c r="PVY14" s="20"/>
      <c r="PVZ14" s="20"/>
      <c r="PWA14" s="20"/>
      <c r="PWB14" s="20"/>
      <c r="PWC14" s="20"/>
      <c r="PWD14" s="20"/>
      <c r="PWE14" s="20"/>
      <c r="PWF14" s="20"/>
      <c r="PWG14" s="20"/>
      <c r="PWH14" s="20"/>
      <c r="PWI14" s="20"/>
      <c r="PWJ14" s="20"/>
      <c r="PWK14" s="20"/>
      <c r="PWL14" s="20"/>
      <c r="PWM14" s="20"/>
      <c r="PWN14" s="20"/>
      <c r="PWO14" s="20"/>
      <c r="PWP14" s="20"/>
      <c r="PWQ14" s="20"/>
      <c r="PWR14" s="20"/>
      <c r="PWS14" s="20"/>
      <c r="PWT14" s="20"/>
      <c r="PWU14" s="20"/>
      <c r="PWV14" s="20"/>
      <c r="PWW14" s="20"/>
      <c r="PWX14" s="20"/>
      <c r="PWY14" s="20"/>
      <c r="PWZ14" s="20"/>
      <c r="PXA14" s="20"/>
      <c r="PXB14" s="20"/>
      <c r="PXC14" s="20"/>
      <c r="PXD14" s="20"/>
      <c r="PXE14" s="20"/>
      <c r="PXF14" s="20"/>
      <c r="PXG14" s="20"/>
      <c r="PXH14" s="20"/>
      <c r="PXI14" s="20"/>
      <c r="PXJ14" s="20"/>
      <c r="PXK14" s="20"/>
      <c r="PXL14" s="20"/>
      <c r="PXM14" s="20"/>
      <c r="PXN14" s="20"/>
      <c r="PXO14" s="20"/>
      <c r="PXP14" s="20"/>
      <c r="PXQ14" s="20"/>
      <c r="PXR14" s="20"/>
      <c r="PXS14" s="20"/>
      <c r="PXT14" s="20"/>
      <c r="PXU14" s="20"/>
      <c r="PXV14" s="20"/>
      <c r="PXW14" s="20"/>
      <c r="PXX14" s="20"/>
      <c r="PXY14" s="20"/>
      <c r="PXZ14" s="20"/>
      <c r="PYA14" s="20"/>
      <c r="PYB14" s="20"/>
      <c r="PYC14" s="20"/>
      <c r="PYD14" s="20"/>
      <c r="PYE14" s="20"/>
      <c r="PYF14" s="20"/>
      <c r="PYG14" s="20"/>
      <c r="PYH14" s="20"/>
      <c r="PYI14" s="20"/>
      <c r="PYJ14" s="20"/>
      <c r="PYK14" s="20"/>
      <c r="PYL14" s="20"/>
      <c r="PYM14" s="20"/>
      <c r="PYN14" s="20"/>
      <c r="PYO14" s="20"/>
      <c r="PYP14" s="20"/>
      <c r="PYQ14" s="20"/>
      <c r="PYR14" s="20"/>
      <c r="PYS14" s="20"/>
      <c r="PYT14" s="20"/>
      <c r="PYU14" s="20"/>
      <c r="PYV14" s="20"/>
      <c r="PYW14" s="20"/>
      <c r="PYX14" s="20"/>
      <c r="PYY14" s="20"/>
      <c r="PYZ14" s="20"/>
      <c r="PZA14" s="20"/>
      <c r="PZB14" s="20"/>
      <c r="PZC14" s="20"/>
      <c r="PZD14" s="20"/>
      <c r="PZE14" s="20"/>
      <c r="PZF14" s="20"/>
      <c r="PZG14" s="20"/>
      <c r="PZH14" s="20"/>
      <c r="PZI14" s="20"/>
      <c r="PZJ14" s="20"/>
      <c r="PZK14" s="20"/>
      <c r="PZL14" s="20"/>
      <c r="PZM14" s="20"/>
      <c r="PZN14" s="20"/>
      <c r="PZO14" s="20"/>
      <c r="PZP14" s="20"/>
      <c r="PZQ14" s="20"/>
      <c r="PZR14" s="20"/>
      <c r="PZS14" s="20"/>
      <c r="PZT14" s="20"/>
      <c r="PZU14" s="20"/>
      <c r="PZV14" s="20"/>
      <c r="PZW14" s="20"/>
      <c r="PZX14" s="20"/>
      <c r="PZY14" s="20"/>
      <c r="PZZ14" s="20"/>
      <c r="QAA14" s="20"/>
      <c r="QAB14" s="20"/>
      <c r="QAC14" s="20"/>
      <c r="QAD14" s="20"/>
      <c r="QAE14" s="20"/>
      <c r="QAF14" s="20"/>
      <c r="QAG14" s="20"/>
      <c r="QAH14" s="20"/>
      <c r="QAI14" s="20"/>
      <c r="QAJ14" s="20"/>
      <c r="QAK14" s="20"/>
      <c r="QAL14" s="20"/>
      <c r="QAM14" s="20"/>
      <c r="QAN14" s="20"/>
      <c r="QAO14" s="20"/>
      <c r="QAP14" s="20"/>
      <c r="QAQ14" s="20"/>
      <c r="QAR14" s="20"/>
      <c r="QAS14" s="20"/>
      <c r="QAT14" s="20"/>
      <c r="QAU14" s="20"/>
      <c r="QAV14" s="20"/>
      <c r="QAW14" s="20"/>
      <c r="QAX14" s="20"/>
      <c r="QAY14" s="20"/>
      <c r="QAZ14" s="20"/>
      <c r="QBA14" s="20"/>
      <c r="QBB14" s="20"/>
      <c r="QBC14" s="20"/>
      <c r="QBD14" s="20"/>
      <c r="QBE14" s="20"/>
      <c r="QBF14" s="20"/>
      <c r="QBG14" s="20"/>
      <c r="QBH14" s="20"/>
      <c r="QBI14" s="20"/>
      <c r="QBJ14" s="20"/>
      <c r="QBK14" s="20"/>
      <c r="QBL14" s="20"/>
      <c r="QBM14" s="20"/>
      <c r="QBN14" s="20"/>
      <c r="QBO14" s="20"/>
      <c r="QBP14" s="20"/>
      <c r="QBQ14" s="20"/>
      <c r="QBR14" s="20"/>
      <c r="QBS14" s="20"/>
      <c r="QBT14" s="20"/>
      <c r="QBU14" s="20"/>
      <c r="QBV14" s="20"/>
      <c r="QBW14" s="20"/>
      <c r="QBX14" s="20"/>
      <c r="QBY14" s="20"/>
      <c r="QBZ14" s="20"/>
      <c r="QCA14" s="20"/>
      <c r="QCB14" s="20"/>
      <c r="QCC14" s="20"/>
      <c r="QCD14" s="20"/>
      <c r="QCE14" s="20"/>
      <c r="QCF14" s="20"/>
      <c r="QCG14" s="20"/>
      <c r="QCH14" s="20"/>
      <c r="QCI14" s="20"/>
      <c r="QCJ14" s="20"/>
      <c r="QCK14" s="20"/>
      <c r="QCL14" s="20"/>
      <c r="QCM14" s="20"/>
      <c r="QCN14" s="20"/>
      <c r="QCO14" s="20"/>
      <c r="QCP14" s="20"/>
      <c r="QCQ14" s="20"/>
      <c r="QCR14" s="20"/>
      <c r="QCS14" s="20"/>
      <c r="QCT14" s="20"/>
      <c r="QCU14" s="20"/>
      <c r="QCV14" s="20"/>
      <c r="QCW14" s="20"/>
      <c r="QCX14" s="20"/>
      <c r="QCY14" s="20"/>
      <c r="QCZ14" s="20"/>
      <c r="QDA14" s="20"/>
      <c r="QDB14" s="20"/>
      <c r="QDC14" s="20"/>
      <c r="QDD14" s="20"/>
      <c r="QDE14" s="20"/>
      <c r="QDF14" s="20"/>
      <c r="QDG14" s="20"/>
      <c r="QDH14" s="20"/>
      <c r="QDI14" s="20"/>
      <c r="QDJ14" s="20"/>
      <c r="QDK14" s="20"/>
      <c r="QDL14" s="20"/>
      <c r="QDM14" s="20"/>
      <c r="QDN14" s="20"/>
      <c r="QDO14" s="20"/>
      <c r="QDP14" s="20"/>
      <c r="QDQ14" s="20"/>
      <c r="QDR14" s="20"/>
      <c r="QDS14" s="20"/>
      <c r="QDT14" s="20"/>
      <c r="QDU14" s="20"/>
      <c r="QDV14" s="20"/>
      <c r="QDW14" s="20"/>
      <c r="QDX14" s="20"/>
      <c r="QDY14" s="20"/>
      <c r="QDZ14" s="20"/>
      <c r="QEA14" s="20"/>
      <c r="QEB14" s="20"/>
      <c r="QEC14" s="20"/>
      <c r="QED14" s="20"/>
      <c r="QEE14" s="20"/>
      <c r="QEF14" s="20"/>
      <c r="QEG14" s="20"/>
      <c r="QEH14" s="20"/>
      <c r="QEI14" s="20"/>
      <c r="QEJ14" s="20"/>
      <c r="QEK14" s="20"/>
      <c r="QEL14" s="20"/>
      <c r="QEM14" s="20"/>
      <c r="QEN14" s="20"/>
      <c r="QEO14" s="20"/>
      <c r="QEP14" s="20"/>
      <c r="QEQ14" s="20"/>
      <c r="QER14" s="20"/>
      <c r="QES14" s="20"/>
      <c r="QET14" s="20"/>
      <c r="QEU14" s="20"/>
      <c r="QEV14" s="20"/>
      <c r="QEW14" s="20"/>
      <c r="QEX14" s="20"/>
      <c r="QEY14" s="20"/>
      <c r="QEZ14" s="20"/>
      <c r="QFA14" s="20"/>
      <c r="QFB14" s="20"/>
      <c r="QFC14" s="20"/>
      <c r="QFD14" s="20"/>
      <c r="QFE14" s="20"/>
      <c r="QFF14" s="20"/>
      <c r="QFG14" s="20"/>
      <c r="QFH14" s="20"/>
      <c r="QFI14" s="20"/>
      <c r="QFJ14" s="20"/>
      <c r="QFK14" s="20"/>
      <c r="QFL14" s="20"/>
      <c r="QFM14" s="20"/>
      <c r="QFN14" s="20"/>
      <c r="QFO14" s="20"/>
      <c r="QFP14" s="20"/>
      <c r="QFQ14" s="20"/>
      <c r="QFR14" s="20"/>
      <c r="QFS14" s="20"/>
      <c r="QFT14" s="20"/>
      <c r="QFU14" s="20"/>
      <c r="QFV14" s="20"/>
      <c r="QFW14" s="20"/>
      <c r="QFX14" s="20"/>
      <c r="QFY14" s="20"/>
      <c r="QFZ14" s="20"/>
      <c r="QGA14" s="20"/>
      <c r="QGB14" s="20"/>
      <c r="QGC14" s="20"/>
      <c r="QGD14" s="20"/>
      <c r="QGE14" s="20"/>
      <c r="QGF14" s="20"/>
      <c r="QGG14" s="20"/>
      <c r="QGH14" s="20"/>
      <c r="QGI14" s="20"/>
      <c r="QGJ14" s="20"/>
      <c r="QGK14" s="20"/>
      <c r="QGL14" s="20"/>
      <c r="QGM14" s="20"/>
      <c r="QGN14" s="20"/>
      <c r="QGO14" s="20"/>
      <c r="QGP14" s="20"/>
      <c r="QGQ14" s="20"/>
      <c r="QGR14" s="20"/>
      <c r="QGS14" s="20"/>
      <c r="QGT14" s="20"/>
      <c r="QGU14" s="20"/>
      <c r="QGV14" s="20"/>
      <c r="QGW14" s="20"/>
      <c r="QGX14" s="20"/>
      <c r="QGY14" s="20"/>
      <c r="QGZ14" s="20"/>
      <c r="QHA14" s="20"/>
      <c r="QHB14" s="20"/>
      <c r="QHC14" s="20"/>
      <c r="QHD14" s="20"/>
      <c r="QHE14" s="20"/>
      <c r="QHF14" s="20"/>
      <c r="QHG14" s="20"/>
      <c r="QHH14" s="20"/>
      <c r="QHI14" s="20"/>
      <c r="QHJ14" s="20"/>
      <c r="QHK14" s="20"/>
      <c r="QHL14" s="20"/>
      <c r="QHM14" s="20"/>
      <c r="QHN14" s="20"/>
      <c r="QHO14" s="20"/>
      <c r="QHP14" s="20"/>
      <c r="QHQ14" s="20"/>
      <c r="QHR14" s="20"/>
      <c r="QHS14" s="20"/>
      <c r="QHT14" s="20"/>
      <c r="QHU14" s="20"/>
      <c r="QHV14" s="20"/>
      <c r="QHW14" s="20"/>
      <c r="QHX14" s="20"/>
      <c r="QHY14" s="20"/>
      <c r="QHZ14" s="20"/>
      <c r="QIA14" s="20"/>
      <c r="QIB14" s="20"/>
      <c r="QIC14" s="20"/>
      <c r="QID14" s="20"/>
      <c r="QIE14" s="20"/>
      <c r="QIF14" s="20"/>
      <c r="QIG14" s="20"/>
      <c r="QIH14" s="20"/>
      <c r="QII14" s="20"/>
      <c r="QIJ14" s="20"/>
      <c r="QIK14" s="20"/>
      <c r="QIL14" s="20"/>
      <c r="QIM14" s="20"/>
      <c r="QIN14" s="20"/>
      <c r="QIO14" s="20"/>
      <c r="QIP14" s="20"/>
      <c r="QIQ14" s="20"/>
      <c r="QIR14" s="20"/>
      <c r="QIS14" s="20"/>
      <c r="QIT14" s="20"/>
      <c r="QIU14" s="20"/>
      <c r="QIV14" s="20"/>
      <c r="QIW14" s="20"/>
      <c r="QIX14" s="20"/>
      <c r="QIY14" s="20"/>
      <c r="QIZ14" s="20"/>
      <c r="QJA14" s="20"/>
      <c r="QJB14" s="20"/>
      <c r="QJC14" s="20"/>
      <c r="QJD14" s="20"/>
      <c r="QJE14" s="20"/>
      <c r="QJF14" s="20"/>
      <c r="QJG14" s="20"/>
      <c r="QJH14" s="20"/>
      <c r="QJI14" s="20"/>
      <c r="QJJ14" s="20"/>
      <c r="QJK14" s="20"/>
      <c r="QJL14" s="20"/>
      <c r="QJM14" s="20"/>
      <c r="QJN14" s="20"/>
      <c r="QJO14" s="20"/>
      <c r="QJP14" s="20"/>
      <c r="QJQ14" s="20"/>
      <c r="QJR14" s="20"/>
      <c r="QJS14" s="20"/>
      <c r="QJT14" s="20"/>
      <c r="QJU14" s="20"/>
      <c r="QJV14" s="20"/>
      <c r="QJW14" s="20"/>
      <c r="QJX14" s="20"/>
      <c r="QJY14" s="20"/>
      <c r="QJZ14" s="20"/>
      <c r="QKA14" s="20"/>
      <c r="QKB14" s="20"/>
      <c r="QKC14" s="20"/>
      <c r="QKD14" s="20"/>
      <c r="QKE14" s="20"/>
      <c r="QKF14" s="20"/>
      <c r="QKG14" s="20"/>
      <c r="QKH14" s="20"/>
      <c r="QKI14" s="20"/>
      <c r="QKJ14" s="20"/>
      <c r="QKK14" s="20"/>
      <c r="QKL14" s="20"/>
      <c r="QKM14" s="20"/>
      <c r="QKN14" s="20"/>
      <c r="QKO14" s="20"/>
      <c r="QKP14" s="20"/>
      <c r="QKQ14" s="20"/>
      <c r="QKR14" s="20"/>
      <c r="QKS14" s="20"/>
      <c r="QKT14" s="20"/>
      <c r="QKU14" s="20"/>
      <c r="QKV14" s="20"/>
      <c r="QKW14" s="20"/>
      <c r="QKX14" s="20"/>
      <c r="QKY14" s="20"/>
      <c r="QKZ14" s="20"/>
      <c r="QLA14" s="20"/>
      <c r="QLB14" s="20"/>
      <c r="QLC14" s="20"/>
      <c r="QLD14" s="20"/>
      <c r="QLE14" s="20"/>
      <c r="QLF14" s="20"/>
      <c r="QLG14" s="20"/>
      <c r="QLH14" s="20"/>
      <c r="QLI14" s="20"/>
      <c r="QLJ14" s="20"/>
      <c r="QLK14" s="20"/>
      <c r="QLL14" s="20"/>
      <c r="QLM14" s="20"/>
      <c r="QLN14" s="20"/>
      <c r="QLO14" s="20"/>
      <c r="QLP14" s="20"/>
      <c r="QLQ14" s="20"/>
      <c r="QLR14" s="20"/>
      <c r="QLS14" s="20"/>
      <c r="QLT14" s="20"/>
      <c r="QLU14" s="20"/>
      <c r="QLV14" s="20"/>
      <c r="QLW14" s="20"/>
      <c r="QLX14" s="20"/>
      <c r="QLY14" s="20"/>
      <c r="QLZ14" s="20"/>
      <c r="QMA14" s="20"/>
      <c r="QMB14" s="20"/>
      <c r="QMC14" s="20"/>
      <c r="QMD14" s="20"/>
      <c r="QME14" s="20"/>
      <c r="QMF14" s="20"/>
      <c r="QMG14" s="20"/>
      <c r="QMH14" s="20"/>
      <c r="QMI14" s="20"/>
      <c r="QMJ14" s="20"/>
      <c r="QMK14" s="20"/>
      <c r="QML14" s="20"/>
      <c r="QMM14" s="20"/>
      <c r="QMN14" s="20"/>
      <c r="QMO14" s="20"/>
      <c r="QMP14" s="20"/>
      <c r="QMQ14" s="20"/>
      <c r="QMR14" s="20"/>
      <c r="QMS14" s="20"/>
      <c r="QMT14" s="20"/>
      <c r="QMU14" s="20"/>
      <c r="QMV14" s="20"/>
      <c r="QMW14" s="20"/>
      <c r="QMX14" s="20"/>
      <c r="QMY14" s="20"/>
      <c r="QMZ14" s="20"/>
      <c r="QNA14" s="20"/>
      <c r="QNB14" s="20"/>
      <c r="QNC14" s="20"/>
      <c r="QND14" s="20"/>
      <c r="QNE14" s="20"/>
      <c r="QNF14" s="20"/>
      <c r="QNG14" s="20"/>
      <c r="QNH14" s="20"/>
      <c r="QNI14" s="20"/>
      <c r="QNJ14" s="20"/>
      <c r="QNK14" s="20"/>
      <c r="QNL14" s="20"/>
      <c r="QNM14" s="20"/>
      <c r="QNN14" s="20"/>
      <c r="QNO14" s="20"/>
      <c r="QNP14" s="20"/>
      <c r="QNQ14" s="20"/>
      <c r="QNR14" s="20"/>
      <c r="QNS14" s="20"/>
      <c r="QNT14" s="20"/>
      <c r="QNU14" s="20"/>
      <c r="QNV14" s="20"/>
      <c r="QNW14" s="20"/>
      <c r="QNX14" s="20"/>
      <c r="QNY14" s="20"/>
      <c r="QNZ14" s="20"/>
      <c r="QOA14" s="20"/>
      <c r="QOB14" s="20"/>
      <c r="QOC14" s="20"/>
      <c r="QOD14" s="20"/>
      <c r="QOE14" s="20"/>
      <c r="QOF14" s="20"/>
      <c r="QOG14" s="20"/>
      <c r="QOH14" s="20"/>
      <c r="QOI14" s="20"/>
      <c r="QOJ14" s="20"/>
      <c r="QOK14" s="20"/>
      <c r="QOL14" s="20"/>
      <c r="QOM14" s="20"/>
      <c r="QON14" s="20"/>
      <c r="QOO14" s="20"/>
      <c r="QOP14" s="20"/>
      <c r="QOQ14" s="20"/>
      <c r="QOR14" s="20"/>
      <c r="QOS14" s="20"/>
      <c r="QOT14" s="20"/>
      <c r="QOU14" s="20"/>
      <c r="QOV14" s="20"/>
      <c r="QOW14" s="20"/>
      <c r="QOX14" s="20"/>
      <c r="QOY14" s="20"/>
      <c r="QOZ14" s="20"/>
      <c r="QPA14" s="20"/>
      <c r="QPB14" s="20"/>
      <c r="QPC14" s="20"/>
      <c r="QPD14" s="20"/>
      <c r="QPE14" s="20"/>
      <c r="QPF14" s="20"/>
      <c r="QPG14" s="20"/>
      <c r="QPH14" s="20"/>
      <c r="QPI14" s="20"/>
      <c r="QPJ14" s="20"/>
      <c r="QPK14" s="20"/>
      <c r="QPL14" s="20"/>
      <c r="QPM14" s="20"/>
      <c r="QPN14" s="20"/>
      <c r="QPO14" s="20"/>
      <c r="QPP14" s="20"/>
      <c r="QPQ14" s="20"/>
      <c r="QPR14" s="20"/>
      <c r="QPS14" s="20"/>
      <c r="QPT14" s="20"/>
      <c r="QPU14" s="20"/>
      <c r="QPV14" s="20"/>
      <c r="QPW14" s="20"/>
      <c r="QPX14" s="20"/>
      <c r="QPY14" s="20"/>
      <c r="QPZ14" s="20"/>
      <c r="QQA14" s="20"/>
      <c r="QQB14" s="20"/>
      <c r="QQC14" s="20"/>
      <c r="QQD14" s="20"/>
      <c r="QQE14" s="20"/>
      <c r="QQF14" s="20"/>
      <c r="QQG14" s="20"/>
      <c r="QQH14" s="20"/>
      <c r="QQI14" s="20"/>
      <c r="QQJ14" s="20"/>
      <c r="QQK14" s="20"/>
      <c r="QQL14" s="20"/>
      <c r="QQM14" s="20"/>
      <c r="QQN14" s="20"/>
      <c r="QQO14" s="20"/>
      <c r="QQP14" s="20"/>
      <c r="QQQ14" s="20"/>
      <c r="QQR14" s="20"/>
      <c r="QQS14" s="20"/>
      <c r="QQT14" s="20"/>
      <c r="QQU14" s="20"/>
      <c r="QQV14" s="20"/>
      <c r="QQW14" s="20"/>
      <c r="QQX14" s="20"/>
      <c r="QQY14" s="20"/>
      <c r="QQZ14" s="20"/>
      <c r="QRA14" s="20"/>
      <c r="QRB14" s="20"/>
      <c r="QRC14" s="20"/>
      <c r="QRD14" s="20"/>
      <c r="QRE14" s="20"/>
      <c r="QRF14" s="20"/>
      <c r="QRG14" s="20"/>
      <c r="QRH14" s="20"/>
      <c r="QRI14" s="20"/>
      <c r="QRJ14" s="20"/>
      <c r="QRK14" s="20"/>
      <c r="QRL14" s="20"/>
      <c r="QRM14" s="20"/>
      <c r="QRN14" s="20"/>
      <c r="QRO14" s="20"/>
      <c r="QRP14" s="20"/>
      <c r="QRQ14" s="20"/>
      <c r="QRR14" s="20"/>
      <c r="QRS14" s="20"/>
      <c r="QRT14" s="20"/>
      <c r="QRU14" s="20"/>
      <c r="QRV14" s="20"/>
      <c r="QRW14" s="20"/>
      <c r="QRX14" s="20"/>
      <c r="QRY14" s="20"/>
      <c r="QRZ14" s="20"/>
      <c r="QSA14" s="20"/>
      <c r="QSB14" s="20"/>
      <c r="QSC14" s="20"/>
      <c r="QSD14" s="20"/>
      <c r="QSE14" s="20"/>
      <c r="QSF14" s="20"/>
      <c r="QSG14" s="20"/>
      <c r="QSH14" s="20"/>
      <c r="QSI14" s="20"/>
      <c r="QSJ14" s="20"/>
      <c r="QSK14" s="20"/>
      <c r="QSL14" s="20"/>
      <c r="QSM14" s="20"/>
      <c r="QSN14" s="20"/>
      <c r="QSO14" s="20"/>
      <c r="QSP14" s="20"/>
      <c r="QSQ14" s="20"/>
      <c r="QSR14" s="20"/>
      <c r="QSS14" s="20"/>
      <c r="QST14" s="20"/>
      <c r="QSU14" s="20"/>
      <c r="QSV14" s="20"/>
      <c r="QSW14" s="20"/>
      <c r="QSX14" s="20"/>
      <c r="QSY14" s="20"/>
      <c r="QSZ14" s="20"/>
      <c r="QTA14" s="20"/>
      <c r="QTB14" s="20"/>
      <c r="QTC14" s="20"/>
      <c r="QTD14" s="20"/>
      <c r="QTE14" s="20"/>
      <c r="QTF14" s="20"/>
      <c r="QTG14" s="20"/>
      <c r="QTH14" s="20"/>
      <c r="QTI14" s="20"/>
      <c r="QTJ14" s="20"/>
      <c r="QTK14" s="20"/>
      <c r="QTL14" s="20"/>
      <c r="QTM14" s="20"/>
      <c r="QTN14" s="20"/>
      <c r="QTO14" s="20"/>
      <c r="QTP14" s="20"/>
      <c r="QTQ14" s="20"/>
      <c r="QTR14" s="20"/>
      <c r="QTS14" s="20"/>
      <c r="QTT14" s="20"/>
      <c r="QTU14" s="20"/>
      <c r="QTV14" s="20"/>
      <c r="QTW14" s="20"/>
      <c r="QTX14" s="20"/>
      <c r="QTY14" s="20"/>
      <c r="QTZ14" s="20"/>
      <c r="QUA14" s="20"/>
      <c r="QUB14" s="20"/>
      <c r="QUC14" s="20"/>
      <c r="QUD14" s="20"/>
      <c r="QUE14" s="20"/>
      <c r="QUF14" s="20"/>
      <c r="QUG14" s="20"/>
      <c r="QUH14" s="20"/>
      <c r="QUI14" s="20"/>
      <c r="QUJ14" s="20"/>
      <c r="QUK14" s="20"/>
      <c r="QUL14" s="20"/>
      <c r="QUM14" s="20"/>
      <c r="QUN14" s="20"/>
      <c r="QUO14" s="20"/>
      <c r="QUP14" s="20"/>
      <c r="QUQ14" s="20"/>
      <c r="QUR14" s="20"/>
      <c r="QUS14" s="20"/>
      <c r="QUT14" s="20"/>
      <c r="QUU14" s="20"/>
      <c r="QUV14" s="20"/>
      <c r="QUW14" s="20"/>
      <c r="QUX14" s="20"/>
      <c r="QUY14" s="20"/>
      <c r="QUZ14" s="20"/>
      <c r="QVA14" s="20"/>
      <c r="QVB14" s="20"/>
      <c r="QVC14" s="20"/>
      <c r="QVD14" s="20"/>
      <c r="QVE14" s="20"/>
      <c r="QVF14" s="20"/>
      <c r="QVG14" s="20"/>
      <c r="QVH14" s="20"/>
      <c r="QVI14" s="20"/>
      <c r="QVJ14" s="20"/>
      <c r="QVK14" s="20"/>
      <c r="QVL14" s="20"/>
      <c r="QVM14" s="20"/>
      <c r="QVN14" s="20"/>
      <c r="QVO14" s="20"/>
      <c r="QVP14" s="20"/>
      <c r="QVQ14" s="20"/>
      <c r="QVR14" s="20"/>
      <c r="QVS14" s="20"/>
      <c r="QVT14" s="20"/>
      <c r="QVU14" s="20"/>
      <c r="QVV14" s="20"/>
      <c r="QVW14" s="20"/>
      <c r="QVX14" s="20"/>
      <c r="QVY14" s="20"/>
      <c r="QVZ14" s="20"/>
      <c r="QWA14" s="20"/>
      <c r="QWB14" s="20"/>
      <c r="QWC14" s="20"/>
      <c r="QWD14" s="20"/>
      <c r="QWE14" s="20"/>
      <c r="QWF14" s="20"/>
      <c r="QWG14" s="20"/>
      <c r="QWH14" s="20"/>
      <c r="QWI14" s="20"/>
      <c r="QWJ14" s="20"/>
      <c r="QWK14" s="20"/>
      <c r="QWL14" s="20"/>
      <c r="QWM14" s="20"/>
      <c r="QWN14" s="20"/>
      <c r="QWO14" s="20"/>
      <c r="QWP14" s="20"/>
      <c r="QWQ14" s="20"/>
      <c r="QWR14" s="20"/>
      <c r="QWS14" s="20"/>
      <c r="QWT14" s="20"/>
      <c r="QWU14" s="20"/>
      <c r="QWV14" s="20"/>
      <c r="QWW14" s="20"/>
      <c r="QWX14" s="20"/>
      <c r="QWY14" s="20"/>
      <c r="QWZ14" s="20"/>
      <c r="QXA14" s="20"/>
      <c r="QXB14" s="20"/>
      <c r="QXC14" s="20"/>
      <c r="QXD14" s="20"/>
      <c r="QXE14" s="20"/>
      <c r="QXF14" s="20"/>
      <c r="QXG14" s="20"/>
      <c r="QXH14" s="20"/>
      <c r="QXI14" s="20"/>
      <c r="QXJ14" s="20"/>
      <c r="QXK14" s="20"/>
      <c r="QXL14" s="20"/>
      <c r="QXM14" s="20"/>
      <c r="QXN14" s="20"/>
      <c r="QXO14" s="20"/>
      <c r="QXP14" s="20"/>
      <c r="QXQ14" s="20"/>
      <c r="QXR14" s="20"/>
      <c r="QXS14" s="20"/>
      <c r="QXT14" s="20"/>
      <c r="QXU14" s="20"/>
      <c r="QXV14" s="20"/>
      <c r="QXW14" s="20"/>
      <c r="QXX14" s="20"/>
      <c r="QXY14" s="20"/>
      <c r="QXZ14" s="20"/>
      <c r="QYA14" s="20"/>
      <c r="QYB14" s="20"/>
      <c r="QYC14" s="20"/>
      <c r="QYD14" s="20"/>
      <c r="QYE14" s="20"/>
      <c r="QYF14" s="20"/>
      <c r="QYG14" s="20"/>
      <c r="QYH14" s="20"/>
      <c r="QYI14" s="20"/>
      <c r="QYJ14" s="20"/>
      <c r="QYK14" s="20"/>
      <c r="QYL14" s="20"/>
      <c r="QYM14" s="20"/>
      <c r="QYN14" s="20"/>
      <c r="QYO14" s="20"/>
      <c r="QYP14" s="20"/>
      <c r="QYQ14" s="20"/>
      <c r="QYR14" s="20"/>
      <c r="QYS14" s="20"/>
      <c r="QYT14" s="20"/>
      <c r="QYU14" s="20"/>
      <c r="QYV14" s="20"/>
      <c r="QYW14" s="20"/>
      <c r="QYX14" s="20"/>
      <c r="QYY14" s="20"/>
      <c r="QYZ14" s="20"/>
      <c r="QZA14" s="20"/>
      <c r="QZB14" s="20"/>
      <c r="QZC14" s="20"/>
      <c r="QZD14" s="20"/>
      <c r="QZE14" s="20"/>
      <c r="QZF14" s="20"/>
      <c r="QZG14" s="20"/>
      <c r="QZH14" s="20"/>
      <c r="QZI14" s="20"/>
      <c r="QZJ14" s="20"/>
      <c r="QZK14" s="20"/>
      <c r="QZL14" s="20"/>
      <c r="QZM14" s="20"/>
      <c r="QZN14" s="20"/>
      <c r="QZO14" s="20"/>
      <c r="QZP14" s="20"/>
      <c r="QZQ14" s="20"/>
      <c r="QZR14" s="20"/>
      <c r="QZS14" s="20"/>
      <c r="QZT14" s="20"/>
      <c r="QZU14" s="20"/>
      <c r="QZV14" s="20"/>
      <c r="QZW14" s="20"/>
      <c r="QZX14" s="20"/>
      <c r="QZY14" s="20"/>
      <c r="QZZ14" s="20"/>
      <c r="RAA14" s="20"/>
      <c r="RAB14" s="20"/>
      <c r="RAC14" s="20"/>
      <c r="RAD14" s="20"/>
      <c r="RAE14" s="20"/>
      <c r="RAF14" s="20"/>
      <c r="RAG14" s="20"/>
      <c r="RAH14" s="20"/>
      <c r="RAI14" s="20"/>
      <c r="RAJ14" s="20"/>
      <c r="RAK14" s="20"/>
      <c r="RAL14" s="20"/>
      <c r="RAM14" s="20"/>
      <c r="RAN14" s="20"/>
      <c r="RAO14" s="20"/>
      <c r="RAP14" s="20"/>
      <c r="RAQ14" s="20"/>
      <c r="RAR14" s="20"/>
      <c r="RAS14" s="20"/>
      <c r="RAT14" s="20"/>
      <c r="RAU14" s="20"/>
      <c r="RAV14" s="20"/>
      <c r="RAW14" s="20"/>
      <c r="RAX14" s="20"/>
      <c r="RAY14" s="20"/>
      <c r="RAZ14" s="20"/>
      <c r="RBA14" s="20"/>
      <c r="RBB14" s="20"/>
      <c r="RBC14" s="20"/>
      <c r="RBD14" s="20"/>
      <c r="RBE14" s="20"/>
      <c r="RBF14" s="20"/>
      <c r="RBG14" s="20"/>
      <c r="RBH14" s="20"/>
      <c r="RBI14" s="20"/>
      <c r="RBJ14" s="20"/>
      <c r="RBK14" s="20"/>
      <c r="RBL14" s="20"/>
      <c r="RBM14" s="20"/>
      <c r="RBN14" s="20"/>
      <c r="RBO14" s="20"/>
      <c r="RBP14" s="20"/>
      <c r="RBQ14" s="20"/>
      <c r="RBR14" s="20"/>
      <c r="RBS14" s="20"/>
      <c r="RBT14" s="20"/>
      <c r="RBU14" s="20"/>
      <c r="RBV14" s="20"/>
      <c r="RBW14" s="20"/>
      <c r="RBX14" s="20"/>
      <c r="RBY14" s="20"/>
      <c r="RBZ14" s="20"/>
      <c r="RCA14" s="20"/>
      <c r="RCB14" s="20"/>
      <c r="RCC14" s="20"/>
      <c r="RCD14" s="20"/>
      <c r="RCE14" s="20"/>
      <c r="RCF14" s="20"/>
      <c r="RCG14" s="20"/>
      <c r="RCH14" s="20"/>
      <c r="RCI14" s="20"/>
      <c r="RCJ14" s="20"/>
      <c r="RCK14" s="20"/>
      <c r="RCL14" s="20"/>
      <c r="RCM14" s="20"/>
      <c r="RCN14" s="20"/>
      <c r="RCO14" s="20"/>
      <c r="RCP14" s="20"/>
      <c r="RCQ14" s="20"/>
      <c r="RCR14" s="20"/>
      <c r="RCS14" s="20"/>
      <c r="RCT14" s="20"/>
      <c r="RCU14" s="20"/>
      <c r="RCV14" s="20"/>
      <c r="RCW14" s="20"/>
      <c r="RCX14" s="20"/>
      <c r="RCY14" s="20"/>
      <c r="RCZ14" s="20"/>
      <c r="RDA14" s="20"/>
      <c r="RDB14" s="20"/>
      <c r="RDC14" s="20"/>
      <c r="RDD14" s="20"/>
      <c r="RDE14" s="20"/>
      <c r="RDF14" s="20"/>
      <c r="RDG14" s="20"/>
      <c r="RDH14" s="20"/>
      <c r="RDI14" s="20"/>
      <c r="RDJ14" s="20"/>
      <c r="RDK14" s="20"/>
      <c r="RDL14" s="20"/>
      <c r="RDM14" s="20"/>
      <c r="RDN14" s="20"/>
      <c r="RDO14" s="20"/>
      <c r="RDP14" s="20"/>
      <c r="RDQ14" s="20"/>
      <c r="RDR14" s="20"/>
      <c r="RDS14" s="20"/>
      <c r="RDT14" s="20"/>
      <c r="RDU14" s="20"/>
      <c r="RDV14" s="20"/>
      <c r="RDW14" s="20"/>
      <c r="RDX14" s="20"/>
      <c r="RDY14" s="20"/>
      <c r="RDZ14" s="20"/>
      <c r="REA14" s="20"/>
      <c r="REB14" s="20"/>
      <c r="REC14" s="20"/>
      <c r="RED14" s="20"/>
      <c r="REE14" s="20"/>
      <c r="REF14" s="20"/>
      <c r="REG14" s="20"/>
      <c r="REH14" s="20"/>
      <c r="REI14" s="20"/>
      <c r="REJ14" s="20"/>
      <c r="REK14" s="20"/>
      <c r="REL14" s="20"/>
      <c r="REM14" s="20"/>
      <c r="REN14" s="20"/>
      <c r="REO14" s="20"/>
      <c r="REP14" s="20"/>
      <c r="REQ14" s="20"/>
      <c r="RER14" s="20"/>
      <c r="RES14" s="20"/>
      <c r="RET14" s="20"/>
      <c r="REU14" s="20"/>
      <c r="REV14" s="20"/>
      <c r="REW14" s="20"/>
      <c r="REX14" s="20"/>
      <c r="REY14" s="20"/>
      <c r="REZ14" s="20"/>
      <c r="RFA14" s="20"/>
      <c r="RFB14" s="20"/>
      <c r="RFC14" s="20"/>
      <c r="RFD14" s="20"/>
      <c r="RFE14" s="20"/>
      <c r="RFF14" s="20"/>
      <c r="RFG14" s="20"/>
      <c r="RFH14" s="20"/>
      <c r="RFI14" s="20"/>
      <c r="RFJ14" s="20"/>
      <c r="RFK14" s="20"/>
      <c r="RFL14" s="20"/>
      <c r="RFM14" s="20"/>
      <c r="RFN14" s="20"/>
      <c r="RFO14" s="20"/>
      <c r="RFP14" s="20"/>
      <c r="RFQ14" s="20"/>
      <c r="RFR14" s="20"/>
      <c r="RFS14" s="20"/>
      <c r="RFT14" s="20"/>
      <c r="RFU14" s="20"/>
      <c r="RFV14" s="20"/>
      <c r="RFW14" s="20"/>
      <c r="RFX14" s="20"/>
      <c r="RFY14" s="20"/>
      <c r="RFZ14" s="20"/>
      <c r="RGA14" s="20"/>
      <c r="RGB14" s="20"/>
      <c r="RGC14" s="20"/>
      <c r="RGD14" s="20"/>
      <c r="RGE14" s="20"/>
      <c r="RGF14" s="20"/>
      <c r="RGG14" s="20"/>
      <c r="RGH14" s="20"/>
      <c r="RGI14" s="20"/>
      <c r="RGJ14" s="20"/>
      <c r="RGK14" s="20"/>
      <c r="RGL14" s="20"/>
      <c r="RGM14" s="20"/>
      <c r="RGN14" s="20"/>
      <c r="RGO14" s="20"/>
      <c r="RGP14" s="20"/>
      <c r="RGQ14" s="20"/>
      <c r="RGR14" s="20"/>
      <c r="RGS14" s="20"/>
      <c r="RGT14" s="20"/>
      <c r="RGU14" s="20"/>
      <c r="RGV14" s="20"/>
      <c r="RGW14" s="20"/>
      <c r="RGX14" s="20"/>
      <c r="RGY14" s="20"/>
      <c r="RGZ14" s="20"/>
      <c r="RHA14" s="20"/>
      <c r="RHB14" s="20"/>
      <c r="RHC14" s="20"/>
      <c r="RHD14" s="20"/>
      <c r="RHE14" s="20"/>
      <c r="RHF14" s="20"/>
      <c r="RHG14" s="20"/>
      <c r="RHH14" s="20"/>
      <c r="RHI14" s="20"/>
      <c r="RHJ14" s="20"/>
      <c r="RHK14" s="20"/>
      <c r="RHL14" s="20"/>
      <c r="RHM14" s="20"/>
      <c r="RHN14" s="20"/>
      <c r="RHO14" s="20"/>
      <c r="RHP14" s="20"/>
      <c r="RHQ14" s="20"/>
      <c r="RHR14" s="20"/>
      <c r="RHS14" s="20"/>
      <c r="RHT14" s="20"/>
      <c r="RHU14" s="20"/>
      <c r="RHV14" s="20"/>
      <c r="RHW14" s="20"/>
      <c r="RHX14" s="20"/>
      <c r="RHY14" s="20"/>
      <c r="RHZ14" s="20"/>
      <c r="RIA14" s="20"/>
      <c r="RIB14" s="20"/>
      <c r="RIC14" s="20"/>
      <c r="RID14" s="20"/>
      <c r="RIE14" s="20"/>
      <c r="RIF14" s="20"/>
      <c r="RIG14" s="20"/>
      <c r="RIH14" s="20"/>
      <c r="RII14" s="20"/>
      <c r="RIJ14" s="20"/>
      <c r="RIK14" s="20"/>
      <c r="RIL14" s="20"/>
      <c r="RIM14" s="20"/>
      <c r="RIN14" s="20"/>
      <c r="RIO14" s="20"/>
      <c r="RIP14" s="20"/>
      <c r="RIQ14" s="20"/>
      <c r="RIR14" s="20"/>
      <c r="RIS14" s="20"/>
      <c r="RIT14" s="20"/>
      <c r="RIU14" s="20"/>
      <c r="RIV14" s="20"/>
      <c r="RIW14" s="20"/>
      <c r="RIX14" s="20"/>
      <c r="RIY14" s="20"/>
      <c r="RIZ14" s="20"/>
      <c r="RJA14" s="20"/>
      <c r="RJB14" s="20"/>
      <c r="RJC14" s="20"/>
      <c r="RJD14" s="20"/>
      <c r="RJE14" s="20"/>
      <c r="RJF14" s="20"/>
      <c r="RJG14" s="20"/>
      <c r="RJH14" s="20"/>
      <c r="RJI14" s="20"/>
      <c r="RJJ14" s="20"/>
      <c r="RJK14" s="20"/>
      <c r="RJL14" s="20"/>
      <c r="RJM14" s="20"/>
      <c r="RJN14" s="20"/>
      <c r="RJO14" s="20"/>
      <c r="RJP14" s="20"/>
      <c r="RJQ14" s="20"/>
      <c r="RJR14" s="20"/>
      <c r="RJS14" s="20"/>
      <c r="RJT14" s="20"/>
      <c r="RJU14" s="20"/>
      <c r="RJV14" s="20"/>
      <c r="RJW14" s="20"/>
      <c r="RJX14" s="20"/>
      <c r="RJY14" s="20"/>
      <c r="RJZ14" s="20"/>
      <c r="RKA14" s="20"/>
      <c r="RKB14" s="20"/>
      <c r="RKC14" s="20"/>
      <c r="RKD14" s="20"/>
      <c r="RKE14" s="20"/>
      <c r="RKF14" s="20"/>
      <c r="RKG14" s="20"/>
      <c r="RKH14" s="20"/>
      <c r="RKI14" s="20"/>
      <c r="RKJ14" s="20"/>
      <c r="RKK14" s="20"/>
      <c r="RKL14" s="20"/>
      <c r="RKM14" s="20"/>
      <c r="RKN14" s="20"/>
      <c r="RKO14" s="20"/>
      <c r="RKP14" s="20"/>
      <c r="RKQ14" s="20"/>
      <c r="RKR14" s="20"/>
      <c r="RKS14" s="20"/>
      <c r="RKT14" s="20"/>
      <c r="RKU14" s="20"/>
      <c r="RKV14" s="20"/>
      <c r="RKW14" s="20"/>
      <c r="RKX14" s="20"/>
      <c r="RKY14" s="20"/>
      <c r="RKZ14" s="20"/>
      <c r="RLA14" s="20"/>
      <c r="RLB14" s="20"/>
      <c r="RLC14" s="20"/>
      <c r="RLD14" s="20"/>
      <c r="RLE14" s="20"/>
      <c r="RLF14" s="20"/>
      <c r="RLG14" s="20"/>
      <c r="RLH14" s="20"/>
      <c r="RLI14" s="20"/>
      <c r="RLJ14" s="20"/>
      <c r="RLK14" s="20"/>
      <c r="RLL14" s="20"/>
      <c r="RLM14" s="20"/>
      <c r="RLN14" s="20"/>
      <c r="RLO14" s="20"/>
      <c r="RLP14" s="20"/>
      <c r="RLQ14" s="20"/>
      <c r="RLR14" s="20"/>
      <c r="RLS14" s="20"/>
      <c r="RLT14" s="20"/>
      <c r="RLU14" s="20"/>
      <c r="RLV14" s="20"/>
      <c r="RLW14" s="20"/>
      <c r="RLX14" s="20"/>
      <c r="RLY14" s="20"/>
      <c r="RLZ14" s="20"/>
      <c r="RMA14" s="20"/>
      <c r="RMB14" s="20"/>
      <c r="RMC14" s="20"/>
      <c r="RMD14" s="20"/>
      <c r="RME14" s="20"/>
      <c r="RMF14" s="20"/>
      <c r="RMG14" s="20"/>
      <c r="RMH14" s="20"/>
      <c r="RMI14" s="20"/>
      <c r="RMJ14" s="20"/>
      <c r="RMK14" s="20"/>
      <c r="RML14" s="20"/>
      <c r="RMM14" s="20"/>
      <c r="RMN14" s="20"/>
      <c r="RMO14" s="20"/>
      <c r="RMP14" s="20"/>
      <c r="RMQ14" s="20"/>
      <c r="RMR14" s="20"/>
      <c r="RMS14" s="20"/>
      <c r="RMT14" s="20"/>
      <c r="RMU14" s="20"/>
      <c r="RMV14" s="20"/>
      <c r="RMW14" s="20"/>
      <c r="RMX14" s="20"/>
      <c r="RMY14" s="20"/>
      <c r="RMZ14" s="20"/>
      <c r="RNA14" s="20"/>
      <c r="RNB14" s="20"/>
      <c r="RNC14" s="20"/>
      <c r="RND14" s="20"/>
      <c r="RNE14" s="20"/>
      <c r="RNF14" s="20"/>
      <c r="RNG14" s="20"/>
      <c r="RNH14" s="20"/>
      <c r="RNI14" s="20"/>
      <c r="RNJ14" s="20"/>
      <c r="RNK14" s="20"/>
      <c r="RNL14" s="20"/>
      <c r="RNM14" s="20"/>
      <c r="RNN14" s="20"/>
      <c r="RNO14" s="20"/>
      <c r="RNP14" s="20"/>
      <c r="RNQ14" s="20"/>
      <c r="RNR14" s="20"/>
      <c r="RNS14" s="20"/>
      <c r="RNT14" s="20"/>
      <c r="RNU14" s="20"/>
      <c r="RNV14" s="20"/>
      <c r="RNW14" s="20"/>
      <c r="RNX14" s="20"/>
      <c r="RNY14" s="20"/>
      <c r="RNZ14" s="20"/>
      <c r="ROA14" s="20"/>
      <c r="ROB14" s="20"/>
      <c r="ROC14" s="20"/>
      <c r="ROD14" s="20"/>
      <c r="ROE14" s="20"/>
      <c r="ROF14" s="20"/>
      <c r="ROG14" s="20"/>
      <c r="ROH14" s="20"/>
      <c r="ROI14" s="20"/>
      <c r="ROJ14" s="20"/>
      <c r="ROK14" s="20"/>
      <c r="ROL14" s="20"/>
      <c r="ROM14" s="20"/>
      <c r="RON14" s="20"/>
      <c r="ROO14" s="20"/>
      <c r="ROP14" s="20"/>
      <c r="ROQ14" s="20"/>
      <c r="ROR14" s="20"/>
      <c r="ROS14" s="20"/>
      <c r="ROT14" s="20"/>
      <c r="ROU14" s="20"/>
      <c r="ROV14" s="20"/>
      <c r="ROW14" s="20"/>
      <c r="ROX14" s="20"/>
      <c r="ROY14" s="20"/>
      <c r="ROZ14" s="20"/>
      <c r="RPA14" s="20"/>
      <c r="RPB14" s="20"/>
      <c r="RPC14" s="20"/>
      <c r="RPD14" s="20"/>
      <c r="RPE14" s="20"/>
      <c r="RPF14" s="20"/>
      <c r="RPG14" s="20"/>
      <c r="RPH14" s="20"/>
      <c r="RPI14" s="20"/>
      <c r="RPJ14" s="20"/>
      <c r="RPK14" s="20"/>
      <c r="RPL14" s="20"/>
      <c r="RPM14" s="20"/>
      <c r="RPN14" s="20"/>
      <c r="RPO14" s="20"/>
      <c r="RPP14" s="20"/>
      <c r="RPQ14" s="20"/>
      <c r="RPR14" s="20"/>
      <c r="RPS14" s="20"/>
      <c r="RPT14" s="20"/>
      <c r="RPU14" s="20"/>
      <c r="RPV14" s="20"/>
      <c r="RPW14" s="20"/>
      <c r="RPX14" s="20"/>
      <c r="RPY14" s="20"/>
      <c r="RPZ14" s="20"/>
      <c r="RQA14" s="20"/>
      <c r="RQB14" s="20"/>
      <c r="RQC14" s="20"/>
      <c r="RQD14" s="20"/>
      <c r="RQE14" s="20"/>
      <c r="RQF14" s="20"/>
      <c r="RQG14" s="20"/>
      <c r="RQH14" s="20"/>
      <c r="RQI14" s="20"/>
      <c r="RQJ14" s="20"/>
      <c r="RQK14" s="20"/>
      <c r="RQL14" s="20"/>
      <c r="RQM14" s="20"/>
      <c r="RQN14" s="20"/>
      <c r="RQO14" s="20"/>
      <c r="RQP14" s="20"/>
      <c r="RQQ14" s="20"/>
      <c r="RQR14" s="20"/>
      <c r="RQS14" s="20"/>
      <c r="RQT14" s="20"/>
      <c r="RQU14" s="20"/>
      <c r="RQV14" s="20"/>
      <c r="RQW14" s="20"/>
      <c r="RQX14" s="20"/>
      <c r="RQY14" s="20"/>
      <c r="RQZ14" s="20"/>
      <c r="RRA14" s="20"/>
      <c r="RRB14" s="20"/>
      <c r="RRC14" s="20"/>
      <c r="RRD14" s="20"/>
      <c r="RRE14" s="20"/>
      <c r="RRF14" s="20"/>
      <c r="RRG14" s="20"/>
      <c r="RRH14" s="20"/>
      <c r="RRI14" s="20"/>
      <c r="RRJ14" s="20"/>
      <c r="RRK14" s="20"/>
      <c r="RRL14" s="20"/>
      <c r="RRM14" s="20"/>
      <c r="RRN14" s="20"/>
      <c r="RRO14" s="20"/>
      <c r="RRP14" s="20"/>
      <c r="RRQ14" s="20"/>
      <c r="RRR14" s="20"/>
      <c r="RRS14" s="20"/>
      <c r="RRT14" s="20"/>
      <c r="RRU14" s="20"/>
      <c r="RRV14" s="20"/>
      <c r="RRW14" s="20"/>
      <c r="RRX14" s="20"/>
      <c r="RRY14" s="20"/>
      <c r="RRZ14" s="20"/>
      <c r="RSA14" s="20"/>
      <c r="RSB14" s="20"/>
      <c r="RSC14" s="20"/>
      <c r="RSD14" s="20"/>
      <c r="RSE14" s="20"/>
      <c r="RSF14" s="20"/>
      <c r="RSG14" s="20"/>
      <c r="RSH14" s="20"/>
      <c r="RSI14" s="20"/>
      <c r="RSJ14" s="20"/>
      <c r="RSK14" s="20"/>
      <c r="RSL14" s="20"/>
      <c r="RSM14" s="20"/>
      <c r="RSN14" s="20"/>
      <c r="RSO14" s="20"/>
      <c r="RSP14" s="20"/>
      <c r="RSQ14" s="20"/>
      <c r="RSR14" s="20"/>
      <c r="RSS14" s="20"/>
      <c r="RST14" s="20"/>
      <c r="RSU14" s="20"/>
      <c r="RSV14" s="20"/>
      <c r="RSW14" s="20"/>
      <c r="RSX14" s="20"/>
      <c r="RSY14" s="20"/>
      <c r="RSZ14" s="20"/>
      <c r="RTA14" s="20"/>
      <c r="RTB14" s="20"/>
      <c r="RTC14" s="20"/>
      <c r="RTD14" s="20"/>
      <c r="RTE14" s="20"/>
      <c r="RTF14" s="20"/>
      <c r="RTG14" s="20"/>
      <c r="RTH14" s="20"/>
      <c r="RTI14" s="20"/>
      <c r="RTJ14" s="20"/>
      <c r="RTK14" s="20"/>
      <c r="RTL14" s="20"/>
      <c r="RTM14" s="20"/>
      <c r="RTN14" s="20"/>
      <c r="RTO14" s="20"/>
      <c r="RTP14" s="20"/>
      <c r="RTQ14" s="20"/>
      <c r="RTR14" s="20"/>
      <c r="RTS14" s="20"/>
      <c r="RTT14" s="20"/>
      <c r="RTU14" s="20"/>
      <c r="RTV14" s="20"/>
      <c r="RTW14" s="20"/>
      <c r="RTX14" s="20"/>
      <c r="RTY14" s="20"/>
      <c r="RTZ14" s="20"/>
      <c r="RUA14" s="20"/>
      <c r="RUB14" s="20"/>
      <c r="RUC14" s="20"/>
      <c r="RUD14" s="20"/>
      <c r="RUE14" s="20"/>
      <c r="RUF14" s="20"/>
      <c r="RUG14" s="20"/>
      <c r="RUH14" s="20"/>
      <c r="RUI14" s="20"/>
      <c r="RUJ14" s="20"/>
      <c r="RUK14" s="20"/>
      <c r="RUL14" s="20"/>
      <c r="RUM14" s="20"/>
      <c r="RUN14" s="20"/>
      <c r="RUO14" s="20"/>
      <c r="RUP14" s="20"/>
      <c r="RUQ14" s="20"/>
      <c r="RUR14" s="20"/>
      <c r="RUS14" s="20"/>
      <c r="RUT14" s="20"/>
      <c r="RUU14" s="20"/>
      <c r="RUV14" s="20"/>
      <c r="RUW14" s="20"/>
      <c r="RUX14" s="20"/>
      <c r="RUY14" s="20"/>
      <c r="RUZ14" s="20"/>
      <c r="RVA14" s="20"/>
      <c r="RVB14" s="20"/>
      <c r="RVC14" s="20"/>
      <c r="RVD14" s="20"/>
      <c r="RVE14" s="20"/>
      <c r="RVF14" s="20"/>
      <c r="RVG14" s="20"/>
      <c r="RVH14" s="20"/>
      <c r="RVI14" s="20"/>
      <c r="RVJ14" s="20"/>
      <c r="RVK14" s="20"/>
      <c r="RVL14" s="20"/>
      <c r="RVM14" s="20"/>
      <c r="RVN14" s="20"/>
      <c r="RVO14" s="20"/>
      <c r="RVP14" s="20"/>
      <c r="RVQ14" s="20"/>
      <c r="RVR14" s="20"/>
      <c r="RVS14" s="20"/>
      <c r="RVT14" s="20"/>
      <c r="RVU14" s="20"/>
      <c r="RVV14" s="20"/>
      <c r="RVW14" s="20"/>
      <c r="RVX14" s="20"/>
      <c r="RVY14" s="20"/>
      <c r="RVZ14" s="20"/>
      <c r="RWA14" s="20"/>
      <c r="RWB14" s="20"/>
      <c r="RWC14" s="20"/>
      <c r="RWD14" s="20"/>
      <c r="RWE14" s="20"/>
      <c r="RWF14" s="20"/>
      <c r="RWG14" s="20"/>
      <c r="RWH14" s="20"/>
      <c r="RWI14" s="20"/>
      <c r="RWJ14" s="20"/>
      <c r="RWK14" s="20"/>
      <c r="RWL14" s="20"/>
      <c r="RWM14" s="20"/>
      <c r="RWN14" s="20"/>
      <c r="RWO14" s="20"/>
      <c r="RWP14" s="20"/>
      <c r="RWQ14" s="20"/>
      <c r="RWR14" s="20"/>
      <c r="RWS14" s="20"/>
      <c r="RWT14" s="20"/>
      <c r="RWU14" s="20"/>
      <c r="RWV14" s="20"/>
      <c r="RWW14" s="20"/>
      <c r="RWX14" s="20"/>
      <c r="RWY14" s="20"/>
      <c r="RWZ14" s="20"/>
      <c r="RXA14" s="20"/>
      <c r="RXB14" s="20"/>
      <c r="RXC14" s="20"/>
      <c r="RXD14" s="20"/>
      <c r="RXE14" s="20"/>
      <c r="RXF14" s="20"/>
      <c r="RXG14" s="20"/>
      <c r="RXH14" s="20"/>
      <c r="RXI14" s="20"/>
      <c r="RXJ14" s="20"/>
      <c r="RXK14" s="20"/>
      <c r="RXL14" s="20"/>
      <c r="RXM14" s="20"/>
      <c r="RXN14" s="20"/>
      <c r="RXO14" s="20"/>
      <c r="RXP14" s="20"/>
      <c r="RXQ14" s="20"/>
      <c r="RXR14" s="20"/>
      <c r="RXS14" s="20"/>
      <c r="RXT14" s="20"/>
      <c r="RXU14" s="20"/>
      <c r="RXV14" s="20"/>
      <c r="RXW14" s="20"/>
      <c r="RXX14" s="20"/>
      <c r="RXY14" s="20"/>
      <c r="RXZ14" s="20"/>
      <c r="RYA14" s="20"/>
      <c r="RYB14" s="20"/>
      <c r="RYC14" s="20"/>
      <c r="RYD14" s="20"/>
      <c r="RYE14" s="20"/>
      <c r="RYF14" s="20"/>
      <c r="RYG14" s="20"/>
      <c r="RYH14" s="20"/>
      <c r="RYI14" s="20"/>
      <c r="RYJ14" s="20"/>
      <c r="RYK14" s="20"/>
      <c r="RYL14" s="20"/>
      <c r="RYM14" s="20"/>
      <c r="RYN14" s="20"/>
      <c r="RYO14" s="20"/>
      <c r="RYP14" s="20"/>
      <c r="RYQ14" s="20"/>
      <c r="RYR14" s="20"/>
      <c r="RYS14" s="20"/>
      <c r="RYT14" s="20"/>
      <c r="RYU14" s="20"/>
      <c r="RYV14" s="20"/>
      <c r="RYW14" s="20"/>
      <c r="RYX14" s="20"/>
      <c r="RYY14" s="20"/>
      <c r="RYZ14" s="20"/>
      <c r="RZA14" s="20"/>
      <c r="RZB14" s="20"/>
      <c r="RZC14" s="20"/>
      <c r="RZD14" s="20"/>
      <c r="RZE14" s="20"/>
      <c r="RZF14" s="20"/>
      <c r="RZG14" s="20"/>
      <c r="RZH14" s="20"/>
      <c r="RZI14" s="20"/>
      <c r="RZJ14" s="20"/>
      <c r="RZK14" s="20"/>
      <c r="RZL14" s="20"/>
      <c r="RZM14" s="20"/>
      <c r="RZN14" s="20"/>
      <c r="RZO14" s="20"/>
      <c r="RZP14" s="20"/>
      <c r="RZQ14" s="20"/>
      <c r="RZR14" s="20"/>
      <c r="RZS14" s="20"/>
      <c r="RZT14" s="20"/>
      <c r="RZU14" s="20"/>
      <c r="RZV14" s="20"/>
      <c r="RZW14" s="20"/>
      <c r="RZX14" s="20"/>
      <c r="RZY14" s="20"/>
      <c r="RZZ14" s="20"/>
      <c r="SAA14" s="20"/>
      <c r="SAB14" s="20"/>
      <c r="SAC14" s="20"/>
      <c r="SAD14" s="20"/>
      <c r="SAE14" s="20"/>
      <c r="SAF14" s="20"/>
      <c r="SAG14" s="20"/>
      <c r="SAH14" s="20"/>
      <c r="SAI14" s="20"/>
      <c r="SAJ14" s="20"/>
      <c r="SAK14" s="20"/>
      <c r="SAL14" s="20"/>
      <c r="SAM14" s="20"/>
      <c r="SAN14" s="20"/>
      <c r="SAO14" s="20"/>
      <c r="SAP14" s="20"/>
      <c r="SAQ14" s="20"/>
      <c r="SAR14" s="20"/>
      <c r="SAS14" s="20"/>
      <c r="SAT14" s="20"/>
      <c r="SAU14" s="20"/>
      <c r="SAV14" s="20"/>
      <c r="SAW14" s="20"/>
      <c r="SAX14" s="20"/>
      <c r="SAY14" s="20"/>
      <c r="SAZ14" s="20"/>
      <c r="SBA14" s="20"/>
      <c r="SBB14" s="20"/>
      <c r="SBC14" s="20"/>
      <c r="SBD14" s="20"/>
      <c r="SBE14" s="20"/>
      <c r="SBF14" s="20"/>
      <c r="SBG14" s="20"/>
      <c r="SBH14" s="20"/>
      <c r="SBI14" s="20"/>
      <c r="SBJ14" s="20"/>
      <c r="SBK14" s="20"/>
      <c r="SBL14" s="20"/>
      <c r="SBM14" s="20"/>
      <c r="SBN14" s="20"/>
      <c r="SBO14" s="20"/>
      <c r="SBP14" s="20"/>
      <c r="SBQ14" s="20"/>
      <c r="SBR14" s="20"/>
      <c r="SBS14" s="20"/>
      <c r="SBT14" s="20"/>
      <c r="SBU14" s="20"/>
      <c r="SBV14" s="20"/>
      <c r="SBW14" s="20"/>
      <c r="SBX14" s="20"/>
      <c r="SBY14" s="20"/>
      <c r="SBZ14" s="20"/>
      <c r="SCA14" s="20"/>
      <c r="SCB14" s="20"/>
      <c r="SCC14" s="20"/>
      <c r="SCD14" s="20"/>
      <c r="SCE14" s="20"/>
      <c r="SCF14" s="20"/>
      <c r="SCG14" s="20"/>
      <c r="SCH14" s="20"/>
      <c r="SCI14" s="20"/>
      <c r="SCJ14" s="20"/>
      <c r="SCK14" s="20"/>
      <c r="SCL14" s="20"/>
      <c r="SCM14" s="20"/>
      <c r="SCN14" s="20"/>
      <c r="SCO14" s="20"/>
      <c r="SCP14" s="20"/>
      <c r="SCQ14" s="20"/>
      <c r="SCR14" s="20"/>
      <c r="SCS14" s="20"/>
      <c r="SCT14" s="20"/>
      <c r="SCU14" s="20"/>
      <c r="SCV14" s="20"/>
      <c r="SCW14" s="20"/>
      <c r="SCX14" s="20"/>
      <c r="SCY14" s="20"/>
      <c r="SCZ14" s="20"/>
      <c r="SDA14" s="20"/>
      <c r="SDB14" s="20"/>
      <c r="SDC14" s="20"/>
      <c r="SDD14" s="20"/>
      <c r="SDE14" s="20"/>
      <c r="SDF14" s="20"/>
      <c r="SDG14" s="20"/>
      <c r="SDH14" s="20"/>
      <c r="SDI14" s="20"/>
      <c r="SDJ14" s="20"/>
      <c r="SDK14" s="20"/>
      <c r="SDL14" s="20"/>
      <c r="SDM14" s="20"/>
      <c r="SDN14" s="20"/>
      <c r="SDO14" s="20"/>
      <c r="SDP14" s="20"/>
      <c r="SDQ14" s="20"/>
      <c r="SDR14" s="20"/>
      <c r="SDS14" s="20"/>
      <c r="SDT14" s="20"/>
      <c r="SDU14" s="20"/>
      <c r="SDV14" s="20"/>
      <c r="SDW14" s="20"/>
      <c r="SDX14" s="20"/>
      <c r="SDY14" s="20"/>
      <c r="SDZ14" s="20"/>
      <c r="SEA14" s="20"/>
      <c r="SEB14" s="20"/>
      <c r="SEC14" s="20"/>
      <c r="SED14" s="20"/>
      <c r="SEE14" s="20"/>
      <c r="SEF14" s="20"/>
      <c r="SEG14" s="20"/>
      <c r="SEH14" s="20"/>
      <c r="SEI14" s="20"/>
      <c r="SEJ14" s="20"/>
      <c r="SEK14" s="20"/>
      <c r="SEL14" s="20"/>
      <c r="SEM14" s="20"/>
      <c r="SEN14" s="20"/>
      <c r="SEO14" s="20"/>
      <c r="SEP14" s="20"/>
      <c r="SEQ14" s="20"/>
      <c r="SER14" s="20"/>
      <c r="SES14" s="20"/>
      <c r="SET14" s="20"/>
      <c r="SEU14" s="20"/>
      <c r="SEV14" s="20"/>
      <c r="SEW14" s="20"/>
      <c r="SEX14" s="20"/>
      <c r="SEY14" s="20"/>
      <c r="SEZ14" s="20"/>
      <c r="SFA14" s="20"/>
      <c r="SFB14" s="20"/>
      <c r="SFC14" s="20"/>
      <c r="SFD14" s="20"/>
      <c r="SFE14" s="20"/>
      <c r="SFF14" s="20"/>
      <c r="SFG14" s="20"/>
      <c r="SFH14" s="20"/>
      <c r="SFI14" s="20"/>
      <c r="SFJ14" s="20"/>
      <c r="SFK14" s="20"/>
      <c r="SFL14" s="20"/>
      <c r="SFM14" s="20"/>
      <c r="SFN14" s="20"/>
      <c r="SFO14" s="20"/>
      <c r="SFP14" s="20"/>
      <c r="SFQ14" s="20"/>
      <c r="SFR14" s="20"/>
      <c r="SFS14" s="20"/>
      <c r="SFT14" s="20"/>
      <c r="SFU14" s="20"/>
      <c r="SFV14" s="20"/>
      <c r="SFW14" s="20"/>
      <c r="SFX14" s="20"/>
      <c r="SFY14" s="20"/>
      <c r="SFZ14" s="20"/>
      <c r="SGA14" s="20"/>
      <c r="SGB14" s="20"/>
      <c r="SGC14" s="20"/>
      <c r="SGD14" s="20"/>
      <c r="SGE14" s="20"/>
      <c r="SGF14" s="20"/>
      <c r="SGG14" s="20"/>
      <c r="SGH14" s="20"/>
      <c r="SGI14" s="20"/>
      <c r="SGJ14" s="20"/>
      <c r="SGK14" s="20"/>
      <c r="SGL14" s="20"/>
      <c r="SGM14" s="20"/>
      <c r="SGN14" s="20"/>
      <c r="SGO14" s="20"/>
      <c r="SGP14" s="20"/>
      <c r="SGQ14" s="20"/>
      <c r="SGR14" s="20"/>
      <c r="SGS14" s="20"/>
      <c r="SGT14" s="20"/>
      <c r="SGU14" s="20"/>
      <c r="SGV14" s="20"/>
      <c r="SGW14" s="20"/>
      <c r="SGX14" s="20"/>
      <c r="SGY14" s="20"/>
      <c r="SGZ14" s="20"/>
      <c r="SHA14" s="20"/>
      <c r="SHB14" s="20"/>
      <c r="SHC14" s="20"/>
      <c r="SHD14" s="20"/>
      <c r="SHE14" s="20"/>
      <c r="SHF14" s="20"/>
      <c r="SHG14" s="20"/>
      <c r="SHH14" s="20"/>
      <c r="SHI14" s="20"/>
      <c r="SHJ14" s="20"/>
      <c r="SHK14" s="20"/>
      <c r="SHL14" s="20"/>
      <c r="SHM14" s="20"/>
      <c r="SHN14" s="20"/>
      <c r="SHO14" s="20"/>
      <c r="SHP14" s="20"/>
      <c r="SHQ14" s="20"/>
      <c r="SHR14" s="20"/>
      <c r="SHS14" s="20"/>
      <c r="SHT14" s="20"/>
      <c r="SHU14" s="20"/>
      <c r="SHV14" s="20"/>
      <c r="SHW14" s="20"/>
      <c r="SHX14" s="20"/>
      <c r="SHY14" s="20"/>
      <c r="SHZ14" s="20"/>
      <c r="SIA14" s="20"/>
      <c r="SIB14" s="20"/>
      <c r="SIC14" s="20"/>
      <c r="SID14" s="20"/>
      <c r="SIE14" s="20"/>
      <c r="SIF14" s="20"/>
      <c r="SIG14" s="20"/>
      <c r="SIH14" s="20"/>
      <c r="SII14" s="20"/>
      <c r="SIJ14" s="20"/>
      <c r="SIK14" s="20"/>
      <c r="SIL14" s="20"/>
      <c r="SIM14" s="20"/>
      <c r="SIN14" s="20"/>
      <c r="SIO14" s="20"/>
      <c r="SIP14" s="20"/>
      <c r="SIQ14" s="20"/>
      <c r="SIR14" s="20"/>
      <c r="SIS14" s="20"/>
      <c r="SIT14" s="20"/>
      <c r="SIU14" s="20"/>
      <c r="SIV14" s="20"/>
      <c r="SIW14" s="20"/>
      <c r="SIX14" s="20"/>
      <c r="SIY14" s="20"/>
      <c r="SIZ14" s="20"/>
      <c r="SJA14" s="20"/>
      <c r="SJB14" s="20"/>
      <c r="SJC14" s="20"/>
      <c r="SJD14" s="20"/>
      <c r="SJE14" s="20"/>
      <c r="SJF14" s="20"/>
      <c r="SJG14" s="20"/>
      <c r="SJH14" s="20"/>
      <c r="SJI14" s="20"/>
      <c r="SJJ14" s="20"/>
      <c r="SJK14" s="20"/>
      <c r="SJL14" s="20"/>
      <c r="SJM14" s="20"/>
      <c r="SJN14" s="20"/>
      <c r="SJO14" s="20"/>
      <c r="SJP14" s="20"/>
      <c r="SJQ14" s="20"/>
      <c r="SJR14" s="20"/>
      <c r="SJS14" s="20"/>
      <c r="SJT14" s="20"/>
      <c r="SJU14" s="20"/>
      <c r="SJV14" s="20"/>
      <c r="SJW14" s="20"/>
      <c r="SJX14" s="20"/>
      <c r="SJY14" s="20"/>
      <c r="SJZ14" s="20"/>
      <c r="SKA14" s="20"/>
      <c r="SKB14" s="20"/>
      <c r="SKC14" s="20"/>
      <c r="SKD14" s="20"/>
      <c r="SKE14" s="20"/>
      <c r="SKF14" s="20"/>
      <c r="SKG14" s="20"/>
      <c r="SKH14" s="20"/>
      <c r="SKI14" s="20"/>
      <c r="SKJ14" s="20"/>
      <c r="SKK14" s="20"/>
      <c r="SKL14" s="20"/>
      <c r="SKM14" s="20"/>
      <c r="SKN14" s="20"/>
      <c r="SKO14" s="20"/>
      <c r="SKP14" s="20"/>
      <c r="SKQ14" s="20"/>
      <c r="SKR14" s="20"/>
      <c r="SKS14" s="20"/>
      <c r="SKT14" s="20"/>
      <c r="SKU14" s="20"/>
      <c r="SKV14" s="20"/>
      <c r="SKW14" s="20"/>
      <c r="SKX14" s="20"/>
      <c r="SKY14" s="20"/>
      <c r="SKZ14" s="20"/>
      <c r="SLA14" s="20"/>
      <c r="SLB14" s="20"/>
      <c r="SLC14" s="20"/>
      <c r="SLD14" s="20"/>
      <c r="SLE14" s="20"/>
      <c r="SLF14" s="20"/>
      <c r="SLG14" s="20"/>
      <c r="SLH14" s="20"/>
      <c r="SLI14" s="20"/>
      <c r="SLJ14" s="20"/>
      <c r="SLK14" s="20"/>
      <c r="SLL14" s="20"/>
      <c r="SLM14" s="20"/>
      <c r="SLN14" s="20"/>
      <c r="SLO14" s="20"/>
      <c r="SLP14" s="20"/>
      <c r="SLQ14" s="20"/>
      <c r="SLR14" s="20"/>
      <c r="SLS14" s="20"/>
      <c r="SLT14" s="20"/>
      <c r="SLU14" s="20"/>
      <c r="SLV14" s="20"/>
      <c r="SLW14" s="20"/>
      <c r="SLX14" s="20"/>
      <c r="SLY14" s="20"/>
      <c r="SLZ14" s="20"/>
      <c r="SMA14" s="20"/>
      <c r="SMB14" s="20"/>
      <c r="SMC14" s="20"/>
      <c r="SMD14" s="20"/>
      <c r="SME14" s="20"/>
      <c r="SMF14" s="20"/>
      <c r="SMG14" s="20"/>
      <c r="SMH14" s="20"/>
      <c r="SMI14" s="20"/>
      <c r="SMJ14" s="20"/>
      <c r="SMK14" s="20"/>
      <c r="SML14" s="20"/>
      <c r="SMM14" s="20"/>
      <c r="SMN14" s="20"/>
      <c r="SMO14" s="20"/>
      <c r="SMP14" s="20"/>
      <c r="SMQ14" s="20"/>
      <c r="SMR14" s="20"/>
      <c r="SMS14" s="20"/>
      <c r="SMT14" s="20"/>
      <c r="SMU14" s="20"/>
      <c r="SMV14" s="20"/>
      <c r="SMW14" s="20"/>
      <c r="SMX14" s="20"/>
      <c r="SMY14" s="20"/>
      <c r="SMZ14" s="20"/>
      <c r="SNA14" s="20"/>
      <c r="SNB14" s="20"/>
      <c r="SNC14" s="20"/>
      <c r="SND14" s="20"/>
      <c r="SNE14" s="20"/>
      <c r="SNF14" s="20"/>
      <c r="SNG14" s="20"/>
      <c r="SNH14" s="20"/>
      <c r="SNI14" s="20"/>
      <c r="SNJ14" s="20"/>
      <c r="SNK14" s="20"/>
      <c r="SNL14" s="20"/>
      <c r="SNM14" s="20"/>
      <c r="SNN14" s="20"/>
      <c r="SNO14" s="20"/>
      <c r="SNP14" s="20"/>
      <c r="SNQ14" s="20"/>
      <c r="SNR14" s="20"/>
      <c r="SNS14" s="20"/>
      <c r="SNT14" s="20"/>
      <c r="SNU14" s="20"/>
      <c r="SNV14" s="20"/>
      <c r="SNW14" s="20"/>
      <c r="SNX14" s="20"/>
      <c r="SNY14" s="20"/>
      <c r="SNZ14" s="20"/>
      <c r="SOA14" s="20"/>
      <c r="SOB14" s="20"/>
      <c r="SOC14" s="20"/>
      <c r="SOD14" s="20"/>
      <c r="SOE14" s="20"/>
      <c r="SOF14" s="20"/>
      <c r="SOG14" s="20"/>
      <c r="SOH14" s="20"/>
      <c r="SOI14" s="20"/>
      <c r="SOJ14" s="20"/>
      <c r="SOK14" s="20"/>
      <c r="SOL14" s="20"/>
      <c r="SOM14" s="20"/>
      <c r="SON14" s="20"/>
      <c r="SOO14" s="20"/>
      <c r="SOP14" s="20"/>
      <c r="SOQ14" s="20"/>
      <c r="SOR14" s="20"/>
      <c r="SOS14" s="20"/>
      <c r="SOT14" s="20"/>
      <c r="SOU14" s="20"/>
      <c r="SOV14" s="20"/>
      <c r="SOW14" s="20"/>
      <c r="SOX14" s="20"/>
      <c r="SOY14" s="20"/>
      <c r="SOZ14" s="20"/>
      <c r="SPA14" s="20"/>
      <c r="SPB14" s="20"/>
      <c r="SPC14" s="20"/>
      <c r="SPD14" s="20"/>
      <c r="SPE14" s="20"/>
      <c r="SPF14" s="20"/>
      <c r="SPG14" s="20"/>
      <c r="SPH14" s="20"/>
      <c r="SPI14" s="20"/>
      <c r="SPJ14" s="20"/>
      <c r="SPK14" s="20"/>
      <c r="SPL14" s="20"/>
      <c r="SPM14" s="20"/>
      <c r="SPN14" s="20"/>
      <c r="SPO14" s="20"/>
      <c r="SPP14" s="20"/>
      <c r="SPQ14" s="20"/>
      <c r="SPR14" s="20"/>
      <c r="SPS14" s="20"/>
      <c r="SPT14" s="20"/>
      <c r="SPU14" s="20"/>
      <c r="SPV14" s="20"/>
      <c r="SPW14" s="20"/>
      <c r="SPX14" s="20"/>
      <c r="SPY14" s="20"/>
      <c r="SPZ14" s="20"/>
      <c r="SQA14" s="20"/>
      <c r="SQB14" s="20"/>
      <c r="SQC14" s="20"/>
      <c r="SQD14" s="20"/>
      <c r="SQE14" s="20"/>
      <c r="SQF14" s="20"/>
      <c r="SQG14" s="20"/>
      <c r="SQH14" s="20"/>
      <c r="SQI14" s="20"/>
      <c r="SQJ14" s="20"/>
      <c r="SQK14" s="20"/>
      <c r="SQL14" s="20"/>
      <c r="SQM14" s="20"/>
      <c r="SQN14" s="20"/>
      <c r="SQO14" s="20"/>
      <c r="SQP14" s="20"/>
      <c r="SQQ14" s="20"/>
      <c r="SQR14" s="20"/>
      <c r="SQS14" s="20"/>
      <c r="SQT14" s="20"/>
      <c r="SQU14" s="20"/>
      <c r="SQV14" s="20"/>
      <c r="SQW14" s="20"/>
      <c r="SQX14" s="20"/>
      <c r="SQY14" s="20"/>
      <c r="SQZ14" s="20"/>
      <c r="SRA14" s="20"/>
      <c r="SRB14" s="20"/>
      <c r="SRC14" s="20"/>
      <c r="SRD14" s="20"/>
      <c r="SRE14" s="20"/>
      <c r="SRF14" s="20"/>
      <c r="SRG14" s="20"/>
      <c r="SRH14" s="20"/>
      <c r="SRI14" s="20"/>
      <c r="SRJ14" s="20"/>
      <c r="SRK14" s="20"/>
      <c r="SRL14" s="20"/>
      <c r="SRM14" s="20"/>
      <c r="SRN14" s="20"/>
      <c r="SRO14" s="20"/>
      <c r="SRP14" s="20"/>
      <c r="SRQ14" s="20"/>
      <c r="SRR14" s="20"/>
      <c r="SRS14" s="20"/>
      <c r="SRT14" s="20"/>
      <c r="SRU14" s="20"/>
      <c r="SRV14" s="20"/>
      <c r="SRW14" s="20"/>
      <c r="SRX14" s="20"/>
      <c r="SRY14" s="20"/>
      <c r="SRZ14" s="20"/>
      <c r="SSA14" s="20"/>
      <c r="SSB14" s="20"/>
      <c r="SSC14" s="20"/>
      <c r="SSD14" s="20"/>
      <c r="SSE14" s="20"/>
      <c r="SSF14" s="20"/>
      <c r="SSG14" s="20"/>
      <c r="SSH14" s="20"/>
      <c r="SSI14" s="20"/>
      <c r="SSJ14" s="20"/>
      <c r="SSK14" s="20"/>
      <c r="SSL14" s="20"/>
      <c r="SSM14" s="20"/>
      <c r="SSN14" s="20"/>
      <c r="SSO14" s="20"/>
      <c r="SSP14" s="20"/>
      <c r="SSQ14" s="20"/>
      <c r="SSR14" s="20"/>
      <c r="SSS14" s="20"/>
      <c r="SST14" s="20"/>
      <c r="SSU14" s="20"/>
      <c r="SSV14" s="20"/>
      <c r="SSW14" s="20"/>
      <c r="SSX14" s="20"/>
      <c r="SSY14" s="20"/>
      <c r="SSZ14" s="20"/>
      <c r="STA14" s="20"/>
      <c r="STB14" s="20"/>
      <c r="STC14" s="20"/>
      <c r="STD14" s="20"/>
      <c r="STE14" s="20"/>
      <c r="STF14" s="20"/>
      <c r="STG14" s="20"/>
      <c r="STH14" s="20"/>
      <c r="STI14" s="20"/>
      <c r="STJ14" s="20"/>
      <c r="STK14" s="20"/>
      <c r="STL14" s="20"/>
      <c r="STM14" s="20"/>
      <c r="STN14" s="20"/>
      <c r="STO14" s="20"/>
      <c r="STP14" s="20"/>
      <c r="STQ14" s="20"/>
      <c r="STR14" s="20"/>
      <c r="STS14" s="20"/>
      <c r="STT14" s="20"/>
      <c r="STU14" s="20"/>
      <c r="STV14" s="20"/>
      <c r="STW14" s="20"/>
      <c r="STX14" s="20"/>
      <c r="STY14" s="20"/>
      <c r="STZ14" s="20"/>
      <c r="SUA14" s="20"/>
      <c r="SUB14" s="20"/>
      <c r="SUC14" s="20"/>
      <c r="SUD14" s="20"/>
      <c r="SUE14" s="20"/>
      <c r="SUF14" s="20"/>
      <c r="SUG14" s="20"/>
      <c r="SUH14" s="20"/>
      <c r="SUI14" s="20"/>
      <c r="SUJ14" s="20"/>
      <c r="SUK14" s="20"/>
      <c r="SUL14" s="20"/>
      <c r="SUM14" s="20"/>
      <c r="SUN14" s="20"/>
      <c r="SUO14" s="20"/>
      <c r="SUP14" s="20"/>
      <c r="SUQ14" s="20"/>
      <c r="SUR14" s="20"/>
      <c r="SUS14" s="20"/>
      <c r="SUT14" s="20"/>
      <c r="SUU14" s="20"/>
      <c r="SUV14" s="20"/>
      <c r="SUW14" s="20"/>
      <c r="SUX14" s="20"/>
      <c r="SUY14" s="20"/>
      <c r="SUZ14" s="20"/>
      <c r="SVA14" s="20"/>
      <c r="SVB14" s="20"/>
      <c r="SVC14" s="20"/>
      <c r="SVD14" s="20"/>
      <c r="SVE14" s="20"/>
      <c r="SVF14" s="20"/>
      <c r="SVG14" s="20"/>
      <c r="SVH14" s="20"/>
      <c r="SVI14" s="20"/>
      <c r="SVJ14" s="20"/>
      <c r="SVK14" s="20"/>
      <c r="SVL14" s="20"/>
      <c r="SVM14" s="20"/>
      <c r="SVN14" s="20"/>
      <c r="SVO14" s="20"/>
      <c r="SVP14" s="20"/>
      <c r="SVQ14" s="20"/>
      <c r="SVR14" s="20"/>
      <c r="SVS14" s="20"/>
      <c r="SVT14" s="20"/>
      <c r="SVU14" s="20"/>
      <c r="SVV14" s="20"/>
      <c r="SVW14" s="20"/>
      <c r="SVX14" s="20"/>
      <c r="SVY14" s="20"/>
      <c r="SVZ14" s="20"/>
      <c r="SWA14" s="20"/>
      <c r="SWB14" s="20"/>
      <c r="SWC14" s="20"/>
      <c r="SWD14" s="20"/>
      <c r="SWE14" s="20"/>
      <c r="SWF14" s="20"/>
      <c r="SWG14" s="20"/>
      <c r="SWH14" s="20"/>
      <c r="SWI14" s="20"/>
      <c r="SWJ14" s="20"/>
      <c r="SWK14" s="20"/>
      <c r="SWL14" s="20"/>
      <c r="SWM14" s="20"/>
      <c r="SWN14" s="20"/>
      <c r="SWO14" s="20"/>
      <c r="SWP14" s="20"/>
      <c r="SWQ14" s="20"/>
      <c r="SWR14" s="20"/>
      <c r="SWS14" s="20"/>
      <c r="SWT14" s="20"/>
      <c r="SWU14" s="20"/>
      <c r="SWV14" s="20"/>
      <c r="SWW14" s="20"/>
      <c r="SWX14" s="20"/>
      <c r="SWY14" s="20"/>
      <c r="SWZ14" s="20"/>
      <c r="SXA14" s="20"/>
      <c r="SXB14" s="20"/>
      <c r="SXC14" s="20"/>
      <c r="SXD14" s="20"/>
      <c r="SXE14" s="20"/>
      <c r="SXF14" s="20"/>
      <c r="SXG14" s="20"/>
      <c r="SXH14" s="20"/>
      <c r="SXI14" s="20"/>
      <c r="SXJ14" s="20"/>
      <c r="SXK14" s="20"/>
      <c r="SXL14" s="20"/>
      <c r="SXM14" s="20"/>
      <c r="SXN14" s="20"/>
      <c r="SXO14" s="20"/>
      <c r="SXP14" s="20"/>
      <c r="SXQ14" s="20"/>
      <c r="SXR14" s="20"/>
      <c r="SXS14" s="20"/>
      <c r="SXT14" s="20"/>
      <c r="SXU14" s="20"/>
      <c r="SXV14" s="20"/>
      <c r="SXW14" s="20"/>
      <c r="SXX14" s="20"/>
      <c r="SXY14" s="20"/>
      <c r="SXZ14" s="20"/>
      <c r="SYA14" s="20"/>
      <c r="SYB14" s="20"/>
      <c r="SYC14" s="20"/>
      <c r="SYD14" s="20"/>
      <c r="SYE14" s="20"/>
      <c r="SYF14" s="20"/>
      <c r="SYG14" s="20"/>
      <c r="SYH14" s="20"/>
      <c r="SYI14" s="20"/>
      <c r="SYJ14" s="20"/>
      <c r="SYK14" s="20"/>
      <c r="SYL14" s="20"/>
      <c r="SYM14" s="20"/>
      <c r="SYN14" s="20"/>
      <c r="SYO14" s="20"/>
      <c r="SYP14" s="20"/>
      <c r="SYQ14" s="20"/>
      <c r="SYR14" s="20"/>
      <c r="SYS14" s="20"/>
      <c r="SYT14" s="20"/>
      <c r="SYU14" s="20"/>
      <c r="SYV14" s="20"/>
      <c r="SYW14" s="20"/>
      <c r="SYX14" s="20"/>
      <c r="SYY14" s="20"/>
      <c r="SYZ14" s="20"/>
      <c r="SZA14" s="20"/>
      <c r="SZB14" s="20"/>
      <c r="SZC14" s="20"/>
      <c r="SZD14" s="20"/>
      <c r="SZE14" s="20"/>
      <c r="SZF14" s="20"/>
      <c r="SZG14" s="20"/>
      <c r="SZH14" s="20"/>
      <c r="SZI14" s="20"/>
      <c r="SZJ14" s="20"/>
      <c r="SZK14" s="20"/>
      <c r="SZL14" s="20"/>
      <c r="SZM14" s="20"/>
      <c r="SZN14" s="20"/>
      <c r="SZO14" s="20"/>
      <c r="SZP14" s="20"/>
      <c r="SZQ14" s="20"/>
      <c r="SZR14" s="20"/>
      <c r="SZS14" s="20"/>
      <c r="SZT14" s="20"/>
      <c r="SZU14" s="20"/>
      <c r="SZV14" s="20"/>
      <c r="SZW14" s="20"/>
      <c r="SZX14" s="20"/>
      <c r="SZY14" s="20"/>
      <c r="SZZ14" s="20"/>
      <c r="TAA14" s="20"/>
      <c r="TAB14" s="20"/>
      <c r="TAC14" s="20"/>
      <c r="TAD14" s="20"/>
      <c r="TAE14" s="20"/>
      <c r="TAF14" s="20"/>
      <c r="TAG14" s="20"/>
      <c r="TAH14" s="20"/>
      <c r="TAI14" s="20"/>
      <c r="TAJ14" s="20"/>
      <c r="TAK14" s="20"/>
      <c r="TAL14" s="20"/>
      <c r="TAM14" s="20"/>
      <c r="TAN14" s="20"/>
      <c r="TAO14" s="20"/>
      <c r="TAP14" s="20"/>
      <c r="TAQ14" s="20"/>
      <c r="TAR14" s="20"/>
      <c r="TAS14" s="20"/>
      <c r="TAT14" s="20"/>
      <c r="TAU14" s="20"/>
      <c r="TAV14" s="20"/>
      <c r="TAW14" s="20"/>
      <c r="TAX14" s="20"/>
      <c r="TAY14" s="20"/>
      <c r="TAZ14" s="20"/>
      <c r="TBA14" s="20"/>
      <c r="TBB14" s="20"/>
      <c r="TBC14" s="20"/>
      <c r="TBD14" s="20"/>
      <c r="TBE14" s="20"/>
      <c r="TBF14" s="20"/>
      <c r="TBG14" s="20"/>
      <c r="TBH14" s="20"/>
      <c r="TBI14" s="20"/>
      <c r="TBJ14" s="20"/>
      <c r="TBK14" s="20"/>
      <c r="TBL14" s="20"/>
      <c r="TBM14" s="20"/>
      <c r="TBN14" s="20"/>
      <c r="TBO14" s="20"/>
      <c r="TBP14" s="20"/>
      <c r="TBQ14" s="20"/>
      <c r="TBR14" s="20"/>
      <c r="TBS14" s="20"/>
      <c r="TBT14" s="20"/>
      <c r="TBU14" s="20"/>
      <c r="TBV14" s="20"/>
      <c r="TBW14" s="20"/>
      <c r="TBX14" s="20"/>
      <c r="TBY14" s="20"/>
      <c r="TBZ14" s="20"/>
      <c r="TCA14" s="20"/>
      <c r="TCB14" s="20"/>
      <c r="TCC14" s="20"/>
      <c r="TCD14" s="20"/>
      <c r="TCE14" s="20"/>
      <c r="TCF14" s="20"/>
      <c r="TCG14" s="20"/>
      <c r="TCH14" s="20"/>
      <c r="TCI14" s="20"/>
      <c r="TCJ14" s="20"/>
      <c r="TCK14" s="20"/>
      <c r="TCL14" s="20"/>
      <c r="TCM14" s="20"/>
      <c r="TCN14" s="20"/>
      <c r="TCO14" s="20"/>
      <c r="TCP14" s="20"/>
      <c r="TCQ14" s="20"/>
      <c r="TCR14" s="20"/>
      <c r="TCS14" s="20"/>
      <c r="TCT14" s="20"/>
      <c r="TCU14" s="20"/>
      <c r="TCV14" s="20"/>
      <c r="TCW14" s="20"/>
      <c r="TCX14" s="20"/>
      <c r="TCY14" s="20"/>
      <c r="TCZ14" s="20"/>
      <c r="TDA14" s="20"/>
      <c r="TDB14" s="20"/>
      <c r="TDC14" s="20"/>
      <c r="TDD14" s="20"/>
      <c r="TDE14" s="20"/>
      <c r="TDF14" s="20"/>
      <c r="TDG14" s="20"/>
      <c r="TDH14" s="20"/>
      <c r="TDI14" s="20"/>
      <c r="TDJ14" s="20"/>
      <c r="TDK14" s="20"/>
      <c r="TDL14" s="20"/>
      <c r="TDM14" s="20"/>
      <c r="TDN14" s="20"/>
      <c r="TDO14" s="20"/>
      <c r="TDP14" s="20"/>
      <c r="TDQ14" s="20"/>
      <c r="TDR14" s="20"/>
      <c r="TDS14" s="20"/>
      <c r="TDT14" s="20"/>
      <c r="TDU14" s="20"/>
      <c r="TDV14" s="20"/>
      <c r="TDW14" s="20"/>
      <c r="TDX14" s="20"/>
      <c r="TDY14" s="20"/>
      <c r="TDZ14" s="20"/>
      <c r="TEA14" s="20"/>
      <c r="TEB14" s="20"/>
      <c r="TEC14" s="20"/>
      <c r="TED14" s="20"/>
      <c r="TEE14" s="20"/>
      <c r="TEF14" s="20"/>
      <c r="TEG14" s="20"/>
      <c r="TEH14" s="20"/>
      <c r="TEI14" s="20"/>
      <c r="TEJ14" s="20"/>
      <c r="TEK14" s="20"/>
      <c r="TEL14" s="20"/>
      <c r="TEM14" s="20"/>
      <c r="TEN14" s="20"/>
      <c r="TEO14" s="20"/>
      <c r="TEP14" s="20"/>
      <c r="TEQ14" s="20"/>
      <c r="TER14" s="20"/>
      <c r="TES14" s="20"/>
      <c r="TET14" s="20"/>
      <c r="TEU14" s="20"/>
      <c r="TEV14" s="20"/>
      <c r="TEW14" s="20"/>
      <c r="TEX14" s="20"/>
      <c r="TEY14" s="20"/>
      <c r="TEZ14" s="20"/>
      <c r="TFA14" s="20"/>
      <c r="TFB14" s="20"/>
      <c r="TFC14" s="20"/>
      <c r="TFD14" s="20"/>
      <c r="TFE14" s="20"/>
      <c r="TFF14" s="20"/>
      <c r="TFG14" s="20"/>
      <c r="TFH14" s="20"/>
      <c r="TFI14" s="20"/>
      <c r="TFJ14" s="20"/>
      <c r="TFK14" s="20"/>
      <c r="TFL14" s="20"/>
      <c r="TFM14" s="20"/>
      <c r="TFN14" s="20"/>
      <c r="TFO14" s="20"/>
      <c r="TFP14" s="20"/>
      <c r="TFQ14" s="20"/>
      <c r="TFR14" s="20"/>
      <c r="TFS14" s="20"/>
      <c r="TFT14" s="20"/>
      <c r="TFU14" s="20"/>
      <c r="TFV14" s="20"/>
      <c r="TFW14" s="20"/>
      <c r="TFX14" s="20"/>
      <c r="TFY14" s="20"/>
      <c r="TFZ14" s="20"/>
      <c r="TGA14" s="20"/>
      <c r="TGB14" s="20"/>
      <c r="TGC14" s="20"/>
      <c r="TGD14" s="20"/>
      <c r="TGE14" s="20"/>
      <c r="TGF14" s="20"/>
      <c r="TGG14" s="20"/>
      <c r="TGH14" s="20"/>
      <c r="TGI14" s="20"/>
      <c r="TGJ14" s="20"/>
      <c r="TGK14" s="20"/>
      <c r="TGL14" s="20"/>
      <c r="TGM14" s="20"/>
      <c r="TGN14" s="20"/>
      <c r="TGO14" s="20"/>
      <c r="TGP14" s="20"/>
      <c r="TGQ14" s="20"/>
      <c r="TGR14" s="20"/>
      <c r="TGS14" s="20"/>
      <c r="TGT14" s="20"/>
      <c r="TGU14" s="20"/>
      <c r="TGV14" s="20"/>
      <c r="TGW14" s="20"/>
      <c r="TGX14" s="20"/>
      <c r="TGY14" s="20"/>
      <c r="TGZ14" s="20"/>
      <c r="THA14" s="20"/>
      <c r="THB14" s="20"/>
      <c r="THC14" s="20"/>
      <c r="THD14" s="20"/>
      <c r="THE14" s="20"/>
      <c r="THF14" s="20"/>
      <c r="THG14" s="20"/>
      <c r="THH14" s="20"/>
      <c r="THI14" s="20"/>
      <c r="THJ14" s="20"/>
      <c r="THK14" s="20"/>
      <c r="THL14" s="20"/>
      <c r="THM14" s="20"/>
      <c r="THN14" s="20"/>
      <c r="THO14" s="20"/>
      <c r="THP14" s="20"/>
      <c r="THQ14" s="20"/>
      <c r="THR14" s="20"/>
      <c r="THS14" s="20"/>
      <c r="THT14" s="20"/>
      <c r="THU14" s="20"/>
      <c r="THV14" s="20"/>
      <c r="THW14" s="20"/>
      <c r="THX14" s="20"/>
      <c r="THY14" s="20"/>
      <c r="THZ14" s="20"/>
      <c r="TIA14" s="20"/>
      <c r="TIB14" s="20"/>
      <c r="TIC14" s="20"/>
      <c r="TID14" s="20"/>
      <c r="TIE14" s="20"/>
      <c r="TIF14" s="20"/>
      <c r="TIG14" s="20"/>
      <c r="TIH14" s="20"/>
      <c r="TII14" s="20"/>
      <c r="TIJ14" s="20"/>
      <c r="TIK14" s="20"/>
      <c r="TIL14" s="20"/>
      <c r="TIM14" s="20"/>
      <c r="TIN14" s="20"/>
      <c r="TIO14" s="20"/>
      <c r="TIP14" s="20"/>
      <c r="TIQ14" s="20"/>
      <c r="TIR14" s="20"/>
      <c r="TIS14" s="20"/>
      <c r="TIT14" s="20"/>
      <c r="TIU14" s="20"/>
      <c r="TIV14" s="20"/>
      <c r="TIW14" s="20"/>
      <c r="TIX14" s="20"/>
      <c r="TIY14" s="20"/>
      <c r="TIZ14" s="20"/>
      <c r="TJA14" s="20"/>
      <c r="TJB14" s="20"/>
      <c r="TJC14" s="20"/>
      <c r="TJD14" s="20"/>
      <c r="TJE14" s="20"/>
      <c r="TJF14" s="20"/>
      <c r="TJG14" s="20"/>
      <c r="TJH14" s="20"/>
      <c r="TJI14" s="20"/>
      <c r="TJJ14" s="20"/>
      <c r="TJK14" s="20"/>
      <c r="TJL14" s="20"/>
      <c r="TJM14" s="20"/>
      <c r="TJN14" s="20"/>
      <c r="TJO14" s="20"/>
      <c r="TJP14" s="20"/>
      <c r="TJQ14" s="20"/>
      <c r="TJR14" s="20"/>
      <c r="TJS14" s="20"/>
      <c r="TJT14" s="20"/>
      <c r="TJU14" s="20"/>
      <c r="TJV14" s="20"/>
      <c r="TJW14" s="20"/>
      <c r="TJX14" s="20"/>
      <c r="TJY14" s="20"/>
      <c r="TJZ14" s="20"/>
      <c r="TKA14" s="20"/>
      <c r="TKB14" s="20"/>
      <c r="TKC14" s="20"/>
      <c r="TKD14" s="20"/>
      <c r="TKE14" s="20"/>
      <c r="TKF14" s="20"/>
      <c r="TKG14" s="20"/>
      <c r="TKH14" s="20"/>
      <c r="TKI14" s="20"/>
      <c r="TKJ14" s="20"/>
      <c r="TKK14" s="20"/>
      <c r="TKL14" s="20"/>
      <c r="TKM14" s="20"/>
      <c r="TKN14" s="20"/>
      <c r="TKO14" s="20"/>
      <c r="TKP14" s="20"/>
      <c r="TKQ14" s="20"/>
      <c r="TKR14" s="20"/>
      <c r="TKS14" s="20"/>
      <c r="TKT14" s="20"/>
      <c r="TKU14" s="20"/>
      <c r="TKV14" s="20"/>
      <c r="TKW14" s="20"/>
      <c r="TKX14" s="20"/>
      <c r="TKY14" s="20"/>
      <c r="TKZ14" s="20"/>
      <c r="TLA14" s="20"/>
      <c r="TLB14" s="20"/>
      <c r="TLC14" s="20"/>
      <c r="TLD14" s="20"/>
      <c r="TLE14" s="20"/>
      <c r="TLF14" s="20"/>
      <c r="TLG14" s="20"/>
      <c r="TLH14" s="20"/>
      <c r="TLI14" s="20"/>
      <c r="TLJ14" s="20"/>
      <c r="TLK14" s="20"/>
      <c r="TLL14" s="20"/>
      <c r="TLM14" s="20"/>
      <c r="TLN14" s="20"/>
      <c r="TLO14" s="20"/>
      <c r="TLP14" s="20"/>
      <c r="TLQ14" s="20"/>
      <c r="TLR14" s="20"/>
      <c r="TLS14" s="20"/>
      <c r="TLT14" s="20"/>
      <c r="TLU14" s="20"/>
      <c r="TLV14" s="20"/>
      <c r="TLW14" s="20"/>
      <c r="TLX14" s="20"/>
      <c r="TLY14" s="20"/>
      <c r="TLZ14" s="20"/>
      <c r="TMA14" s="20"/>
      <c r="TMB14" s="20"/>
      <c r="TMC14" s="20"/>
      <c r="TMD14" s="20"/>
      <c r="TME14" s="20"/>
      <c r="TMF14" s="20"/>
      <c r="TMG14" s="20"/>
      <c r="TMH14" s="20"/>
      <c r="TMI14" s="20"/>
      <c r="TMJ14" s="20"/>
      <c r="TMK14" s="20"/>
      <c r="TML14" s="20"/>
      <c r="TMM14" s="20"/>
      <c r="TMN14" s="20"/>
      <c r="TMO14" s="20"/>
      <c r="TMP14" s="20"/>
      <c r="TMQ14" s="20"/>
      <c r="TMR14" s="20"/>
      <c r="TMS14" s="20"/>
      <c r="TMT14" s="20"/>
      <c r="TMU14" s="20"/>
      <c r="TMV14" s="20"/>
      <c r="TMW14" s="20"/>
      <c r="TMX14" s="20"/>
      <c r="TMY14" s="20"/>
      <c r="TMZ14" s="20"/>
      <c r="TNA14" s="20"/>
      <c r="TNB14" s="20"/>
      <c r="TNC14" s="20"/>
      <c r="TND14" s="20"/>
      <c r="TNE14" s="20"/>
      <c r="TNF14" s="20"/>
      <c r="TNG14" s="20"/>
      <c r="TNH14" s="20"/>
      <c r="TNI14" s="20"/>
      <c r="TNJ14" s="20"/>
      <c r="TNK14" s="20"/>
      <c r="TNL14" s="20"/>
      <c r="TNM14" s="20"/>
      <c r="TNN14" s="20"/>
      <c r="TNO14" s="20"/>
      <c r="TNP14" s="20"/>
      <c r="TNQ14" s="20"/>
      <c r="TNR14" s="20"/>
      <c r="TNS14" s="20"/>
      <c r="TNT14" s="20"/>
      <c r="TNU14" s="20"/>
      <c r="TNV14" s="20"/>
      <c r="TNW14" s="20"/>
      <c r="TNX14" s="20"/>
      <c r="TNY14" s="20"/>
      <c r="TNZ14" s="20"/>
      <c r="TOA14" s="20"/>
      <c r="TOB14" s="20"/>
      <c r="TOC14" s="20"/>
      <c r="TOD14" s="20"/>
      <c r="TOE14" s="20"/>
      <c r="TOF14" s="20"/>
      <c r="TOG14" s="20"/>
      <c r="TOH14" s="20"/>
      <c r="TOI14" s="20"/>
      <c r="TOJ14" s="20"/>
      <c r="TOK14" s="20"/>
      <c r="TOL14" s="20"/>
      <c r="TOM14" s="20"/>
      <c r="TON14" s="20"/>
      <c r="TOO14" s="20"/>
      <c r="TOP14" s="20"/>
      <c r="TOQ14" s="20"/>
      <c r="TOR14" s="20"/>
      <c r="TOS14" s="20"/>
      <c r="TOT14" s="20"/>
      <c r="TOU14" s="20"/>
      <c r="TOV14" s="20"/>
      <c r="TOW14" s="20"/>
      <c r="TOX14" s="20"/>
      <c r="TOY14" s="20"/>
      <c r="TOZ14" s="20"/>
      <c r="TPA14" s="20"/>
      <c r="TPB14" s="20"/>
      <c r="TPC14" s="20"/>
      <c r="TPD14" s="20"/>
      <c r="TPE14" s="20"/>
      <c r="TPF14" s="20"/>
      <c r="TPG14" s="20"/>
      <c r="TPH14" s="20"/>
      <c r="TPI14" s="20"/>
      <c r="TPJ14" s="20"/>
      <c r="TPK14" s="20"/>
      <c r="TPL14" s="20"/>
      <c r="TPM14" s="20"/>
      <c r="TPN14" s="20"/>
      <c r="TPO14" s="20"/>
      <c r="TPP14" s="20"/>
      <c r="TPQ14" s="20"/>
      <c r="TPR14" s="20"/>
      <c r="TPS14" s="20"/>
      <c r="TPT14" s="20"/>
      <c r="TPU14" s="20"/>
      <c r="TPV14" s="20"/>
      <c r="TPW14" s="20"/>
      <c r="TPX14" s="20"/>
      <c r="TPY14" s="20"/>
      <c r="TPZ14" s="20"/>
      <c r="TQA14" s="20"/>
      <c r="TQB14" s="20"/>
      <c r="TQC14" s="20"/>
      <c r="TQD14" s="20"/>
      <c r="TQE14" s="20"/>
      <c r="TQF14" s="20"/>
      <c r="TQG14" s="20"/>
      <c r="TQH14" s="20"/>
      <c r="TQI14" s="20"/>
      <c r="TQJ14" s="20"/>
      <c r="TQK14" s="20"/>
      <c r="TQL14" s="20"/>
      <c r="TQM14" s="20"/>
      <c r="TQN14" s="20"/>
      <c r="TQO14" s="20"/>
      <c r="TQP14" s="20"/>
      <c r="TQQ14" s="20"/>
      <c r="TQR14" s="20"/>
      <c r="TQS14" s="20"/>
      <c r="TQT14" s="20"/>
      <c r="TQU14" s="20"/>
      <c r="TQV14" s="20"/>
      <c r="TQW14" s="20"/>
      <c r="TQX14" s="20"/>
      <c r="TQY14" s="20"/>
      <c r="TQZ14" s="20"/>
      <c r="TRA14" s="20"/>
      <c r="TRB14" s="20"/>
      <c r="TRC14" s="20"/>
      <c r="TRD14" s="20"/>
      <c r="TRE14" s="20"/>
      <c r="TRF14" s="20"/>
      <c r="TRG14" s="20"/>
      <c r="TRH14" s="20"/>
      <c r="TRI14" s="20"/>
      <c r="TRJ14" s="20"/>
      <c r="TRK14" s="20"/>
      <c r="TRL14" s="20"/>
      <c r="TRM14" s="20"/>
      <c r="TRN14" s="20"/>
      <c r="TRO14" s="20"/>
      <c r="TRP14" s="20"/>
      <c r="TRQ14" s="20"/>
      <c r="TRR14" s="20"/>
      <c r="TRS14" s="20"/>
      <c r="TRT14" s="20"/>
      <c r="TRU14" s="20"/>
      <c r="TRV14" s="20"/>
      <c r="TRW14" s="20"/>
      <c r="TRX14" s="20"/>
      <c r="TRY14" s="20"/>
      <c r="TRZ14" s="20"/>
      <c r="TSA14" s="20"/>
      <c r="TSB14" s="20"/>
      <c r="TSC14" s="20"/>
      <c r="TSD14" s="20"/>
      <c r="TSE14" s="20"/>
      <c r="TSF14" s="20"/>
      <c r="TSG14" s="20"/>
      <c r="TSH14" s="20"/>
      <c r="TSI14" s="20"/>
      <c r="TSJ14" s="20"/>
      <c r="TSK14" s="20"/>
      <c r="TSL14" s="20"/>
      <c r="TSM14" s="20"/>
      <c r="TSN14" s="20"/>
      <c r="TSO14" s="20"/>
      <c r="TSP14" s="20"/>
      <c r="TSQ14" s="20"/>
      <c r="TSR14" s="20"/>
      <c r="TSS14" s="20"/>
      <c r="TST14" s="20"/>
      <c r="TSU14" s="20"/>
      <c r="TSV14" s="20"/>
      <c r="TSW14" s="20"/>
      <c r="TSX14" s="20"/>
      <c r="TSY14" s="20"/>
      <c r="TSZ14" s="20"/>
      <c r="TTA14" s="20"/>
      <c r="TTB14" s="20"/>
      <c r="TTC14" s="20"/>
      <c r="TTD14" s="20"/>
      <c r="TTE14" s="20"/>
      <c r="TTF14" s="20"/>
      <c r="TTG14" s="20"/>
      <c r="TTH14" s="20"/>
      <c r="TTI14" s="20"/>
      <c r="TTJ14" s="20"/>
      <c r="TTK14" s="20"/>
      <c r="TTL14" s="20"/>
      <c r="TTM14" s="20"/>
      <c r="TTN14" s="20"/>
      <c r="TTO14" s="20"/>
      <c r="TTP14" s="20"/>
      <c r="TTQ14" s="20"/>
      <c r="TTR14" s="20"/>
      <c r="TTS14" s="20"/>
      <c r="TTT14" s="20"/>
      <c r="TTU14" s="20"/>
      <c r="TTV14" s="20"/>
      <c r="TTW14" s="20"/>
      <c r="TTX14" s="20"/>
      <c r="TTY14" s="20"/>
      <c r="TTZ14" s="20"/>
      <c r="TUA14" s="20"/>
      <c r="TUB14" s="20"/>
      <c r="TUC14" s="20"/>
      <c r="TUD14" s="20"/>
      <c r="TUE14" s="20"/>
      <c r="TUF14" s="20"/>
      <c r="TUG14" s="20"/>
      <c r="TUH14" s="20"/>
      <c r="TUI14" s="20"/>
      <c r="TUJ14" s="20"/>
      <c r="TUK14" s="20"/>
      <c r="TUL14" s="20"/>
      <c r="TUM14" s="20"/>
      <c r="TUN14" s="20"/>
      <c r="TUO14" s="20"/>
      <c r="TUP14" s="20"/>
      <c r="TUQ14" s="20"/>
      <c r="TUR14" s="20"/>
      <c r="TUS14" s="20"/>
      <c r="TUT14" s="20"/>
      <c r="TUU14" s="20"/>
      <c r="TUV14" s="20"/>
      <c r="TUW14" s="20"/>
      <c r="TUX14" s="20"/>
      <c r="TUY14" s="20"/>
      <c r="TUZ14" s="20"/>
      <c r="TVA14" s="20"/>
      <c r="TVB14" s="20"/>
      <c r="TVC14" s="20"/>
      <c r="TVD14" s="20"/>
      <c r="TVE14" s="20"/>
      <c r="TVF14" s="20"/>
      <c r="TVG14" s="20"/>
      <c r="TVH14" s="20"/>
      <c r="TVI14" s="20"/>
      <c r="TVJ14" s="20"/>
      <c r="TVK14" s="20"/>
      <c r="TVL14" s="20"/>
      <c r="TVM14" s="20"/>
      <c r="TVN14" s="20"/>
      <c r="TVO14" s="20"/>
      <c r="TVP14" s="20"/>
      <c r="TVQ14" s="20"/>
      <c r="TVR14" s="20"/>
      <c r="TVS14" s="20"/>
      <c r="TVT14" s="20"/>
      <c r="TVU14" s="20"/>
      <c r="TVV14" s="20"/>
      <c r="TVW14" s="20"/>
      <c r="TVX14" s="20"/>
      <c r="TVY14" s="20"/>
      <c r="TVZ14" s="20"/>
      <c r="TWA14" s="20"/>
      <c r="TWB14" s="20"/>
      <c r="TWC14" s="20"/>
      <c r="TWD14" s="20"/>
      <c r="TWE14" s="20"/>
      <c r="TWF14" s="20"/>
      <c r="TWG14" s="20"/>
      <c r="TWH14" s="20"/>
      <c r="TWI14" s="20"/>
      <c r="TWJ14" s="20"/>
      <c r="TWK14" s="20"/>
      <c r="TWL14" s="20"/>
      <c r="TWM14" s="20"/>
      <c r="TWN14" s="20"/>
      <c r="TWO14" s="20"/>
      <c r="TWP14" s="20"/>
      <c r="TWQ14" s="20"/>
      <c r="TWR14" s="20"/>
      <c r="TWS14" s="20"/>
      <c r="TWT14" s="20"/>
      <c r="TWU14" s="20"/>
      <c r="TWV14" s="20"/>
      <c r="TWW14" s="20"/>
      <c r="TWX14" s="20"/>
      <c r="TWY14" s="20"/>
      <c r="TWZ14" s="20"/>
      <c r="TXA14" s="20"/>
      <c r="TXB14" s="20"/>
      <c r="TXC14" s="20"/>
      <c r="TXD14" s="20"/>
      <c r="TXE14" s="20"/>
      <c r="TXF14" s="20"/>
      <c r="TXG14" s="20"/>
      <c r="TXH14" s="20"/>
      <c r="TXI14" s="20"/>
      <c r="TXJ14" s="20"/>
      <c r="TXK14" s="20"/>
      <c r="TXL14" s="20"/>
      <c r="TXM14" s="20"/>
      <c r="TXN14" s="20"/>
      <c r="TXO14" s="20"/>
      <c r="TXP14" s="20"/>
      <c r="TXQ14" s="20"/>
      <c r="TXR14" s="20"/>
      <c r="TXS14" s="20"/>
      <c r="TXT14" s="20"/>
      <c r="TXU14" s="20"/>
      <c r="TXV14" s="20"/>
      <c r="TXW14" s="20"/>
      <c r="TXX14" s="20"/>
      <c r="TXY14" s="20"/>
      <c r="TXZ14" s="20"/>
      <c r="TYA14" s="20"/>
      <c r="TYB14" s="20"/>
      <c r="TYC14" s="20"/>
      <c r="TYD14" s="20"/>
      <c r="TYE14" s="20"/>
      <c r="TYF14" s="20"/>
      <c r="TYG14" s="20"/>
      <c r="TYH14" s="20"/>
      <c r="TYI14" s="20"/>
      <c r="TYJ14" s="20"/>
      <c r="TYK14" s="20"/>
      <c r="TYL14" s="20"/>
      <c r="TYM14" s="20"/>
      <c r="TYN14" s="20"/>
      <c r="TYO14" s="20"/>
      <c r="TYP14" s="20"/>
      <c r="TYQ14" s="20"/>
      <c r="TYR14" s="20"/>
      <c r="TYS14" s="20"/>
      <c r="TYT14" s="20"/>
      <c r="TYU14" s="20"/>
      <c r="TYV14" s="20"/>
      <c r="TYW14" s="20"/>
      <c r="TYX14" s="20"/>
      <c r="TYY14" s="20"/>
      <c r="TYZ14" s="20"/>
      <c r="TZA14" s="20"/>
      <c r="TZB14" s="20"/>
      <c r="TZC14" s="20"/>
      <c r="TZD14" s="20"/>
      <c r="TZE14" s="20"/>
      <c r="TZF14" s="20"/>
      <c r="TZG14" s="20"/>
      <c r="TZH14" s="20"/>
      <c r="TZI14" s="20"/>
      <c r="TZJ14" s="20"/>
      <c r="TZK14" s="20"/>
      <c r="TZL14" s="20"/>
      <c r="TZM14" s="20"/>
      <c r="TZN14" s="20"/>
      <c r="TZO14" s="20"/>
      <c r="TZP14" s="20"/>
      <c r="TZQ14" s="20"/>
      <c r="TZR14" s="20"/>
      <c r="TZS14" s="20"/>
      <c r="TZT14" s="20"/>
      <c r="TZU14" s="20"/>
      <c r="TZV14" s="20"/>
      <c r="TZW14" s="20"/>
      <c r="TZX14" s="20"/>
      <c r="TZY14" s="20"/>
      <c r="TZZ14" s="20"/>
      <c r="UAA14" s="20"/>
      <c r="UAB14" s="20"/>
      <c r="UAC14" s="20"/>
      <c r="UAD14" s="20"/>
      <c r="UAE14" s="20"/>
      <c r="UAF14" s="20"/>
      <c r="UAG14" s="20"/>
      <c r="UAH14" s="20"/>
      <c r="UAI14" s="20"/>
      <c r="UAJ14" s="20"/>
      <c r="UAK14" s="20"/>
      <c r="UAL14" s="20"/>
      <c r="UAM14" s="20"/>
      <c r="UAN14" s="20"/>
      <c r="UAO14" s="20"/>
      <c r="UAP14" s="20"/>
      <c r="UAQ14" s="20"/>
      <c r="UAR14" s="20"/>
      <c r="UAS14" s="20"/>
      <c r="UAT14" s="20"/>
      <c r="UAU14" s="20"/>
      <c r="UAV14" s="20"/>
      <c r="UAW14" s="20"/>
      <c r="UAX14" s="20"/>
      <c r="UAY14" s="20"/>
      <c r="UAZ14" s="20"/>
      <c r="UBA14" s="20"/>
      <c r="UBB14" s="20"/>
      <c r="UBC14" s="20"/>
      <c r="UBD14" s="20"/>
      <c r="UBE14" s="20"/>
      <c r="UBF14" s="20"/>
      <c r="UBG14" s="20"/>
      <c r="UBH14" s="20"/>
      <c r="UBI14" s="20"/>
      <c r="UBJ14" s="20"/>
      <c r="UBK14" s="20"/>
      <c r="UBL14" s="20"/>
      <c r="UBM14" s="20"/>
      <c r="UBN14" s="20"/>
      <c r="UBO14" s="20"/>
      <c r="UBP14" s="20"/>
      <c r="UBQ14" s="20"/>
      <c r="UBR14" s="20"/>
      <c r="UBS14" s="20"/>
      <c r="UBT14" s="20"/>
      <c r="UBU14" s="20"/>
      <c r="UBV14" s="20"/>
      <c r="UBW14" s="20"/>
      <c r="UBX14" s="20"/>
      <c r="UBY14" s="20"/>
      <c r="UBZ14" s="20"/>
      <c r="UCA14" s="20"/>
      <c r="UCB14" s="20"/>
      <c r="UCC14" s="20"/>
      <c r="UCD14" s="20"/>
      <c r="UCE14" s="20"/>
      <c r="UCF14" s="20"/>
      <c r="UCG14" s="20"/>
      <c r="UCH14" s="20"/>
      <c r="UCI14" s="20"/>
      <c r="UCJ14" s="20"/>
      <c r="UCK14" s="20"/>
      <c r="UCL14" s="20"/>
      <c r="UCM14" s="20"/>
      <c r="UCN14" s="20"/>
      <c r="UCO14" s="20"/>
      <c r="UCP14" s="20"/>
      <c r="UCQ14" s="20"/>
      <c r="UCR14" s="20"/>
      <c r="UCS14" s="20"/>
      <c r="UCT14" s="20"/>
      <c r="UCU14" s="20"/>
      <c r="UCV14" s="20"/>
      <c r="UCW14" s="20"/>
      <c r="UCX14" s="20"/>
      <c r="UCY14" s="20"/>
      <c r="UCZ14" s="20"/>
      <c r="UDA14" s="20"/>
      <c r="UDB14" s="20"/>
      <c r="UDC14" s="20"/>
      <c r="UDD14" s="20"/>
      <c r="UDE14" s="20"/>
      <c r="UDF14" s="20"/>
      <c r="UDG14" s="20"/>
      <c r="UDH14" s="20"/>
      <c r="UDI14" s="20"/>
      <c r="UDJ14" s="20"/>
      <c r="UDK14" s="20"/>
      <c r="UDL14" s="20"/>
      <c r="UDM14" s="20"/>
      <c r="UDN14" s="20"/>
      <c r="UDO14" s="20"/>
      <c r="UDP14" s="20"/>
      <c r="UDQ14" s="20"/>
      <c r="UDR14" s="20"/>
      <c r="UDS14" s="20"/>
      <c r="UDT14" s="20"/>
      <c r="UDU14" s="20"/>
      <c r="UDV14" s="20"/>
      <c r="UDW14" s="20"/>
      <c r="UDX14" s="20"/>
      <c r="UDY14" s="20"/>
      <c r="UDZ14" s="20"/>
      <c r="UEA14" s="20"/>
      <c r="UEB14" s="20"/>
      <c r="UEC14" s="20"/>
      <c r="UED14" s="20"/>
      <c r="UEE14" s="20"/>
      <c r="UEF14" s="20"/>
      <c r="UEG14" s="20"/>
      <c r="UEH14" s="20"/>
      <c r="UEI14" s="20"/>
      <c r="UEJ14" s="20"/>
      <c r="UEK14" s="20"/>
      <c r="UEL14" s="20"/>
      <c r="UEM14" s="20"/>
      <c r="UEN14" s="20"/>
      <c r="UEO14" s="20"/>
      <c r="UEP14" s="20"/>
      <c r="UEQ14" s="20"/>
      <c r="UER14" s="20"/>
      <c r="UES14" s="20"/>
      <c r="UET14" s="20"/>
      <c r="UEU14" s="20"/>
      <c r="UEV14" s="20"/>
      <c r="UEW14" s="20"/>
      <c r="UEX14" s="20"/>
      <c r="UEY14" s="20"/>
      <c r="UEZ14" s="20"/>
      <c r="UFA14" s="20"/>
      <c r="UFB14" s="20"/>
      <c r="UFC14" s="20"/>
      <c r="UFD14" s="20"/>
      <c r="UFE14" s="20"/>
      <c r="UFF14" s="20"/>
      <c r="UFG14" s="20"/>
      <c r="UFH14" s="20"/>
      <c r="UFI14" s="20"/>
      <c r="UFJ14" s="20"/>
      <c r="UFK14" s="20"/>
      <c r="UFL14" s="20"/>
      <c r="UFM14" s="20"/>
      <c r="UFN14" s="20"/>
      <c r="UFO14" s="20"/>
      <c r="UFP14" s="20"/>
      <c r="UFQ14" s="20"/>
      <c r="UFR14" s="20"/>
      <c r="UFS14" s="20"/>
      <c r="UFT14" s="20"/>
      <c r="UFU14" s="20"/>
      <c r="UFV14" s="20"/>
      <c r="UFW14" s="20"/>
      <c r="UFX14" s="20"/>
      <c r="UFY14" s="20"/>
      <c r="UFZ14" s="20"/>
      <c r="UGA14" s="20"/>
      <c r="UGB14" s="20"/>
      <c r="UGC14" s="20"/>
      <c r="UGD14" s="20"/>
      <c r="UGE14" s="20"/>
      <c r="UGF14" s="20"/>
      <c r="UGG14" s="20"/>
      <c r="UGH14" s="20"/>
      <c r="UGI14" s="20"/>
      <c r="UGJ14" s="20"/>
      <c r="UGK14" s="20"/>
      <c r="UGL14" s="20"/>
      <c r="UGM14" s="20"/>
      <c r="UGN14" s="20"/>
      <c r="UGO14" s="20"/>
      <c r="UGP14" s="20"/>
      <c r="UGQ14" s="20"/>
      <c r="UGR14" s="20"/>
      <c r="UGS14" s="20"/>
      <c r="UGT14" s="20"/>
      <c r="UGU14" s="20"/>
      <c r="UGV14" s="20"/>
      <c r="UGW14" s="20"/>
      <c r="UGX14" s="20"/>
      <c r="UGY14" s="20"/>
      <c r="UGZ14" s="20"/>
      <c r="UHA14" s="20"/>
      <c r="UHB14" s="20"/>
      <c r="UHC14" s="20"/>
      <c r="UHD14" s="20"/>
      <c r="UHE14" s="20"/>
      <c r="UHF14" s="20"/>
      <c r="UHG14" s="20"/>
      <c r="UHH14" s="20"/>
      <c r="UHI14" s="20"/>
      <c r="UHJ14" s="20"/>
      <c r="UHK14" s="20"/>
      <c r="UHL14" s="20"/>
      <c r="UHM14" s="20"/>
      <c r="UHN14" s="20"/>
      <c r="UHO14" s="20"/>
      <c r="UHP14" s="20"/>
      <c r="UHQ14" s="20"/>
      <c r="UHR14" s="20"/>
      <c r="UHS14" s="20"/>
      <c r="UHT14" s="20"/>
      <c r="UHU14" s="20"/>
      <c r="UHV14" s="20"/>
      <c r="UHW14" s="20"/>
      <c r="UHX14" s="20"/>
      <c r="UHY14" s="20"/>
      <c r="UHZ14" s="20"/>
      <c r="UIA14" s="20"/>
      <c r="UIB14" s="20"/>
      <c r="UIC14" s="20"/>
      <c r="UID14" s="20"/>
      <c r="UIE14" s="20"/>
      <c r="UIF14" s="20"/>
      <c r="UIG14" s="20"/>
      <c r="UIH14" s="20"/>
      <c r="UII14" s="20"/>
      <c r="UIJ14" s="20"/>
      <c r="UIK14" s="20"/>
      <c r="UIL14" s="20"/>
      <c r="UIM14" s="20"/>
      <c r="UIN14" s="20"/>
      <c r="UIO14" s="20"/>
      <c r="UIP14" s="20"/>
      <c r="UIQ14" s="20"/>
      <c r="UIR14" s="20"/>
      <c r="UIS14" s="20"/>
      <c r="UIT14" s="20"/>
      <c r="UIU14" s="20"/>
      <c r="UIV14" s="20"/>
      <c r="UIW14" s="20"/>
      <c r="UIX14" s="20"/>
      <c r="UIY14" s="20"/>
      <c r="UIZ14" s="20"/>
      <c r="UJA14" s="20"/>
      <c r="UJB14" s="20"/>
      <c r="UJC14" s="20"/>
      <c r="UJD14" s="20"/>
      <c r="UJE14" s="20"/>
      <c r="UJF14" s="20"/>
      <c r="UJG14" s="20"/>
      <c r="UJH14" s="20"/>
      <c r="UJI14" s="20"/>
      <c r="UJJ14" s="20"/>
      <c r="UJK14" s="20"/>
      <c r="UJL14" s="20"/>
      <c r="UJM14" s="20"/>
      <c r="UJN14" s="20"/>
      <c r="UJO14" s="20"/>
      <c r="UJP14" s="20"/>
      <c r="UJQ14" s="20"/>
      <c r="UJR14" s="20"/>
      <c r="UJS14" s="20"/>
      <c r="UJT14" s="20"/>
      <c r="UJU14" s="20"/>
      <c r="UJV14" s="20"/>
      <c r="UJW14" s="20"/>
      <c r="UJX14" s="20"/>
      <c r="UJY14" s="20"/>
      <c r="UJZ14" s="20"/>
      <c r="UKA14" s="20"/>
      <c r="UKB14" s="20"/>
      <c r="UKC14" s="20"/>
      <c r="UKD14" s="20"/>
      <c r="UKE14" s="20"/>
      <c r="UKF14" s="20"/>
      <c r="UKG14" s="20"/>
      <c r="UKH14" s="20"/>
      <c r="UKI14" s="20"/>
      <c r="UKJ14" s="20"/>
      <c r="UKK14" s="20"/>
      <c r="UKL14" s="20"/>
      <c r="UKM14" s="20"/>
      <c r="UKN14" s="20"/>
      <c r="UKO14" s="20"/>
      <c r="UKP14" s="20"/>
      <c r="UKQ14" s="20"/>
      <c r="UKR14" s="20"/>
      <c r="UKS14" s="20"/>
      <c r="UKT14" s="20"/>
      <c r="UKU14" s="20"/>
      <c r="UKV14" s="20"/>
      <c r="UKW14" s="20"/>
      <c r="UKX14" s="20"/>
      <c r="UKY14" s="20"/>
      <c r="UKZ14" s="20"/>
      <c r="ULA14" s="20"/>
      <c r="ULB14" s="20"/>
      <c r="ULC14" s="20"/>
      <c r="ULD14" s="20"/>
      <c r="ULE14" s="20"/>
      <c r="ULF14" s="20"/>
      <c r="ULG14" s="20"/>
      <c r="ULH14" s="20"/>
      <c r="ULI14" s="20"/>
      <c r="ULJ14" s="20"/>
      <c r="ULK14" s="20"/>
      <c r="ULL14" s="20"/>
      <c r="ULM14" s="20"/>
      <c r="ULN14" s="20"/>
      <c r="ULO14" s="20"/>
      <c r="ULP14" s="20"/>
      <c r="ULQ14" s="20"/>
      <c r="ULR14" s="20"/>
      <c r="ULS14" s="20"/>
      <c r="ULT14" s="20"/>
      <c r="ULU14" s="20"/>
      <c r="ULV14" s="20"/>
      <c r="ULW14" s="20"/>
      <c r="ULX14" s="20"/>
      <c r="ULY14" s="20"/>
      <c r="ULZ14" s="20"/>
      <c r="UMA14" s="20"/>
      <c r="UMB14" s="20"/>
      <c r="UMC14" s="20"/>
      <c r="UMD14" s="20"/>
      <c r="UME14" s="20"/>
      <c r="UMF14" s="20"/>
      <c r="UMG14" s="20"/>
      <c r="UMH14" s="20"/>
      <c r="UMI14" s="20"/>
      <c r="UMJ14" s="20"/>
      <c r="UMK14" s="20"/>
      <c r="UML14" s="20"/>
      <c r="UMM14" s="20"/>
      <c r="UMN14" s="20"/>
      <c r="UMO14" s="20"/>
      <c r="UMP14" s="20"/>
      <c r="UMQ14" s="20"/>
      <c r="UMR14" s="20"/>
      <c r="UMS14" s="20"/>
      <c r="UMT14" s="20"/>
      <c r="UMU14" s="20"/>
      <c r="UMV14" s="20"/>
      <c r="UMW14" s="20"/>
      <c r="UMX14" s="20"/>
      <c r="UMY14" s="20"/>
      <c r="UMZ14" s="20"/>
      <c r="UNA14" s="20"/>
      <c r="UNB14" s="20"/>
      <c r="UNC14" s="20"/>
      <c r="UND14" s="20"/>
      <c r="UNE14" s="20"/>
      <c r="UNF14" s="20"/>
      <c r="UNG14" s="20"/>
      <c r="UNH14" s="20"/>
      <c r="UNI14" s="20"/>
      <c r="UNJ14" s="20"/>
      <c r="UNK14" s="20"/>
      <c r="UNL14" s="20"/>
      <c r="UNM14" s="20"/>
      <c r="UNN14" s="20"/>
      <c r="UNO14" s="20"/>
      <c r="UNP14" s="20"/>
      <c r="UNQ14" s="20"/>
      <c r="UNR14" s="20"/>
      <c r="UNS14" s="20"/>
      <c r="UNT14" s="20"/>
      <c r="UNU14" s="20"/>
      <c r="UNV14" s="20"/>
      <c r="UNW14" s="20"/>
      <c r="UNX14" s="20"/>
      <c r="UNY14" s="20"/>
      <c r="UNZ14" s="20"/>
      <c r="UOA14" s="20"/>
      <c r="UOB14" s="20"/>
      <c r="UOC14" s="20"/>
      <c r="UOD14" s="20"/>
      <c r="UOE14" s="20"/>
      <c r="UOF14" s="20"/>
      <c r="UOG14" s="20"/>
      <c r="UOH14" s="20"/>
      <c r="UOI14" s="20"/>
      <c r="UOJ14" s="20"/>
      <c r="UOK14" s="20"/>
      <c r="UOL14" s="20"/>
      <c r="UOM14" s="20"/>
      <c r="UON14" s="20"/>
      <c r="UOO14" s="20"/>
      <c r="UOP14" s="20"/>
      <c r="UOQ14" s="20"/>
      <c r="UOR14" s="20"/>
      <c r="UOS14" s="20"/>
      <c r="UOT14" s="20"/>
      <c r="UOU14" s="20"/>
      <c r="UOV14" s="20"/>
      <c r="UOW14" s="20"/>
      <c r="UOX14" s="20"/>
      <c r="UOY14" s="20"/>
      <c r="UOZ14" s="20"/>
      <c r="UPA14" s="20"/>
      <c r="UPB14" s="20"/>
      <c r="UPC14" s="20"/>
      <c r="UPD14" s="20"/>
      <c r="UPE14" s="20"/>
      <c r="UPF14" s="20"/>
      <c r="UPG14" s="20"/>
      <c r="UPH14" s="20"/>
      <c r="UPI14" s="20"/>
      <c r="UPJ14" s="20"/>
      <c r="UPK14" s="20"/>
      <c r="UPL14" s="20"/>
      <c r="UPM14" s="20"/>
      <c r="UPN14" s="20"/>
      <c r="UPO14" s="20"/>
      <c r="UPP14" s="20"/>
      <c r="UPQ14" s="20"/>
      <c r="UPR14" s="20"/>
      <c r="UPS14" s="20"/>
      <c r="UPT14" s="20"/>
      <c r="UPU14" s="20"/>
      <c r="UPV14" s="20"/>
      <c r="UPW14" s="20"/>
      <c r="UPX14" s="20"/>
      <c r="UPY14" s="20"/>
      <c r="UPZ14" s="20"/>
      <c r="UQA14" s="20"/>
      <c r="UQB14" s="20"/>
      <c r="UQC14" s="20"/>
      <c r="UQD14" s="20"/>
      <c r="UQE14" s="20"/>
      <c r="UQF14" s="20"/>
      <c r="UQG14" s="20"/>
      <c r="UQH14" s="20"/>
      <c r="UQI14" s="20"/>
      <c r="UQJ14" s="20"/>
      <c r="UQK14" s="20"/>
      <c r="UQL14" s="20"/>
      <c r="UQM14" s="20"/>
      <c r="UQN14" s="20"/>
      <c r="UQO14" s="20"/>
      <c r="UQP14" s="20"/>
      <c r="UQQ14" s="20"/>
      <c r="UQR14" s="20"/>
      <c r="UQS14" s="20"/>
      <c r="UQT14" s="20"/>
      <c r="UQU14" s="20"/>
      <c r="UQV14" s="20"/>
      <c r="UQW14" s="20"/>
      <c r="UQX14" s="20"/>
      <c r="UQY14" s="20"/>
      <c r="UQZ14" s="20"/>
      <c r="URA14" s="20"/>
      <c r="URB14" s="20"/>
      <c r="URC14" s="20"/>
      <c r="URD14" s="20"/>
      <c r="URE14" s="20"/>
      <c r="URF14" s="20"/>
      <c r="URG14" s="20"/>
      <c r="URH14" s="20"/>
      <c r="URI14" s="20"/>
      <c r="URJ14" s="20"/>
      <c r="URK14" s="20"/>
      <c r="URL14" s="20"/>
      <c r="URM14" s="20"/>
      <c r="URN14" s="20"/>
      <c r="URO14" s="20"/>
      <c r="URP14" s="20"/>
      <c r="URQ14" s="20"/>
      <c r="URR14" s="20"/>
      <c r="URS14" s="20"/>
      <c r="URT14" s="20"/>
      <c r="URU14" s="20"/>
      <c r="URV14" s="20"/>
      <c r="URW14" s="20"/>
      <c r="URX14" s="20"/>
      <c r="URY14" s="20"/>
      <c r="URZ14" s="20"/>
      <c r="USA14" s="20"/>
      <c r="USB14" s="20"/>
      <c r="USC14" s="20"/>
      <c r="USD14" s="20"/>
      <c r="USE14" s="20"/>
      <c r="USF14" s="20"/>
      <c r="USG14" s="20"/>
      <c r="USH14" s="20"/>
      <c r="USI14" s="20"/>
      <c r="USJ14" s="20"/>
      <c r="USK14" s="20"/>
      <c r="USL14" s="20"/>
      <c r="USM14" s="20"/>
      <c r="USN14" s="20"/>
      <c r="USO14" s="20"/>
      <c r="USP14" s="20"/>
      <c r="USQ14" s="20"/>
      <c r="USR14" s="20"/>
      <c r="USS14" s="20"/>
      <c r="UST14" s="20"/>
      <c r="USU14" s="20"/>
      <c r="USV14" s="20"/>
      <c r="USW14" s="20"/>
      <c r="USX14" s="20"/>
      <c r="USY14" s="20"/>
      <c r="USZ14" s="20"/>
      <c r="UTA14" s="20"/>
      <c r="UTB14" s="20"/>
      <c r="UTC14" s="20"/>
      <c r="UTD14" s="20"/>
      <c r="UTE14" s="20"/>
      <c r="UTF14" s="20"/>
      <c r="UTG14" s="20"/>
      <c r="UTH14" s="20"/>
      <c r="UTI14" s="20"/>
      <c r="UTJ14" s="20"/>
      <c r="UTK14" s="20"/>
      <c r="UTL14" s="20"/>
      <c r="UTM14" s="20"/>
      <c r="UTN14" s="20"/>
      <c r="UTO14" s="20"/>
      <c r="UTP14" s="20"/>
      <c r="UTQ14" s="20"/>
      <c r="UTR14" s="20"/>
      <c r="UTS14" s="20"/>
      <c r="UTT14" s="20"/>
      <c r="UTU14" s="20"/>
      <c r="UTV14" s="20"/>
      <c r="UTW14" s="20"/>
      <c r="UTX14" s="20"/>
      <c r="UTY14" s="20"/>
      <c r="UTZ14" s="20"/>
      <c r="UUA14" s="20"/>
      <c r="UUB14" s="20"/>
      <c r="UUC14" s="20"/>
      <c r="UUD14" s="20"/>
      <c r="UUE14" s="20"/>
      <c r="UUF14" s="20"/>
      <c r="UUG14" s="20"/>
      <c r="UUH14" s="20"/>
      <c r="UUI14" s="20"/>
      <c r="UUJ14" s="20"/>
      <c r="UUK14" s="20"/>
      <c r="UUL14" s="20"/>
      <c r="UUM14" s="20"/>
      <c r="UUN14" s="20"/>
      <c r="UUO14" s="20"/>
      <c r="UUP14" s="20"/>
      <c r="UUQ14" s="20"/>
      <c r="UUR14" s="20"/>
      <c r="UUS14" s="20"/>
      <c r="UUT14" s="20"/>
      <c r="UUU14" s="20"/>
      <c r="UUV14" s="20"/>
      <c r="UUW14" s="20"/>
      <c r="UUX14" s="20"/>
      <c r="UUY14" s="20"/>
      <c r="UUZ14" s="20"/>
      <c r="UVA14" s="20"/>
      <c r="UVB14" s="20"/>
      <c r="UVC14" s="20"/>
      <c r="UVD14" s="20"/>
      <c r="UVE14" s="20"/>
      <c r="UVF14" s="20"/>
      <c r="UVG14" s="20"/>
      <c r="UVH14" s="20"/>
      <c r="UVI14" s="20"/>
      <c r="UVJ14" s="20"/>
      <c r="UVK14" s="20"/>
      <c r="UVL14" s="20"/>
      <c r="UVM14" s="20"/>
      <c r="UVN14" s="20"/>
      <c r="UVO14" s="20"/>
      <c r="UVP14" s="20"/>
      <c r="UVQ14" s="20"/>
      <c r="UVR14" s="20"/>
      <c r="UVS14" s="20"/>
      <c r="UVT14" s="20"/>
      <c r="UVU14" s="20"/>
      <c r="UVV14" s="20"/>
      <c r="UVW14" s="20"/>
      <c r="UVX14" s="20"/>
      <c r="UVY14" s="20"/>
      <c r="UVZ14" s="20"/>
      <c r="UWA14" s="20"/>
      <c r="UWB14" s="20"/>
      <c r="UWC14" s="20"/>
      <c r="UWD14" s="20"/>
      <c r="UWE14" s="20"/>
      <c r="UWF14" s="20"/>
      <c r="UWG14" s="20"/>
      <c r="UWH14" s="20"/>
      <c r="UWI14" s="20"/>
      <c r="UWJ14" s="20"/>
      <c r="UWK14" s="20"/>
      <c r="UWL14" s="20"/>
      <c r="UWM14" s="20"/>
      <c r="UWN14" s="20"/>
      <c r="UWO14" s="20"/>
      <c r="UWP14" s="20"/>
      <c r="UWQ14" s="20"/>
      <c r="UWR14" s="20"/>
      <c r="UWS14" s="20"/>
      <c r="UWT14" s="20"/>
      <c r="UWU14" s="20"/>
      <c r="UWV14" s="20"/>
      <c r="UWW14" s="20"/>
      <c r="UWX14" s="20"/>
      <c r="UWY14" s="20"/>
      <c r="UWZ14" s="20"/>
      <c r="UXA14" s="20"/>
      <c r="UXB14" s="20"/>
      <c r="UXC14" s="20"/>
      <c r="UXD14" s="20"/>
      <c r="UXE14" s="20"/>
      <c r="UXF14" s="20"/>
      <c r="UXG14" s="20"/>
      <c r="UXH14" s="20"/>
      <c r="UXI14" s="20"/>
      <c r="UXJ14" s="20"/>
      <c r="UXK14" s="20"/>
      <c r="UXL14" s="20"/>
      <c r="UXM14" s="20"/>
      <c r="UXN14" s="20"/>
      <c r="UXO14" s="20"/>
      <c r="UXP14" s="20"/>
      <c r="UXQ14" s="20"/>
      <c r="UXR14" s="20"/>
      <c r="UXS14" s="20"/>
      <c r="UXT14" s="20"/>
      <c r="UXU14" s="20"/>
      <c r="UXV14" s="20"/>
      <c r="UXW14" s="20"/>
      <c r="UXX14" s="20"/>
      <c r="UXY14" s="20"/>
      <c r="UXZ14" s="20"/>
      <c r="UYA14" s="20"/>
      <c r="UYB14" s="20"/>
      <c r="UYC14" s="20"/>
      <c r="UYD14" s="20"/>
      <c r="UYE14" s="20"/>
      <c r="UYF14" s="20"/>
      <c r="UYG14" s="20"/>
      <c r="UYH14" s="20"/>
      <c r="UYI14" s="20"/>
      <c r="UYJ14" s="20"/>
      <c r="UYK14" s="20"/>
      <c r="UYL14" s="20"/>
      <c r="UYM14" s="20"/>
      <c r="UYN14" s="20"/>
      <c r="UYO14" s="20"/>
      <c r="UYP14" s="20"/>
      <c r="UYQ14" s="20"/>
      <c r="UYR14" s="20"/>
      <c r="UYS14" s="20"/>
      <c r="UYT14" s="20"/>
      <c r="UYU14" s="20"/>
      <c r="UYV14" s="20"/>
      <c r="UYW14" s="20"/>
      <c r="UYX14" s="20"/>
      <c r="UYY14" s="20"/>
      <c r="UYZ14" s="20"/>
      <c r="UZA14" s="20"/>
      <c r="UZB14" s="20"/>
      <c r="UZC14" s="20"/>
      <c r="UZD14" s="20"/>
      <c r="UZE14" s="20"/>
      <c r="UZF14" s="20"/>
      <c r="UZG14" s="20"/>
      <c r="UZH14" s="20"/>
      <c r="UZI14" s="20"/>
      <c r="UZJ14" s="20"/>
      <c r="UZK14" s="20"/>
      <c r="UZL14" s="20"/>
      <c r="UZM14" s="20"/>
      <c r="UZN14" s="20"/>
      <c r="UZO14" s="20"/>
      <c r="UZP14" s="20"/>
      <c r="UZQ14" s="20"/>
      <c r="UZR14" s="20"/>
      <c r="UZS14" s="20"/>
      <c r="UZT14" s="20"/>
      <c r="UZU14" s="20"/>
      <c r="UZV14" s="20"/>
      <c r="UZW14" s="20"/>
      <c r="UZX14" s="20"/>
      <c r="UZY14" s="20"/>
      <c r="UZZ14" s="20"/>
      <c r="VAA14" s="20"/>
      <c r="VAB14" s="20"/>
      <c r="VAC14" s="20"/>
      <c r="VAD14" s="20"/>
      <c r="VAE14" s="20"/>
      <c r="VAF14" s="20"/>
      <c r="VAG14" s="20"/>
      <c r="VAH14" s="20"/>
      <c r="VAI14" s="20"/>
      <c r="VAJ14" s="20"/>
      <c r="VAK14" s="20"/>
      <c r="VAL14" s="20"/>
      <c r="VAM14" s="20"/>
      <c r="VAN14" s="20"/>
      <c r="VAO14" s="20"/>
      <c r="VAP14" s="20"/>
      <c r="VAQ14" s="20"/>
      <c r="VAR14" s="20"/>
      <c r="VAS14" s="20"/>
      <c r="VAT14" s="20"/>
      <c r="VAU14" s="20"/>
      <c r="VAV14" s="20"/>
      <c r="VAW14" s="20"/>
      <c r="VAX14" s="20"/>
      <c r="VAY14" s="20"/>
      <c r="VAZ14" s="20"/>
      <c r="VBA14" s="20"/>
      <c r="VBB14" s="20"/>
      <c r="VBC14" s="20"/>
      <c r="VBD14" s="20"/>
      <c r="VBE14" s="20"/>
      <c r="VBF14" s="20"/>
      <c r="VBG14" s="20"/>
      <c r="VBH14" s="20"/>
      <c r="VBI14" s="20"/>
      <c r="VBJ14" s="20"/>
      <c r="VBK14" s="20"/>
      <c r="VBL14" s="20"/>
      <c r="VBM14" s="20"/>
      <c r="VBN14" s="20"/>
      <c r="VBO14" s="20"/>
      <c r="VBP14" s="20"/>
      <c r="VBQ14" s="20"/>
      <c r="VBR14" s="20"/>
      <c r="VBS14" s="20"/>
      <c r="VBT14" s="20"/>
      <c r="VBU14" s="20"/>
      <c r="VBV14" s="20"/>
      <c r="VBW14" s="20"/>
      <c r="VBX14" s="20"/>
      <c r="VBY14" s="20"/>
      <c r="VBZ14" s="20"/>
      <c r="VCA14" s="20"/>
      <c r="VCB14" s="20"/>
      <c r="VCC14" s="20"/>
      <c r="VCD14" s="20"/>
      <c r="VCE14" s="20"/>
      <c r="VCF14" s="20"/>
      <c r="VCG14" s="20"/>
      <c r="VCH14" s="20"/>
      <c r="VCI14" s="20"/>
      <c r="VCJ14" s="20"/>
      <c r="VCK14" s="20"/>
      <c r="VCL14" s="20"/>
      <c r="VCM14" s="20"/>
      <c r="VCN14" s="20"/>
      <c r="VCO14" s="20"/>
      <c r="VCP14" s="20"/>
      <c r="VCQ14" s="20"/>
      <c r="VCR14" s="20"/>
      <c r="VCS14" s="20"/>
      <c r="VCT14" s="20"/>
      <c r="VCU14" s="20"/>
      <c r="VCV14" s="20"/>
      <c r="VCW14" s="20"/>
      <c r="VCX14" s="20"/>
      <c r="VCY14" s="20"/>
      <c r="VCZ14" s="20"/>
      <c r="VDA14" s="20"/>
      <c r="VDB14" s="20"/>
      <c r="VDC14" s="20"/>
      <c r="VDD14" s="20"/>
      <c r="VDE14" s="20"/>
      <c r="VDF14" s="20"/>
      <c r="VDG14" s="20"/>
      <c r="VDH14" s="20"/>
      <c r="VDI14" s="20"/>
      <c r="VDJ14" s="20"/>
      <c r="VDK14" s="20"/>
      <c r="VDL14" s="20"/>
      <c r="VDM14" s="20"/>
      <c r="VDN14" s="20"/>
      <c r="VDO14" s="20"/>
      <c r="VDP14" s="20"/>
      <c r="VDQ14" s="20"/>
      <c r="VDR14" s="20"/>
      <c r="VDS14" s="20"/>
      <c r="VDT14" s="20"/>
      <c r="VDU14" s="20"/>
      <c r="VDV14" s="20"/>
      <c r="VDW14" s="20"/>
      <c r="VDX14" s="20"/>
      <c r="VDY14" s="20"/>
      <c r="VDZ14" s="20"/>
      <c r="VEA14" s="20"/>
      <c r="VEB14" s="20"/>
      <c r="VEC14" s="20"/>
      <c r="VED14" s="20"/>
      <c r="VEE14" s="20"/>
      <c r="VEF14" s="20"/>
      <c r="VEG14" s="20"/>
      <c r="VEH14" s="20"/>
      <c r="VEI14" s="20"/>
      <c r="VEJ14" s="20"/>
      <c r="VEK14" s="20"/>
      <c r="VEL14" s="20"/>
      <c r="VEM14" s="20"/>
      <c r="VEN14" s="20"/>
      <c r="VEO14" s="20"/>
      <c r="VEP14" s="20"/>
      <c r="VEQ14" s="20"/>
      <c r="VER14" s="20"/>
      <c r="VES14" s="20"/>
      <c r="VET14" s="20"/>
      <c r="VEU14" s="20"/>
      <c r="VEV14" s="20"/>
      <c r="VEW14" s="20"/>
      <c r="VEX14" s="20"/>
      <c r="VEY14" s="20"/>
      <c r="VEZ14" s="20"/>
      <c r="VFA14" s="20"/>
      <c r="VFB14" s="20"/>
      <c r="VFC14" s="20"/>
      <c r="VFD14" s="20"/>
      <c r="VFE14" s="20"/>
      <c r="VFF14" s="20"/>
      <c r="VFG14" s="20"/>
      <c r="VFH14" s="20"/>
      <c r="VFI14" s="20"/>
      <c r="VFJ14" s="20"/>
      <c r="VFK14" s="20"/>
      <c r="VFL14" s="20"/>
      <c r="VFM14" s="20"/>
      <c r="VFN14" s="20"/>
      <c r="VFO14" s="20"/>
      <c r="VFP14" s="20"/>
      <c r="VFQ14" s="20"/>
      <c r="VFR14" s="20"/>
      <c r="VFS14" s="20"/>
      <c r="VFT14" s="20"/>
      <c r="VFU14" s="20"/>
      <c r="VFV14" s="20"/>
      <c r="VFW14" s="20"/>
      <c r="VFX14" s="20"/>
      <c r="VFY14" s="20"/>
      <c r="VFZ14" s="20"/>
      <c r="VGA14" s="20"/>
      <c r="VGB14" s="20"/>
      <c r="VGC14" s="20"/>
      <c r="VGD14" s="20"/>
      <c r="VGE14" s="20"/>
      <c r="VGF14" s="20"/>
      <c r="VGG14" s="20"/>
      <c r="VGH14" s="20"/>
      <c r="VGI14" s="20"/>
      <c r="VGJ14" s="20"/>
      <c r="VGK14" s="20"/>
      <c r="VGL14" s="20"/>
      <c r="VGM14" s="20"/>
      <c r="VGN14" s="20"/>
      <c r="VGO14" s="20"/>
      <c r="VGP14" s="20"/>
      <c r="VGQ14" s="20"/>
      <c r="VGR14" s="20"/>
      <c r="VGS14" s="20"/>
      <c r="VGT14" s="20"/>
      <c r="VGU14" s="20"/>
      <c r="VGV14" s="20"/>
      <c r="VGW14" s="20"/>
      <c r="VGX14" s="20"/>
      <c r="VGY14" s="20"/>
      <c r="VGZ14" s="20"/>
      <c r="VHA14" s="20"/>
      <c r="VHB14" s="20"/>
      <c r="VHC14" s="20"/>
      <c r="VHD14" s="20"/>
      <c r="VHE14" s="20"/>
      <c r="VHF14" s="20"/>
      <c r="VHG14" s="20"/>
      <c r="VHH14" s="20"/>
      <c r="VHI14" s="20"/>
      <c r="VHJ14" s="20"/>
      <c r="VHK14" s="20"/>
      <c r="VHL14" s="20"/>
      <c r="VHM14" s="20"/>
      <c r="VHN14" s="20"/>
      <c r="VHO14" s="20"/>
      <c r="VHP14" s="20"/>
      <c r="VHQ14" s="20"/>
      <c r="VHR14" s="20"/>
      <c r="VHS14" s="20"/>
      <c r="VHT14" s="20"/>
      <c r="VHU14" s="20"/>
      <c r="VHV14" s="20"/>
      <c r="VHW14" s="20"/>
      <c r="VHX14" s="20"/>
      <c r="VHY14" s="20"/>
      <c r="VHZ14" s="20"/>
      <c r="VIA14" s="20"/>
      <c r="VIB14" s="20"/>
      <c r="VIC14" s="20"/>
      <c r="VID14" s="20"/>
      <c r="VIE14" s="20"/>
      <c r="VIF14" s="20"/>
      <c r="VIG14" s="20"/>
      <c r="VIH14" s="20"/>
      <c r="VII14" s="20"/>
      <c r="VIJ14" s="20"/>
      <c r="VIK14" s="20"/>
      <c r="VIL14" s="20"/>
      <c r="VIM14" s="20"/>
      <c r="VIN14" s="20"/>
      <c r="VIO14" s="20"/>
      <c r="VIP14" s="20"/>
      <c r="VIQ14" s="20"/>
      <c r="VIR14" s="20"/>
      <c r="VIS14" s="20"/>
      <c r="VIT14" s="20"/>
      <c r="VIU14" s="20"/>
      <c r="VIV14" s="20"/>
      <c r="VIW14" s="20"/>
      <c r="VIX14" s="20"/>
      <c r="VIY14" s="20"/>
      <c r="VIZ14" s="20"/>
      <c r="VJA14" s="20"/>
      <c r="VJB14" s="20"/>
      <c r="VJC14" s="20"/>
      <c r="VJD14" s="20"/>
      <c r="VJE14" s="20"/>
      <c r="VJF14" s="20"/>
      <c r="VJG14" s="20"/>
      <c r="VJH14" s="20"/>
      <c r="VJI14" s="20"/>
      <c r="VJJ14" s="20"/>
      <c r="VJK14" s="20"/>
      <c r="VJL14" s="20"/>
      <c r="VJM14" s="20"/>
      <c r="VJN14" s="20"/>
      <c r="VJO14" s="20"/>
      <c r="VJP14" s="20"/>
      <c r="VJQ14" s="20"/>
      <c r="VJR14" s="20"/>
      <c r="VJS14" s="20"/>
      <c r="VJT14" s="20"/>
      <c r="VJU14" s="20"/>
      <c r="VJV14" s="20"/>
      <c r="VJW14" s="20"/>
      <c r="VJX14" s="20"/>
      <c r="VJY14" s="20"/>
      <c r="VJZ14" s="20"/>
      <c r="VKA14" s="20"/>
      <c r="VKB14" s="20"/>
      <c r="VKC14" s="20"/>
      <c r="VKD14" s="20"/>
      <c r="VKE14" s="20"/>
      <c r="VKF14" s="20"/>
      <c r="VKG14" s="20"/>
      <c r="VKH14" s="20"/>
      <c r="VKI14" s="20"/>
      <c r="VKJ14" s="20"/>
      <c r="VKK14" s="20"/>
      <c r="VKL14" s="20"/>
      <c r="VKM14" s="20"/>
      <c r="VKN14" s="20"/>
      <c r="VKO14" s="20"/>
      <c r="VKP14" s="20"/>
      <c r="VKQ14" s="20"/>
      <c r="VKR14" s="20"/>
      <c r="VKS14" s="20"/>
      <c r="VKT14" s="20"/>
      <c r="VKU14" s="20"/>
      <c r="VKV14" s="20"/>
      <c r="VKW14" s="20"/>
      <c r="VKX14" s="20"/>
      <c r="VKY14" s="20"/>
      <c r="VKZ14" s="20"/>
      <c r="VLA14" s="20"/>
      <c r="VLB14" s="20"/>
      <c r="VLC14" s="20"/>
      <c r="VLD14" s="20"/>
      <c r="VLE14" s="20"/>
      <c r="VLF14" s="20"/>
      <c r="VLG14" s="20"/>
      <c r="VLH14" s="20"/>
      <c r="VLI14" s="20"/>
      <c r="VLJ14" s="20"/>
      <c r="VLK14" s="20"/>
      <c r="VLL14" s="20"/>
      <c r="VLM14" s="20"/>
      <c r="VLN14" s="20"/>
      <c r="VLO14" s="20"/>
      <c r="VLP14" s="20"/>
      <c r="VLQ14" s="20"/>
      <c r="VLR14" s="20"/>
      <c r="VLS14" s="20"/>
      <c r="VLT14" s="20"/>
      <c r="VLU14" s="20"/>
      <c r="VLV14" s="20"/>
      <c r="VLW14" s="20"/>
      <c r="VLX14" s="20"/>
      <c r="VLY14" s="20"/>
      <c r="VLZ14" s="20"/>
      <c r="VMA14" s="20"/>
      <c r="VMB14" s="20"/>
      <c r="VMC14" s="20"/>
      <c r="VMD14" s="20"/>
      <c r="VME14" s="20"/>
      <c r="VMF14" s="20"/>
      <c r="VMG14" s="20"/>
      <c r="VMH14" s="20"/>
      <c r="VMI14" s="20"/>
      <c r="VMJ14" s="20"/>
      <c r="VMK14" s="20"/>
      <c r="VML14" s="20"/>
      <c r="VMM14" s="20"/>
      <c r="VMN14" s="20"/>
      <c r="VMO14" s="20"/>
      <c r="VMP14" s="20"/>
      <c r="VMQ14" s="20"/>
      <c r="VMR14" s="20"/>
      <c r="VMS14" s="20"/>
      <c r="VMT14" s="20"/>
      <c r="VMU14" s="20"/>
      <c r="VMV14" s="20"/>
      <c r="VMW14" s="20"/>
      <c r="VMX14" s="20"/>
      <c r="VMY14" s="20"/>
      <c r="VMZ14" s="20"/>
      <c r="VNA14" s="20"/>
      <c r="VNB14" s="20"/>
      <c r="VNC14" s="20"/>
      <c r="VND14" s="20"/>
      <c r="VNE14" s="20"/>
      <c r="VNF14" s="20"/>
      <c r="VNG14" s="20"/>
      <c r="VNH14" s="20"/>
      <c r="VNI14" s="20"/>
      <c r="VNJ14" s="20"/>
      <c r="VNK14" s="20"/>
      <c r="VNL14" s="20"/>
      <c r="VNM14" s="20"/>
      <c r="VNN14" s="20"/>
      <c r="VNO14" s="20"/>
      <c r="VNP14" s="20"/>
      <c r="VNQ14" s="20"/>
      <c r="VNR14" s="20"/>
      <c r="VNS14" s="20"/>
      <c r="VNT14" s="20"/>
      <c r="VNU14" s="20"/>
      <c r="VNV14" s="20"/>
      <c r="VNW14" s="20"/>
      <c r="VNX14" s="20"/>
      <c r="VNY14" s="20"/>
      <c r="VNZ14" s="20"/>
      <c r="VOA14" s="20"/>
      <c r="VOB14" s="20"/>
      <c r="VOC14" s="20"/>
      <c r="VOD14" s="20"/>
      <c r="VOE14" s="20"/>
      <c r="VOF14" s="20"/>
      <c r="VOG14" s="20"/>
      <c r="VOH14" s="20"/>
      <c r="VOI14" s="20"/>
      <c r="VOJ14" s="20"/>
      <c r="VOK14" s="20"/>
      <c r="VOL14" s="20"/>
      <c r="VOM14" s="20"/>
      <c r="VON14" s="20"/>
      <c r="VOO14" s="20"/>
      <c r="VOP14" s="20"/>
      <c r="VOQ14" s="20"/>
      <c r="VOR14" s="20"/>
      <c r="VOS14" s="20"/>
      <c r="VOT14" s="20"/>
      <c r="VOU14" s="20"/>
      <c r="VOV14" s="20"/>
      <c r="VOW14" s="20"/>
      <c r="VOX14" s="20"/>
      <c r="VOY14" s="20"/>
      <c r="VOZ14" s="20"/>
      <c r="VPA14" s="20"/>
      <c r="VPB14" s="20"/>
      <c r="VPC14" s="20"/>
      <c r="VPD14" s="20"/>
      <c r="VPE14" s="20"/>
      <c r="VPF14" s="20"/>
      <c r="VPG14" s="20"/>
      <c r="VPH14" s="20"/>
      <c r="VPI14" s="20"/>
      <c r="VPJ14" s="20"/>
      <c r="VPK14" s="20"/>
      <c r="VPL14" s="20"/>
      <c r="VPM14" s="20"/>
      <c r="VPN14" s="20"/>
      <c r="VPO14" s="20"/>
      <c r="VPP14" s="20"/>
      <c r="VPQ14" s="20"/>
      <c r="VPR14" s="20"/>
      <c r="VPS14" s="20"/>
      <c r="VPT14" s="20"/>
      <c r="VPU14" s="20"/>
      <c r="VPV14" s="20"/>
      <c r="VPW14" s="20"/>
      <c r="VPX14" s="20"/>
      <c r="VPY14" s="20"/>
      <c r="VPZ14" s="20"/>
      <c r="VQA14" s="20"/>
      <c r="VQB14" s="20"/>
      <c r="VQC14" s="20"/>
      <c r="VQD14" s="20"/>
      <c r="VQE14" s="20"/>
      <c r="VQF14" s="20"/>
      <c r="VQG14" s="20"/>
      <c r="VQH14" s="20"/>
      <c r="VQI14" s="20"/>
      <c r="VQJ14" s="20"/>
      <c r="VQK14" s="20"/>
      <c r="VQL14" s="20"/>
      <c r="VQM14" s="20"/>
      <c r="VQN14" s="20"/>
      <c r="VQO14" s="20"/>
      <c r="VQP14" s="20"/>
      <c r="VQQ14" s="20"/>
      <c r="VQR14" s="20"/>
      <c r="VQS14" s="20"/>
      <c r="VQT14" s="20"/>
      <c r="VQU14" s="20"/>
      <c r="VQV14" s="20"/>
      <c r="VQW14" s="20"/>
      <c r="VQX14" s="20"/>
      <c r="VQY14" s="20"/>
      <c r="VQZ14" s="20"/>
      <c r="VRA14" s="20"/>
      <c r="VRB14" s="20"/>
      <c r="VRC14" s="20"/>
      <c r="VRD14" s="20"/>
      <c r="VRE14" s="20"/>
      <c r="VRF14" s="20"/>
      <c r="VRG14" s="20"/>
      <c r="VRH14" s="20"/>
      <c r="VRI14" s="20"/>
      <c r="VRJ14" s="20"/>
      <c r="VRK14" s="20"/>
      <c r="VRL14" s="20"/>
      <c r="VRM14" s="20"/>
      <c r="VRN14" s="20"/>
      <c r="VRO14" s="20"/>
      <c r="VRP14" s="20"/>
      <c r="VRQ14" s="20"/>
      <c r="VRR14" s="20"/>
      <c r="VRS14" s="20"/>
      <c r="VRT14" s="20"/>
      <c r="VRU14" s="20"/>
      <c r="VRV14" s="20"/>
      <c r="VRW14" s="20"/>
      <c r="VRX14" s="20"/>
      <c r="VRY14" s="20"/>
      <c r="VRZ14" s="20"/>
      <c r="VSA14" s="20"/>
      <c r="VSB14" s="20"/>
      <c r="VSC14" s="20"/>
      <c r="VSD14" s="20"/>
      <c r="VSE14" s="20"/>
      <c r="VSF14" s="20"/>
      <c r="VSG14" s="20"/>
      <c r="VSH14" s="20"/>
      <c r="VSI14" s="20"/>
      <c r="VSJ14" s="20"/>
      <c r="VSK14" s="20"/>
      <c r="VSL14" s="20"/>
      <c r="VSM14" s="20"/>
      <c r="VSN14" s="20"/>
      <c r="VSO14" s="20"/>
      <c r="VSP14" s="20"/>
      <c r="VSQ14" s="20"/>
      <c r="VSR14" s="20"/>
      <c r="VSS14" s="20"/>
      <c r="VST14" s="20"/>
      <c r="VSU14" s="20"/>
      <c r="VSV14" s="20"/>
      <c r="VSW14" s="20"/>
      <c r="VSX14" s="20"/>
      <c r="VSY14" s="20"/>
      <c r="VSZ14" s="20"/>
      <c r="VTA14" s="20"/>
      <c r="VTB14" s="20"/>
      <c r="VTC14" s="20"/>
      <c r="VTD14" s="20"/>
      <c r="VTE14" s="20"/>
      <c r="VTF14" s="20"/>
      <c r="VTG14" s="20"/>
      <c r="VTH14" s="20"/>
      <c r="VTI14" s="20"/>
      <c r="VTJ14" s="20"/>
      <c r="VTK14" s="20"/>
      <c r="VTL14" s="20"/>
      <c r="VTM14" s="20"/>
      <c r="VTN14" s="20"/>
      <c r="VTO14" s="20"/>
      <c r="VTP14" s="20"/>
      <c r="VTQ14" s="20"/>
      <c r="VTR14" s="20"/>
      <c r="VTS14" s="20"/>
      <c r="VTT14" s="20"/>
      <c r="VTU14" s="20"/>
      <c r="VTV14" s="20"/>
      <c r="VTW14" s="20"/>
      <c r="VTX14" s="20"/>
      <c r="VTY14" s="20"/>
      <c r="VTZ14" s="20"/>
      <c r="VUA14" s="20"/>
      <c r="VUB14" s="20"/>
      <c r="VUC14" s="20"/>
      <c r="VUD14" s="20"/>
      <c r="VUE14" s="20"/>
      <c r="VUF14" s="20"/>
      <c r="VUG14" s="20"/>
      <c r="VUH14" s="20"/>
      <c r="VUI14" s="20"/>
      <c r="VUJ14" s="20"/>
      <c r="VUK14" s="20"/>
      <c r="VUL14" s="20"/>
      <c r="VUM14" s="20"/>
      <c r="VUN14" s="20"/>
      <c r="VUO14" s="20"/>
      <c r="VUP14" s="20"/>
      <c r="VUQ14" s="20"/>
      <c r="VUR14" s="20"/>
      <c r="VUS14" s="20"/>
      <c r="VUT14" s="20"/>
      <c r="VUU14" s="20"/>
      <c r="VUV14" s="20"/>
      <c r="VUW14" s="20"/>
      <c r="VUX14" s="20"/>
      <c r="VUY14" s="20"/>
      <c r="VUZ14" s="20"/>
      <c r="VVA14" s="20"/>
      <c r="VVB14" s="20"/>
      <c r="VVC14" s="20"/>
      <c r="VVD14" s="20"/>
      <c r="VVE14" s="20"/>
      <c r="VVF14" s="20"/>
      <c r="VVG14" s="20"/>
      <c r="VVH14" s="20"/>
      <c r="VVI14" s="20"/>
      <c r="VVJ14" s="20"/>
      <c r="VVK14" s="20"/>
      <c r="VVL14" s="20"/>
      <c r="VVM14" s="20"/>
      <c r="VVN14" s="20"/>
      <c r="VVO14" s="20"/>
      <c r="VVP14" s="20"/>
      <c r="VVQ14" s="20"/>
      <c r="VVR14" s="20"/>
      <c r="VVS14" s="20"/>
      <c r="VVT14" s="20"/>
      <c r="VVU14" s="20"/>
      <c r="VVV14" s="20"/>
      <c r="VVW14" s="20"/>
      <c r="VVX14" s="20"/>
      <c r="VVY14" s="20"/>
      <c r="VVZ14" s="20"/>
      <c r="VWA14" s="20"/>
      <c r="VWB14" s="20"/>
      <c r="VWC14" s="20"/>
      <c r="VWD14" s="20"/>
      <c r="VWE14" s="20"/>
      <c r="VWF14" s="20"/>
      <c r="VWG14" s="20"/>
      <c r="VWH14" s="20"/>
      <c r="VWI14" s="20"/>
      <c r="VWJ14" s="20"/>
      <c r="VWK14" s="20"/>
      <c r="VWL14" s="20"/>
      <c r="VWM14" s="20"/>
      <c r="VWN14" s="20"/>
      <c r="VWO14" s="20"/>
      <c r="VWP14" s="20"/>
      <c r="VWQ14" s="20"/>
      <c r="VWR14" s="20"/>
      <c r="VWS14" s="20"/>
      <c r="VWT14" s="20"/>
      <c r="VWU14" s="20"/>
      <c r="VWV14" s="20"/>
      <c r="VWW14" s="20"/>
      <c r="VWX14" s="20"/>
      <c r="VWY14" s="20"/>
      <c r="VWZ14" s="20"/>
      <c r="VXA14" s="20"/>
      <c r="VXB14" s="20"/>
      <c r="VXC14" s="20"/>
      <c r="VXD14" s="20"/>
      <c r="VXE14" s="20"/>
      <c r="VXF14" s="20"/>
      <c r="VXG14" s="20"/>
      <c r="VXH14" s="20"/>
      <c r="VXI14" s="20"/>
      <c r="VXJ14" s="20"/>
      <c r="VXK14" s="20"/>
      <c r="VXL14" s="20"/>
      <c r="VXM14" s="20"/>
      <c r="VXN14" s="20"/>
      <c r="VXO14" s="20"/>
      <c r="VXP14" s="20"/>
      <c r="VXQ14" s="20"/>
      <c r="VXR14" s="20"/>
      <c r="VXS14" s="20"/>
      <c r="VXT14" s="20"/>
      <c r="VXU14" s="20"/>
      <c r="VXV14" s="20"/>
      <c r="VXW14" s="20"/>
      <c r="VXX14" s="20"/>
      <c r="VXY14" s="20"/>
      <c r="VXZ14" s="20"/>
      <c r="VYA14" s="20"/>
      <c r="VYB14" s="20"/>
      <c r="VYC14" s="20"/>
      <c r="VYD14" s="20"/>
      <c r="VYE14" s="20"/>
      <c r="VYF14" s="20"/>
      <c r="VYG14" s="20"/>
      <c r="VYH14" s="20"/>
      <c r="VYI14" s="20"/>
      <c r="VYJ14" s="20"/>
      <c r="VYK14" s="20"/>
      <c r="VYL14" s="20"/>
      <c r="VYM14" s="20"/>
      <c r="VYN14" s="20"/>
      <c r="VYO14" s="20"/>
      <c r="VYP14" s="20"/>
      <c r="VYQ14" s="20"/>
      <c r="VYR14" s="20"/>
      <c r="VYS14" s="20"/>
      <c r="VYT14" s="20"/>
      <c r="VYU14" s="20"/>
      <c r="VYV14" s="20"/>
      <c r="VYW14" s="20"/>
      <c r="VYX14" s="20"/>
      <c r="VYY14" s="20"/>
      <c r="VYZ14" s="20"/>
      <c r="VZA14" s="20"/>
      <c r="VZB14" s="20"/>
      <c r="VZC14" s="20"/>
      <c r="VZD14" s="20"/>
      <c r="VZE14" s="20"/>
      <c r="VZF14" s="20"/>
      <c r="VZG14" s="20"/>
      <c r="VZH14" s="20"/>
      <c r="VZI14" s="20"/>
      <c r="VZJ14" s="20"/>
      <c r="VZK14" s="20"/>
      <c r="VZL14" s="20"/>
      <c r="VZM14" s="20"/>
      <c r="VZN14" s="20"/>
      <c r="VZO14" s="20"/>
      <c r="VZP14" s="20"/>
      <c r="VZQ14" s="20"/>
      <c r="VZR14" s="20"/>
      <c r="VZS14" s="20"/>
      <c r="VZT14" s="20"/>
      <c r="VZU14" s="20"/>
      <c r="VZV14" s="20"/>
      <c r="VZW14" s="20"/>
      <c r="VZX14" s="20"/>
      <c r="VZY14" s="20"/>
      <c r="VZZ14" s="20"/>
      <c r="WAA14" s="20"/>
      <c r="WAB14" s="20"/>
      <c r="WAC14" s="20"/>
      <c r="WAD14" s="20"/>
      <c r="WAE14" s="20"/>
      <c r="WAF14" s="20"/>
      <c r="WAG14" s="20"/>
      <c r="WAH14" s="20"/>
      <c r="WAI14" s="20"/>
      <c r="WAJ14" s="20"/>
      <c r="WAK14" s="20"/>
      <c r="WAL14" s="20"/>
      <c r="WAM14" s="20"/>
      <c r="WAN14" s="20"/>
      <c r="WAO14" s="20"/>
      <c r="WAP14" s="20"/>
      <c r="WAQ14" s="20"/>
      <c r="WAR14" s="20"/>
      <c r="WAS14" s="20"/>
      <c r="WAT14" s="20"/>
      <c r="WAU14" s="20"/>
      <c r="WAV14" s="20"/>
      <c r="WAW14" s="20"/>
      <c r="WAX14" s="20"/>
      <c r="WAY14" s="20"/>
      <c r="WAZ14" s="20"/>
      <c r="WBA14" s="20"/>
      <c r="WBB14" s="20"/>
      <c r="WBC14" s="20"/>
      <c r="WBD14" s="20"/>
      <c r="WBE14" s="20"/>
      <c r="WBF14" s="20"/>
      <c r="WBG14" s="20"/>
      <c r="WBH14" s="20"/>
      <c r="WBI14" s="20"/>
      <c r="WBJ14" s="20"/>
      <c r="WBK14" s="20"/>
      <c r="WBL14" s="20"/>
      <c r="WBM14" s="20"/>
      <c r="WBN14" s="20"/>
      <c r="WBO14" s="20"/>
      <c r="WBP14" s="20"/>
      <c r="WBQ14" s="20"/>
      <c r="WBR14" s="20"/>
      <c r="WBS14" s="20"/>
      <c r="WBT14" s="20"/>
      <c r="WBU14" s="20"/>
      <c r="WBV14" s="20"/>
      <c r="WBW14" s="20"/>
      <c r="WBX14" s="20"/>
      <c r="WBY14" s="20"/>
      <c r="WBZ14" s="20"/>
      <c r="WCA14" s="20"/>
      <c r="WCB14" s="20"/>
      <c r="WCC14" s="20"/>
      <c r="WCD14" s="20"/>
      <c r="WCE14" s="20"/>
      <c r="WCF14" s="20"/>
      <c r="WCG14" s="20"/>
      <c r="WCH14" s="20"/>
      <c r="WCI14" s="20"/>
      <c r="WCJ14" s="20"/>
      <c r="WCK14" s="20"/>
      <c r="WCL14" s="20"/>
      <c r="WCM14" s="20"/>
      <c r="WCN14" s="20"/>
      <c r="WCO14" s="20"/>
      <c r="WCP14" s="20"/>
      <c r="WCQ14" s="20"/>
      <c r="WCR14" s="20"/>
      <c r="WCS14" s="20"/>
      <c r="WCT14" s="20"/>
      <c r="WCU14" s="20"/>
      <c r="WCV14" s="20"/>
      <c r="WCW14" s="20"/>
      <c r="WCX14" s="20"/>
      <c r="WCY14" s="20"/>
      <c r="WCZ14" s="20"/>
      <c r="WDA14" s="20"/>
      <c r="WDB14" s="20"/>
      <c r="WDC14" s="20"/>
      <c r="WDD14" s="20"/>
      <c r="WDE14" s="20"/>
      <c r="WDF14" s="20"/>
      <c r="WDG14" s="20"/>
      <c r="WDH14" s="20"/>
      <c r="WDI14" s="20"/>
      <c r="WDJ14" s="20"/>
      <c r="WDK14" s="20"/>
      <c r="WDL14" s="20"/>
      <c r="WDM14" s="20"/>
      <c r="WDN14" s="20"/>
      <c r="WDO14" s="20"/>
      <c r="WDP14" s="20"/>
      <c r="WDQ14" s="20"/>
      <c r="WDR14" s="20"/>
      <c r="WDS14" s="20"/>
      <c r="WDT14" s="20"/>
      <c r="WDU14" s="20"/>
      <c r="WDV14" s="20"/>
      <c r="WDW14" s="20"/>
      <c r="WDX14" s="20"/>
      <c r="WDY14" s="20"/>
      <c r="WDZ14" s="20"/>
      <c r="WEA14" s="20"/>
      <c r="WEB14" s="20"/>
      <c r="WEC14" s="20"/>
      <c r="WED14" s="20"/>
      <c r="WEE14" s="20"/>
      <c r="WEF14" s="20"/>
      <c r="WEG14" s="20"/>
      <c r="WEH14" s="20"/>
      <c r="WEI14" s="20"/>
      <c r="WEJ14" s="20"/>
      <c r="WEK14" s="20"/>
      <c r="WEL14" s="20"/>
      <c r="WEM14" s="20"/>
      <c r="WEN14" s="20"/>
      <c r="WEO14" s="20"/>
      <c r="WEP14" s="20"/>
      <c r="WEQ14" s="20"/>
      <c r="WER14" s="20"/>
      <c r="WES14" s="20"/>
      <c r="WET14" s="20"/>
      <c r="WEU14" s="20"/>
      <c r="WEV14" s="20"/>
      <c r="WEW14" s="20"/>
      <c r="WEX14" s="20"/>
      <c r="WEY14" s="20"/>
      <c r="WEZ14" s="20"/>
      <c r="WFA14" s="20"/>
      <c r="WFB14" s="20"/>
      <c r="WFC14" s="20"/>
      <c r="WFD14" s="20"/>
      <c r="WFE14" s="20"/>
      <c r="WFF14" s="20"/>
      <c r="WFG14" s="20"/>
      <c r="WFH14" s="20"/>
      <c r="WFI14" s="20"/>
      <c r="WFJ14" s="20"/>
      <c r="WFK14" s="20"/>
      <c r="WFL14" s="20"/>
      <c r="WFM14" s="20"/>
      <c r="WFN14" s="20"/>
      <c r="WFO14" s="20"/>
      <c r="WFP14" s="20"/>
      <c r="WFQ14" s="20"/>
      <c r="WFR14" s="20"/>
      <c r="WFS14" s="20"/>
      <c r="WFT14" s="20"/>
      <c r="WFU14" s="20"/>
      <c r="WFV14" s="20"/>
      <c r="WFW14" s="20"/>
      <c r="WFX14" s="20"/>
      <c r="WFY14" s="20"/>
      <c r="WFZ14" s="20"/>
      <c r="WGA14" s="20"/>
      <c r="WGB14" s="20"/>
      <c r="WGC14" s="20"/>
      <c r="WGD14" s="20"/>
      <c r="WGE14" s="20"/>
      <c r="WGF14" s="20"/>
      <c r="WGG14" s="20"/>
      <c r="WGH14" s="20"/>
      <c r="WGI14" s="20"/>
      <c r="WGJ14" s="20"/>
      <c r="WGK14" s="20"/>
      <c r="WGL14" s="20"/>
      <c r="WGM14" s="20"/>
      <c r="WGN14" s="20"/>
      <c r="WGO14" s="20"/>
      <c r="WGP14" s="20"/>
      <c r="WGQ14" s="20"/>
      <c r="WGR14" s="20"/>
      <c r="WGS14" s="20"/>
      <c r="WGT14" s="20"/>
      <c r="WGU14" s="20"/>
      <c r="WGV14" s="20"/>
      <c r="WGW14" s="20"/>
      <c r="WGX14" s="20"/>
      <c r="WGY14" s="20"/>
      <c r="WGZ14" s="20"/>
      <c r="WHA14" s="20"/>
      <c r="WHB14" s="20"/>
      <c r="WHC14" s="20"/>
      <c r="WHD14" s="20"/>
      <c r="WHE14" s="20"/>
      <c r="WHF14" s="20"/>
      <c r="WHG14" s="20"/>
      <c r="WHH14" s="20"/>
      <c r="WHI14" s="20"/>
      <c r="WHJ14" s="20"/>
      <c r="WHK14" s="20"/>
      <c r="WHL14" s="20"/>
      <c r="WHM14" s="20"/>
      <c r="WHN14" s="20"/>
      <c r="WHO14" s="20"/>
      <c r="WHP14" s="20"/>
      <c r="WHQ14" s="20"/>
      <c r="WHR14" s="20"/>
      <c r="WHS14" s="20"/>
      <c r="WHT14" s="20"/>
      <c r="WHU14" s="20"/>
      <c r="WHV14" s="20"/>
      <c r="WHW14" s="20"/>
      <c r="WHX14" s="20"/>
      <c r="WHY14" s="20"/>
      <c r="WHZ14" s="20"/>
      <c r="WIA14" s="20"/>
      <c r="WIB14" s="20"/>
      <c r="WIC14" s="20"/>
      <c r="WID14" s="20"/>
      <c r="WIE14" s="20"/>
      <c r="WIF14" s="20"/>
      <c r="WIG14" s="20"/>
      <c r="WIH14" s="20"/>
      <c r="WII14" s="20"/>
      <c r="WIJ14" s="20"/>
      <c r="WIK14" s="20"/>
      <c r="WIL14" s="20"/>
      <c r="WIM14" s="20"/>
      <c r="WIN14" s="20"/>
      <c r="WIO14" s="20"/>
      <c r="WIP14" s="20"/>
      <c r="WIQ14" s="20"/>
      <c r="WIR14" s="20"/>
      <c r="WIS14" s="20"/>
      <c r="WIT14" s="20"/>
      <c r="WIU14" s="20"/>
      <c r="WIV14" s="20"/>
      <c r="WIW14" s="20"/>
      <c r="WIX14" s="20"/>
      <c r="WIY14" s="20"/>
      <c r="WIZ14" s="20"/>
      <c r="WJA14" s="20"/>
      <c r="WJB14" s="20"/>
      <c r="WJC14" s="20"/>
      <c r="WJD14" s="20"/>
      <c r="WJE14" s="20"/>
      <c r="WJF14" s="20"/>
      <c r="WJG14" s="20"/>
      <c r="WJH14" s="20"/>
      <c r="WJI14" s="20"/>
      <c r="WJJ14" s="20"/>
      <c r="WJK14" s="20"/>
      <c r="WJL14" s="20"/>
      <c r="WJM14" s="20"/>
      <c r="WJN14" s="20"/>
      <c r="WJO14" s="20"/>
      <c r="WJP14" s="20"/>
      <c r="WJQ14" s="20"/>
      <c r="WJR14" s="20"/>
      <c r="WJS14" s="20"/>
      <c r="WJT14" s="20"/>
      <c r="WJU14" s="20"/>
      <c r="WJV14" s="20"/>
      <c r="WJW14" s="20"/>
      <c r="WJX14" s="20"/>
      <c r="WJY14" s="20"/>
      <c r="WJZ14" s="20"/>
      <c r="WKA14" s="20"/>
      <c r="WKB14" s="20"/>
      <c r="WKC14" s="20"/>
      <c r="WKD14" s="20"/>
      <c r="WKE14" s="20"/>
      <c r="WKF14" s="20"/>
      <c r="WKG14" s="20"/>
      <c r="WKH14" s="20"/>
      <c r="WKI14" s="20"/>
      <c r="WKJ14" s="20"/>
      <c r="WKK14" s="20"/>
      <c r="WKL14" s="20"/>
      <c r="WKM14" s="20"/>
      <c r="WKN14" s="20"/>
      <c r="WKO14" s="20"/>
      <c r="WKP14" s="20"/>
      <c r="WKQ14" s="20"/>
      <c r="WKR14" s="20"/>
      <c r="WKS14" s="20"/>
      <c r="WKT14" s="20"/>
      <c r="WKU14" s="20"/>
      <c r="WKV14" s="20"/>
      <c r="WKW14" s="20"/>
      <c r="WKX14" s="20"/>
      <c r="WKY14" s="20"/>
      <c r="WKZ14" s="20"/>
      <c r="WLA14" s="20"/>
      <c r="WLB14" s="20"/>
      <c r="WLC14" s="20"/>
      <c r="WLD14" s="20"/>
      <c r="WLE14" s="20"/>
      <c r="WLF14" s="20"/>
      <c r="WLG14" s="20"/>
      <c r="WLH14" s="20"/>
      <c r="WLI14" s="20"/>
      <c r="WLJ14" s="20"/>
      <c r="WLK14" s="20"/>
      <c r="WLL14" s="20"/>
      <c r="WLM14" s="20"/>
      <c r="WLN14" s="20"/>
      <c r="WLO14" s="20"/>
      <c r="WLP14" s="20"/>
      <c r="WLQ14" s="20"/>
      <c r="WLR14" s="20"/>
      <c r="WLS14" s="20"/>
      <c r="WLT14" s="20"/>
      <c r="WLU14" s="20"/>
      <c r="WLV14" s="20"/>
      <c r="WLW14" s="20"/>
      <c r="WLX14" s="20"/>
      <c r="WLY14" s="20"/>
      <c r="WLZ14" s="20"/>
      <c r="WMA14" s="20"/>
      <c r="WMB14" s="20"/>
      <c r="WMC14" s="20"/>
      <c r="WMD14" s="20"/>
      <c r="WME14" s="20"/>
      <c r="WMF14" s="20"/>
      <c r="WMG14" s="20"/>
      <c r="WMH14" s="20"/>
      <c r="WMI14" s="20"/>
      <c r="WMJ14" s="20"/>
      <c r="WMK14" s="20"/>
      <c r="WML14" s="20"/>
      <c r="WMM14" s="20"/>
      <c r="WMN14" s="20"/>
      <c r="WMO14" s="20"/>
      <c r="WMP14" s="20"/>
      <c r="WMQ14" s="20"/>
      <c r="WMR14" s="20"/>
      <c r="WMS14" s="20"/>
      <c r="WMT14" s="20"/>
      <c r="WMU14" s="20"/>
      <c r="WMV14" s="20"/>
      <c r="WMW14" s="20"/>
      <c r="WMX14" s="20"/>
      <c r="WMY14" s="20"/>
      <c r="WMZ14" s="20"/>
      <c r="WNA14" s="20"/>
      <c r="WNB14" s="20"/>
      <c r="WNC14" s="20"/>
      <c r="WND14" s="20"/>
      <c r="WNE14" s="20"/>
      <c r="WNF14" s="20"/>
      <c r="WNG14" s="20"/>
      <c r="WNH14" s="20"/>
      <c r="WNI14" s="20"/>
      <c r="WNJ14" s="20"/>
      <c r="WNK14" s="20"/>
      <c r="WNL14" s="20"/>
      <c r="WNM14" s="20"/>
      <c r="WNN14" s="20"/>
      <c r="WNO14" s="20"/>
      <c r="WNP14" s="20"/>
      <c r="WNQ14" s="20"/>
      <c r="WNR14" s="20"/>
      <c r="WNS14" s="20"/>
      <c r="WNT14" s="20"/>
      <c r="WNU14" s="20"/>
      <c r="WNV14" s="20"/>
      <c r="WNW14" s="20"/>
      <c r="WNX14" s="20"/>
      <c r="WNY14" s="20"/>
      <c r="WNZ14" s="20"/>
      <c r="WOA14" s="20"/>
      <c r="WOB14" s="20"/>
      <c r="WOC14" s="20"/>
      <c r="WOD14" s="20"/>
      <c r="WOE14" s="20"/>
      <c r="WOF14" s="20"/>
      <c r="WOG14" s="20"/>
      <c r="WOH14" s="20"/>
      <c r="WOI14" s="20"/>
      <c r="WOJ14" s="20"/>
      <c r="WOK14" s="20"/>
      <c r="WOL14" s="20"/>
      <c r="WOM14" s="20"/>
      <c r="WON14" s="20"/>
      <c r="WOO14" s="20"/>
      <c r="WOP14" s="20"/>
      <c r="WOQ14" s="20"/>
      <c r="WOR14" s="20"/>
      <c r="WOS14" s="20"/>
      <c r="WOT14" s="20"/>
      <c r="WOU14" s="20"/>
      <c r="WOV14" s="20"/>
      <c r="WOW14" s="20"/>
      <c r="WOX14" s="20"/>
      <c r="WOY14" s="20"/>
      <c r="WOZ14" s="20"/>
      <c r="WPA14" s="20"/>
      <c r="WPB14" s="20"/>
      <c r="WPC14" s="20"/>
      <c r="WPD14" s="20"/>
      <c r="WPE14" s="20"/>
      <c r="WPF14" s="20"/>
      <c r="WPG14" s="20"/>
      <c r="WPH14" s="20"/>
      <c r="WPI14" s="20"/>
      <c r="WPJ14" s="20"/>
      <c r="WPK14" s="20"/>
      <c r="WPL14" s="20"/>
      <c r="WPM14" s="20"/>
      <c r="WPN14" s="20"/>
      <c r="WPO14" s="20"/>
      <c r="WPP14" s="20"/>
      <c r="WPQ14" s="20"/>
      <c r="WPR14" s="20"/>
      <c r="WPS14" s="20"/>
      <c r="WPT14" s="20"/>
      <c r="WPU14" s="20"/>
      <c r="WPV14" s="20"/>
      <c r="WPW14" s="20"/>
      <c r="WPX14" s="20"/>
      <c r="WPY14" s="20"/>
      <c r="WPZ14" s="20"/>
      <c r="WQA14" s="20"/>
      <c r="WQB14" s="20"/>
      <c r="WQC14" s="20"/>
      <c r="WQD14" s="20"/>
      <c r="WQE14" s="20"/>
      <c r="WQF14" s="20"/>
      <c r="WQG14" s="20"/>
      <c r="WQH14" s="20"/>
      <c r="WQI14" s="20"/>
      <c r="WQJ14" s="20"/>
      <c r="WQK14" s="20"/>
      <c r="WQL14" s="20"/>
      <c r="WQM14" s="20"/>
      <c r="WQN14" s="20"/>
      <c r="WQO14" s="20"/>
      <c r="WQP14" s="20"/>
      <c r="WQQ14" s="20"/>
      <c r="WQR14" s="20"/>
      <c r="WQS14" s="20"/>
      <c r="WQT14" s="20"/>
      <c r="WQU14" s="20"/>
      <c r="WQV14" s="20"/>
      <c r="WQW14" s="20"/>
      <c r="WQX14" s="20"/>
      <c r="WQY14" s="20"/>
      <c r="WQZ14" s="20"/>
      <c r="WRA14" s="20"/>
      <c r="WRB14" s="20"/>
      <c r="WRC14" s="20"/>
      <c r="WRD14" s="20"/>
      <c r="WRE14" s="20"/>
      <c r="WRF14" s="20"/>
      <c r="WRG14" s="20"/>
      <c r="WRH14" s="20"/>
      <c r="WRI14" s="20"/>
      <c r="WRJ14" s="20"/>
      <c r="WRK14" s="20"/>
      <c r="WRL14" s="20"/>
      <c r="WRM14" s="20"/>
      <c r="WRN14" s="20"/>
      <c r="WRO14" s="20"/>
      <c r="WRP14" s="20"/>
      <c r="WRQ14" s="20"/>
      <c r="WRR14" s="20"/>
      <c r="WRS14" s="20"/>
      <c r="WRT14" s="20"/>
      <c r="WRU14" s="20"/>
      <c r="WRV14" s="20"/>
      <c r="WRW14" s="20"/>
      <c r="WRX14" s="20"/>
      <c r="WRY14" s="20"/>
      <c r="WRZ14" s="20"/>
      <c r="WSA14" s="20"/>
      <c r="WSB14" s="20"/>
      <c r="WSC14" s="20"/>
      <c r="WSD14" s="20"/>
      <c r="WSE14" s="20"/>
      <c r="WSF14" s="20"/>
      <c r="WSG14" s="20"/>
      <c r="WSH14" s="20"/>
      <c r="WSI14" s="20"/>
      <c r="WSJ14" s="20"/>
      <c r="WSK14" s="20"/>
      <c r="WSL14" s="20"/>
      <c r="WSM14" s="20"/>
      <c r="WSN14" s="20"/>
      <c r="WSO14" s="20"/>
      <c r="WSP14" s="20"/>
      <c r="WSQ14" s="20"/>
      <c r="WSR14" s="20"/>
      <c r="WSS14" s="20"/>
      <c r="WST14" s="20"/>
      <c r="WSU14" s="20"/>
      <c r="WSV14" s="20"/>
      <c r="WSW14" s="20"/>
      <c r="WSX14" s="20"/>
      <c r="WSY14" s="20"/>
      <c r="WSZ14" s="20"/>
      <c r="WTA14" s="20"/>
      <c r="WTB14" s="20"/>
      <c r="WTC14" s="20"/>
      <c r="WTD14" s="20"/>
      <c r="WTE14" s="20"/>
      <c r="WTF14" s="20"/>
      <c r="WTG14" s="20"/>
      <c r="WTH14" s="20"/>
      <c r="WTI14" s="20"/>
      <c r="WTJ14" s="20"/>
      <c r="WTK14" s="20"/>
      <c r="WTL14" s="20"/>
      <c r="WTM14" s="20"/>
      <c r="WTN14" s="20"/>
      <c r="WTO14" s="20"/>
      <c r="WTP14" s="20"/>
      <c r="WTQ14" s="20"/>
      <c r="WTR14" s="20"/>
      <c r="WTS14" s="20"/>
      <c r="WTT14" s="20"/>
      <c r="WTU14" s="20"/>
      <c r="WTV14" s="20"/>
      <c r="WTW14" s="20"/>
      <c r="WTX14" s="20"/>
      <c r="WTY14" s="20"/>
      <c r="WTZ14" s="20"/>
      <c r="WUA14" s="20"/>
      <c r="WUB14" s="20"/>
      <c r="WUC14" s="20"/>
      <c r="WUD14" s="20"/>
      <c r="WUE14" s="20"/>
      <c r="WUF14" s="20"/>
      <c r="WUG14" s="20"/>
      <c r="WUH14" s="20"/>
      <c r="WUI14" s="20"/>
      <c r="WUJ14" s="20"/>
      <c r="WUK14" s="20"/>
      <c r="WUL14" s="20"/>
      <c r="WUM14" s="20"/>
      <c r="WUN14" s="20"/>
      <c r="WUO14" s="20"/>
      <c r="WUP14" s="20"/>
      <c r="WUQ14" s="20"/>
      <c r="WUR14" s="20"/>
      <c r="WUS14" s="20"/>
      <c r="WUT14" s="20"/>
      <c r="WUU14" s="20"/>
      <c r="WUV14" s="20"/>
      <c r="WUW14" s="20"/>
      <c r="WUX14" s="20"/>
      <c r="WUY14" s="20"/>
      <c r="WUZ14" s="20"/>
      <c r="WVA14" s="20"/>
      <c r="WVB14" s="20"/>
      <c r="WVC14" s="20"/>
      <c r="WVD14" s="20"/>
      <c r="WVE14" s="20"/>
      <c r="WVF14" s="20"/>
      <c r="WVG14" s="20"/>
      <c r="WVH14" s="20"/>
      <c r="WVI14" s="20"/>
      <c r="WVJ14" s="20"/>
      <c r="WVK14" s="20"/>
      <c r="WVL14" s="20"/>
      <c r="WVM14" s="20"/>
      <c r="WVN14" s="20"/>
    </row>
    <row r="15" spans="1:16134" s="391" customFormat="1" ht="63" customHeight="1">
      <c r="A15" s="715" t="s">
        <v>898</v>
      </c>
      <c r="B15" s="393">
        <f>3875000-73+8870741+307517-13053185</f>
        <v>0</v>
      </c>
      <c r="C15" s="399"/>
      <c r="D15" s="399"/>
      <c r="E15" s="399"/>
      <c r="F15" s="315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  <c r="ZP15" s="20"/>
      <c r="ZQ15" s="20"/>
      <c r="ZR15" s="20"/>
      <c r="ZS15" s="20"/>
      <c r="ZT15" s="20"/>
      <c r="ZU15" s="20"/>
      <c r="ZV15" s="20"/>
      <c r="ZW15" s="20"/>
      <c r="ZX15" s="20"/>
      <c r="ZY15" s="20"/>
      <c r="ZZ15" s="20"/>
      <c r="AAA15" s="20"/>
      <c r="AAB15" s="20"/>
      <c r="AAC15" s="20"/>
      <c r="AAD15" s="20"/>
      <c r="AAE15" s="20"/>
      <c r="AAF15" s="20"/>
      <c r="AAG15" s="20"/>
      <c r="AAH15" s="20"/>
      <c r="AAI15" s="20"/>
      <c r="AAJ15" s="20"/>
      <c r="AAK15" s="20"/>
      <c r="AAL15" s="20"/>
      <c r="AAM15" s="20"/>
      <c r="AAN15" s="20"/>
      <c r="AAO15" s="20"/>
      <c r="AAP15" s="20"/>
      <c r="AAQ15" s="20"/>
      <c r="AAR15" s="20"/>
      <c r="AAS15" s="20"/>
      <c r="AAT15" s="20"/>
      <c r="AAU15" s="20"/>
      <c r="AAV15" s="20"/>
      <c r="AAW15" s="20"/>
      <c r="AAX15" s="20"/>
      <c r="AAY15" s="20"/>
      <c r="AAZ15" s="20"/>
      <c r="ABA15" s="20"/>
      <c r="ABB15" s="20"/>
      <c r="ABC15" s="20"/>
      <c r="ABD15" s="20"/>
      <c r="ABE15" s="20"/>
      <c r="ABF15" s="20"/>
      <c r="ABG15" s="20"/>
      <c r="ABH15" s="20"/>
      <c r="ABI15" s="20"/>
      <c r="ABJ15" s="20"/>
      <c r="ABK15" s="20"/>
      <c r="ABL15" s="20"/>
      <c r="ABM15" s="20"/>
      <c r="ABN15" s="20"/>
      <c r="ABO15" s="20"/>
      <c r="ABP15" s="20"/>
      <c r="ABQ15" s="20"/>
      <c r="ABR15" s="20"/>
      <c r="ABS15" s="20"/>
      <c r="ABT15" s="20"/>
      <c r="ABU15" s="20"/>
      <c r="ABV15" s="20"/>
      <c r="ABW15" s="20"/>
      <c r="ABX15" s="20"/>
      <c r="ABY15" s="20"/>
      <c r="ABZ15" s="20"/>
      <c r="ACA15" s="20"/>
      <c r="ACB15" s="20"/>
      <c r="ACC15" s="20"/>
      <c r="ACD15" s="20"/>
      <c r="ACE15" s="20"/>
      <c r="ACF15" s="20"/>
      <c r="ACG15" s="20"/>
      <c r="ACH15" s="20"/>
      <c r="ACI15" s="20"/>
      <c r="ACJ15" s="20"/>
      <c r="ACK15" s="20"/>
      <c r="ACL15" s="20"/>
      <c r="ACM15" s="20"/>
      <c r="ACN15" s="20"/>
      <c r="ACO15" s="20"/>
      <c r="ACP15" s="20"/>
      <c r="ACQ15" s="20"/>
      <c r="ACR15" s="20"/>
      <c r="ACS15" s="20"/>
      <c r="ACT15" s="20"/>
      <c r="ACU15" s="20"/>
      <c r="ACV15" s="20"/>
      <c r="ACW15" s="20"/>
      <c r="ACX15" s="20"/>
      <c r="ACY15" s="20"/>
      <c r="ACZ15" s="20"/>
      <c r="ADA15" s="20"/>
      <c r="ADB15" s="20"/>
      <c r="ADC15" s="20"/>
      <c r="ADD15" s="20"/>
      <c r="ADE15" s="20"/>
      <c r="ADF15" s="20"/>
      <c r="ADG15" s="20"/>
      <c r="ADH15" s="20"/>
      <c r="ADI15" s="20"/>
      <c r="ADJ15" s="20"/>
      <c r="ADK15" s="20"/>
      <c r="ADL15" s="20"/>
      <c r="ADM15" s="20"/>
      <c r="ADN15" s="20"/>
      <c r="ADO15" s="20"/>
      <c r="ADP15" s="20"/>
      <c r="ADQ15" s="20"/>
      <c r="ADR15" s="20"/>
      <c r="ADS15" s="20"/>
      <c r="ADT15" s="20"/>
      <c r="ADU15" s="20"/>
      <c r="ADV15" s="20"/>
      <c r="ADW15" s="20"/>
      <c r="ADX15" s="20"/>
      <c r="ADY15" s="20"/>
      <c r="ADZ15" s="20"/>
      <c r="AEA15" s="20"/>
      <c r="AEB15" s="20"/>
      <c r="AEC15" s="20"/>
      <c r="AED15" s="20"/>
      <c r="AEE15" s="20"/>
      <c r="AEF15" s="20"/>
      <c r="AEG15" s="20"/>
      <c r="AEH15" s="20"/>
      <c r="AEI15" s="20"/>
      <c r="AEJ15" s="20"/>
      <c r="AEK15" s="20"/>
      <c r="AEL15" s="20"/>
      <c r="AEM15" s="20"/>
      <c r="AEN15" s="20"/>
      <c r="AEO15" s="20"/>
      <c r="AEP15" s="20"/>
      <c r="AEQ15" s="20"/>
      <c r="AER15" s="20"/>
      <c r="AES15" s="20"/>
      <c r="AET15" s="20"/>
      <c r="AEU15" s="20"/>
      <c r="AEV15" s="20"/>
      <c r="AEW15" s="20"/>
      <c r="AEX15" s="20"/>
      <c r="AEY15" s="20"/>
      <c r="AEZ15" s="20"/>
      <c r="AFA15" s="20"/>
      <c r="AFB15" s="20"/>
      <c r="AFC15" s="20"/>
      <c r="AFD15" s="20"/>
      <c r="AFE15" s="20"/>
      <c r="AFF15" s="20"/>
      <c r="AFG15" s="20"/>
      <c r="AFH15" s="20"/>
      <c r="AFI15" s="20"/>
      <c r="AFJ15" s="20"/>
      <c r="AFK15" s="20"/>
      <c r="AFL15" s="20"/>
      <c r="AFM15" s="20"/>
      <c r="AFN15" s="20"/>
      <c r="AFO15" s="20"/>
      <c r="AFP15" s="20"/>
      <c r="AFQ15" s="20"/>
      <c r="AFR15" s="20"/>
      <c r="AFS15" s="20"/>
      <c r="AFT15" s="20"/>
      <c r="AFU15" s="20"/>
      <c r="AFV15" s="20"/>
      <c r="AFW15" s="20"/>
      <c r="AFX15" s="20"/>
      <c r="AFY15" s="20"/>
      <c r="AFZ15" s="20"/>
      <c r="AGA15" s="20"/>
      <c r="AGB15" s="20"/>
      <c r="AGC15" s="20"/>
      <c r="AGD15" s="20"/>
      <c r="AGE15" s="20"/>
      <c r="AGF15" s="20"/>
      <c r="AGG15" s="20"/>
      <c r="AGH15" s="20"/>
      <c r="AGI15" s="20"/>
      <c r="AGJ15" s="20"/>
      <c r="AGK15" s="20"/>
      <c r="AGL15" s="20"/>
      <c r="AGM15" s="20"/>
      <c r="AGN15" s="20"/>
      <c r="AGO15" s="20"/>
      <c r="AGP15" s="20"/>
      <c r="AGQ15" s="20"/>
      <c r="AGR15" s="20"/>
      <c r="AGS15" s="20"/>
      <c r="AGT15" s="20"/>
      <c r="AGU15" s="20"/>
      <c r="AGV15" s="20"/>
      <c r="AGW15" s="20"/>
      <c r="AGX15" s="20"/>
      <c r="AGY15" s="20"/>
      <c r="AGZ15" s="20"/>
      <c r="AHA15" s="20"/>
      <c r="AHB15" s="20"/>
      <c r="AHC15" s="20"/>
      <c r="AHD15" s="20"/>
      <c r="AHE15" s="20"/>
      <c r="AHF15" s="20"/>
      <c r="AHG15" s="20"/>
      <c r="AHH15" s="20"/>
      <c r="AHI15" s="20"/>
      <c r="AHJ15" s="20"/>
      <c r="AHK15" s="20"/>
      <c r="AHL15" s="20"/>
      <c r="AHM15" s="20"/>
      <c r="AHN15" s="20"/>
      <c r="AHO15" s="20"/>
      <c r="AHP15" s="20"/>
      <c r="AHQ15" s="20"/>
      <c r="AHR15" s="20"/>
      <c r="AHS15" s="20"/>
      <c r="AHT15" s="20"/>
      <c r="AHU15" s="20"/>
      <c r="AHV15" s="20"/>
      <c r="AHW15" s="20"/>
      <c r="AHX15" s="20"/>
      <c r="AHY15" s="20"/>
      <c r="AHZ15" s="20"/>
      <c r="AIA15" s="20"/>
      <c r="AIB15" s="20"/>
      <c r="AIC15" s="20"/>
      <c r="AID15" s="20"/>
      <c r="AIE15" s="20"/>
      <c r="AIF15" s="20"/>
      <c r="AIG15" s="20"/>
      <c r="AIH15" s="20"/>
      <c r="AII15" s="20"/>
      <c r="AIJ15" s="20"/>
      <c r="AIK15" s="20"/>
      <c r="AIL15" s="20"/>
      <c r="AIM15" s="20"/>
      <c r="AIN15" s="20"/>
      <c r="AIO15" s="20"/>
      <c r="AIP15" s="20"/>
      <c r="AIQ15" s="20"/>
      <c r="AIR15" s="20"/>
      <c r="AIS15" s="20"/>
      <c r="AIT15" s="20"/>
      <c r="AIU15" s="20"/>
      <c r="AIV15" s="20"/>
      <c r="AIW15" s="20"/>
      <c r="AIX15" s="20"/>
      <c r="AIY15" s="20"/>
      <c r="AIZ15" s="20"/>
      <c r="AJA15" s="20"/>
      <c r="AJB15" s="20"/>
      <c r="AJC15" s="20"/>
      <c r="AJD15" s="20"/>
      <c r="AJE15" s="20"/>
      <c r="AJF15" s="20"/>
      <c r="AJG15" s="20"/>
      <c r="AJH15" s="20"/>
      <c r="AJI15" s="20"/>
      <c r="AJJ15" s="20"/>
      <c r="AJK15" s="20"/>
      <c r="AJL15" s="20"/>
      <c r="AJM15" s="20"/>
      <c r="AJN15" s="20"/>
      <c r="AJO15" s="20"/>
      <c r="AJP15" s="20"/>
      <c r="AJQ15" s="20"/>
      <c r="AJR15" s="20"/>
      <c r="AJS15" s="20"/>
      <c r="AJT15" s="20"/>
      <c r="AJU15" s="20"/>
      <c r="AJV15" s="20"/>
      <c r="AJW15" s="20"/>
      <c r="AJX15" s="20"/>
      <c r="AJY15" s="20"/>
      <c r="AJZ15" s="20"/>
      <c r="AKA15" s="20"/>
      <c r="AKB15" s="20"/>
      <c r="AKC15" s="20"/>
      <c r="AKD15" s="20"/>
      <c r="AKE15" s="20"/>
      <c r="AKF15" s="20"/>
      <c r="AKG15" s="20"/>
      <c r="AKH15" s="20"/>
      <c r="AKI15" s="20"/>
      <c r="AKJ15" s="20"/>
      <c r="AKK15" s="20"/>
      <c r="AKL15" s="20"/>
      <c r="AKM15" s="20"/>
      <c r="AKN15" s="20"/>
      <c r="AKO15" s="20"/>
      <c r="AKP15" s="20"/>
      <c r="AKQ15" s="20"/>
      <c r="AKR15" s="20"/>
      <c r="AKS15" s="20"/>
      <c r="AKT15" s="20"/>
      <c r="AKU15" s="20"/>
      <c r="AKV15" s="20"/>
      <c r="AKW15" s="20"/>
      <c r="AKX15" s="20"/>
      <c r="AKY15" s="20"/>
      <c r="AKZ15" s="20"/>
      <c r="ALA15" s="20"/>
      <c r="ALB15" s="20"/>
      <c r="ALC15" s="20"/>
      <c r="ALD15" s="20"/>
      <c r="ALE15" s="20"/>
      <c r="ALF15" s="20"/>
      <c r="ALG15" s="20"/>
      <c r="ALH15" s="20"/>
      <c r="ALI15" s="20"/>
      <c r="ALJ15" s="20"/>
      <c r="ALK15" s="20"/>
      <c r="ALL15" s="20"/>
      <c r="ALM15" s="20"/>
      <c r="ALN15" s="20"/>
      <c r="ALO15" s="20"/>
      <c r="ALP15" s="20"/>
      <c r="ALQ15" s="20"/>
      <c r="ALR15" s="20"/>
      <c r="ALS15" s="20"/>
      <c r="ALT15" s="20"/>
      <c r="ALU15" s="20"/>
      <c r="ALV15" s="20"/>
      <c r="ALW15" s="20"/>
      <c r="ALX15" s="20"/>
      <c r="ALY15" s="20"/>
      <c r="ALZ15" s="20"/>
      <c r="AMA15" s="20"/>
      <c r="AMB15" s="20"/>
      <c r="AMC15" s="20"/>
      <c r="AMD15" s="20"/>
      <c r="AME15" s="20"/>
      <c r="AMF15" s="20"/>
      <c r="AMG15" s="20"/>
      <c r="AMH15" s="20"/>
      <c r="AMI15" s="20"/>
      <c r="AMJ15" s="20"/>
      <c r="AMK15" s="20"/>
      <c r="AML15" s="20"/>
      <c r="AMM15" s="20"/>
      <c r="AMN15" s="20"/>
      <c r="AMO15" s="20"/>
      <c r="AMP15" s="20"/>
      <c r="AMQ15" s="20"/>
      <c r="AMR15" s="20"/>
      <c r="AMS15" s="20"/>
      <c r="AMT15" s="20"/>
      <c r="AMU15" s="20"/>
      <c r="AMV15" s="20"/>
      <c r="AMW15" s="20"/>
      <c r="AMX15" s="20"/>
      <c r="AMY15" s="20"/>
      <c r="AMZ15" s="20"/>
      <c r="ANA15" s="20"/>
      <c r="ANB15" s="20"/>
      <c r="ANC15" s="20"/>
      <c r="AND15" s="20"/>
      <c r="ANE15" s="20"/>
      <c r="ANF15" s="20"/>
      <c r="ANG15" s="20"/>
      <c r="ANH15" s="20"/>
      <c r="ANI15" s="20"/>
      <c r="ANJ15" s="20"/>
      <c r="ANK15" s="20"/>
      <c r="ANL15" s="20"/>
      <c r="ANM15" s="20"/>
      <c r="ANN15" s="20"/>
      <c r="ANO15" s="20"/>
      <c r="ANP15" s="20"/>
      <c r="ANQ15" s="20"/>
      <c r="ANR15" s="20"/>
      <c r="ANS15" s="20"/>
      <c r="ANT15" s="20"/>
      <c r="ANU15" s="20"/>
      <c r="ANV15" s="20"/>
      <c r="ANW15" s="20"/>
      <c r="ANX15" s="20"/>
      <c r="ANY15" s="20"/>
      <c r="ANZ15" s="20"/>
      <c r="AOA15" s="20"/>
      <c r="AOB15" s="20"/>
      <c r="AOC15" s="20"/>
      <c r="AOD15" s="20"/>
      <c r="AOE15" s="20"/>
      <c r="AOF15" s="20"/>
      <c r="AOG15" s="20"/>
      <c r="AOH15" s="20"/>
      <c r="AOI15" s="20"/>
      <c r="AOJ15" s="20"/>
      <c r="AOK15" s="20"/>
      <c r="AOL15" s="20"/>
      <c r="AOM15" s="20"/>
      <c r="AON15" s="20"/>
      <c r="AOO15" s="20"/>
      <c r="AOP15" s="20"/>
      <c r="AOQ15" s="20"/>
      <c r="AOR15" s="20"/>
      <c r="AOS15" s="20"/>
      <c r="AOT15" s="20"/>
      <c r="AOU15" s="20"/>
      <c r="AOV15" s="20"/>
      <c r="AOW15" s="20"/>
      <c r="AOX15" s="20"/>
      <c r="AOY15" s="20"/>
      <c r="AOZ15" s="20"/>
      <c r="APA15" s="20"/>
      <c r="APB15" s="20"/>
      <c r="APC15" s="20"/>
      <c r="APD15" s="20"/>
      <c r="APE15" s="20"/>
      <c r="APF15" s="20"/>
      <c r="APG15" s="20"/>
      <c r="APH15" s="20"/>
      <c r="API15" s="20"/>
      <c r="APJ15" s="20"/>
      <c r="APK15" s="20"/>
      <c r="APL15" s="20"/>
      <c r="APM15" s="20"/>
      <c r="APN15" s="20"/>
      <c r="APO15" s="20"/>
      <c r="APP15" s="20"/>
      <c r="APQ15" s="20"/>
      <c r="APR15" s="20"/>
      <c r="APS15" s="20"/>
      <c r="APT15" s="20"/>
      <c r="APU15" s="20"/>
      <c r="APV15" s="20"/>
      <c r="APW15" s="20"/>
      <c r="APX15" s="20"/>
      <c r="APY15" s="20"/>
      <c r="APZ15" s="20"/>
      <c r="AQA15" s="20"/>
      <c r="AQB15" s="20"/>
      <c r="AQC15" s="20"/>
      <c r="AQD15" s="20"/>
      <c r="AQE15" s="20"/>
      <c r="AQF15" s="20"/>
      <c r="AQG15" s="20"/>
      <c r="AQH15" s="20"/>
      <c r="AQI15" s="20"/>
      <c r="AQJ15" s="20"/>
      <c r="AQK15" s="20"/>
      <c r="AQL15" s="20"/>
      <c r="AQM15" s="20"/>
      <c r="AQN15" s="20"/>
      <c r="AQO15" s="20"/>
      <c r="AQP15" s="20"/>
      <c r="AQQ15" s="20"/>
      <c r="AQR15" s="20"/>
      <c r="AQS15" s="20"/>
      <c r="AQT15" s="20"/>
      <c r="AQU15" s="20"/>
      <c r="AQV15" s="20"/>
      <c r="AQW15" s="20"/>
      <c r="AQX15" s="20"/>
      <c r="AQY15" s="20"/>
      <c r="AQZ15" s="20"/>
      <c r="ARA15" s="20"/>
      <c r="ARB15" s="20"/>
      <c r="ARC15" s="20"/>
      <c r="ARD15" s="20"/>
      <c r="ARE15" s="20"/>
      <c r="ARF15" s="20"/>
      <c r="ARG15" s="20"/>
      <c r="ARH15" s="20"/>
      <c r="ARI15" s="20"/>
      <c r="ARJ15" s="20"/>
      <c r="ARK15" s="20"/>
      <c r="ARL15" s="20"/>
      <c r="ARM15" s="20"/>
      <c r="ARN15" s="20"/>
      <c r="ARO15" s="20"/>
      <c r="ARP15" s="20"/>
      <c r="ARQ15" s="20"/>
      <c r="ARR15" s="20"/>
      <c r="ARS15" s="20"/>
      <c r="ART15" s="20"/>
      <c r="ARU15" s="20"/>
      <c r="ARV15" s="20"/>
      <c r="ARW15" s="20"/>
      <c r="ARX15" s="20"/>
      <c r="ARY15" s="20"/>
      <c r="ARZ15" s="20"/>
      <c r="ASA15" s="20"/>
      <c r="ASB15" s="20"/>
      <c r="ASC15" s="20"/>
      <c r="ASD15" s="20"/>
      <c r="ASE15" s="20"/>
      <c r="ASF15" s="20"/>
      <c r="ASG15" s="20"/>
      <c r="ASH15" s="20"/>
      <c r="ASI15" s="20"/>
      <c r="ASJ15" s="20"/>
      <c r="ASK15" s="20"/>
      <c r="ASL15" s="20"/>
      <c r="ASM15" s="20"/>
      <c r="ASN15" s="20"/>
      <c r="ASO15" s="20"/>
      <c r="ASP15" s="20"/>
      <c r="ASQ15" s="20"/>
      <c r="ASR15" s="20"/>
      <c r="ASS15" s="20"/>
      <c r="AST15" s="20"/>
      <c r="ASU15" s="20"/>
      <c r="ASV15" s="20"/>
      <c r="ASW15" s="20"/>
      <c r="ASX15" s="20"/>
      <c r="ASY15" s="20"/>
      <c r="ASZ15" s="20"/>
      <c r="ATA15" s="20"/>
      <c r="ATB15" s="20"/>
      <c r="ATC15" s="20"/>
      <c r="ATD15" s="20"/>
      <c r="ATE15" s="20"/>
      <c r="ATF15" s="20"/>
      <c r="ATG15" s="20"/>
      <c r="ATH15" s="20"/>
      <c r="ATI15" s="20"/>
      <c r="ATJ15" s="20"/>
      <c r="ATK15" s="20"/>
      <c r="ATL15" s="20"/>
      <c r="ATM15" s="20"/>
      <c r="ATN15" s="20"/>
      <c r="ATO15" s="20"/>
      <c r="ATP15" s="20"/>
      <c r="ATQ15" s="20"/>
      <c r="ATR15" s="20"/>
      <c r="ATS15" s="20"/>
      <c r="ATT15" s="20"/>
      <c r="ATU15" s="20"/>
      <c r="ATV15" s="20"/>
      <c r="ATW15" s="20"/>
      <c r="ATX15" s="20"/>
      <c r="ATY15" s="20"/>
      <c r="ATZ15" s="20"/>
      <c r="AUA15" s="20"/>
      <c r="AUB15" s="20"/>
      <c r="AUC15" s="20"/>
      <c r="AUD15" s="20"/>
      <c r="AUE15" s="20"/>
      <c r="AUF15" s="20"/>
      <c r="AUG15" s="20"/>
      <c r="AUH15" s="20"/>
      <c r="AUI15" s="20"/>
      <c r="AUJ15" s="20"/>
      <c r="AUK15" s="20"/>
      <c r="AUL15" s="20"/>
      <c r="AUM15" s="20"/>
      <c r="AUN15" s="20"/>
      <c r="AUO15" s="20"/>
      <c r="AUP15" s="20"/>
      <c r="AUQ15" s="20"/>
      <c r="AUR15" s="20"/>
      <c r="AUS15" s="20"/>
      <c r="AUT15" s="20"/>
      <c r="AUU15" s="20"/>
      <c r="AUV15" s="20"/>
      <c r="AUW15" s="20"/>
      <c r="AUX15" s="20"/>
      <c r="AUY15" s="20"/>
      <c r="AUZ15" s="20"/>
      <c r="AVA15" s="20"/>
      <c r="AVB15" s="20"/>
      <c r="AVC15" s="20"/>
      <c r="AVD15" s="20"/>
      <c r="AVE15" s="20"/>
      <c r="AVF15" s="20"/>
      <c r="AVG15" s="20"/>
      <c r="AVH15" s="20"/>
      <c r="AVI15" s="20"/>
      <c r="AVJ15" s="20"/>
      <c r="AVK15" s="20"/>
      <c r="AVL15" s="20"/>
      <c r="AVM15" s="20"/>
      <c r="AVN15" s="20"/>
      <c r="AVO15" s="20"/>
      <c r="AVP15" s="20"/>
      <c r="AVQ15" s="20"/>
      <c r="AVR15" s="20"/>
      <c r="AVS15" s="20"/>
      <c r="AVT15" s="20"/>
      <c r="AVU15" s="20"/>
      <c r="AVV15" s="20"/>
      <c r="AVW15" s="20"/>
      <c r="AVX15" s="20"/>
      <c r="AVY15" s="20"/>
      <c r="AVZ15" s="20"/>
      <c r="AWA15" s="20"/>
      <c r="AWB15" s="20"/>
      <c r="AWC15" s="20"/>
      <c r="AWD15" s="20"/>
      <c r="AWE15" s="20"/>
      <c r="AWF15" s="20"/>
      <c r="AWG15" s="20"/>
      <c r="AWH15" s="20"/>
      <c r="AWI15" s="20"/>
      <c r="AWJ15" s="20"/>
      <c r="AWK15" s="20"/>
      <c r="AWL15" s="20"/>
      <c r="AWM15" s="20"/>
      <c r="AWN15" s="20"/>
      <c r="AWO15" s="20"/>
      <c r="AWP15" s="20"/>
      <c r="AWQ15" s="20"/>
      <c r="AWR15" s="20"/>
      <c r="AWS15" s="20"/>
      <c r="AWT15" s="20"/>
      <c r="AWU15" s="20"/>
      <c r="AWV15" s="20"/>
      <c r="AWW15" s="20"/>
      <c r="AWX15" s="20"/>
      <c r="AWY15" s="20"/>
      <c r="AWZ15" s="20"/>
      <c r="AXA15" s="20"/>
      <c r="AXB15" s="20"/>
      <c r="AXC15" s="20"/>
      <c r="AXD15" s="20"/>
      <c r="AXE15" s="20"/>
      <c r="AXF15" s="20"/>
      <c r="AXG15" s="20"/>
      <c r="AXH15" s="20"/>
      <c r="AXI15" s="20"/>
      <c r="AXJ15" s="20"/>
      <c r="AXK15" s="20"/>
      <c r="AXL15" s="20"/>
      <c r="AXM15" s="20"/>
      <c r="AXN15" s="20"/>
      <c r="AXO15" s="20"/>
      <c r="AXP15" s="20"/>
      <c r="AXQ15" s="20"/>
      <c r="AXR15" s="20"/>
      <c r="AXS15" s="20"/>
      <c r="AXT15" s="20"/>
      <c r="AXU15" s="20"/>
      <c r="AXV15" s="20"/>
      <c r="AXW15" s="20"/>
      <c r="AXX15" s="20"/>
      <c r="AXY15" s="20"/>
      <c r="AXZ15" s="20"/>
      <c r="AYA15" s="20"/>
      <c r="AYB15" s="20"/>
      <c r="AYC15" s="20"/>
      <c r="AYD15" s="20"/>
      <c r="AYE15" s="20"/>
      <c r="AYF15" s="20"/>
      <c r="AYG15" s="20"/>
      <c r="AYH15" s="20"/>
      <c r="AYI15" s="20"/>
      <c r="AYJ15" s="20"/>
      <c r="AYK15" s="20"/>
      <c r="AYL15" s="20"/>
      <c r="AYM15" s="20"/>
      <c r="AYN15" s="20"/>
      <c r="AYO15" s="20"/>
      <c r="AYP15" s="20"/>
      <c r="AYQ15" s="20"/>
      <c r="AYR15" s="20"/>
      <c r="AYS15" s="20"/>
      <c r="AYT15" s="20"/>
      <c r="AYU15" s="20"/>
      <c r="AYV15" s="20"/>
      <c r="AYW15" s="20"/>
      <c r="AYX15" s="20"/>
      <c r="AYY15" s="20"/>
      <c r="AYZ15" s="20"/>
      <c r="AZA15" s="20"/>
      <c r="AZB15" s="20"/>
      <c r="AZC15" s="20"/>
      <c r="AZD15" s="20"/>
      <c r="AZE15" s="20"/>
      <c r="AZF15" s="20"/>
      <c r="AZG15" s="20"/>
      <c r="AZH15" s="20"/>
      <c r="AZI15" s="20"/>
      <c r="AZJ15" s="20"/>
      <c r="AZK15" s="20"/>
      <c r="AZL15" s="20"/>
      <c r="AZM15" s="20"/>
      <c r="AZN15" s="20"/>
      <c r="AZO15" s="20"/>
      <c r="AZP15" s="20"/>
      <c r="AZQ15" s="20"/>
      <c r="AZR15" s="20"/>
      <c r="AZS15" s="20"/>
      <c r="AZT15" s="20"/>
      <c r="AZU15" s="20"/>
      <c r="AZV15" s="20"/>
      <c r="AZW15" s="20"/>
      <c r="AZX15" s="20"/>
      <c r="AZY15" s="20"/>
      <c r="AZZ15" s="20"/>
      <c r="BAA15" s="20"/>
      <c r="BAB15" s="20"/>
      <c r="BAC15" s="20"/>
      <c r="BAD15" s="20"/>
      <c r="BAE15" s="20"/>
      <c r="BAF15" s="20"/>
      <c r="BAG15" s="20"/>
      <c r="BAH15" s="20"/>
      <c r="BAI15" s="20"/>
      <c r="BAJ15" s="20"/>
      <c r="BAK15" s="20"/>
      <c r="BAL15" s="20"/>
      <c r="BAM15" s="20"/>
      <c r="BAN15" s="20"/>
      <c r="BAO15" s="20"/>
      <c r="BAP15" s="20"/>
      <c r="BAQ15" s="20"/>
      <c r="BAR15" s="20"/>
      <c r="BAS15" s="20"/>
      <c r="BAT15" s="20"/>
      <c r="BAU15" s="20"/>
      <c r="BAV15" s="20"/>
      <c r="BAW15" s="20"/>
      <c r="BAX15" s="20"/>
      <c r="BAY15" s="20"/>
      <c r="BAZ15" s="20"/>
      <c r="BBA15" s="20"/>
      <c r="BBB15" s="20"/>
      <c r="BBC15" s="20"/>
      <c r="BBD15" s="20"/>
      <c r="BBE15" s="20"/>
      <c r="BBF15" s="20"/>
      <c r="BBG15" s="20"/>
      <c r="BBH15" s="20"/>
      <c r="BBI15" s="20"/>
      <c r="BBJ15" s="20"/>
      <c r="BBK15" s="20"/>
      <c r="BBL15" s="20"/>
      <c r="BBM15" s="20"/>
      <c r="BBN15" s="20"/>
      <c r="BBO15" s="20"/>
      <c r="BBP15" s="20"/>
      <c r="BBQ15" s="20"/>
      <c r="BBR15" s="20"/>
      <c r="BBS15" s="20"/>
      <c r="BBT15" s="20"/>
      <c r="BBU15" s="20"/>
      <c r="BBV15" s="20"/>
      <c r="BBW15" s="20"/>
      <c r="BBX15" s="20"/>
      <c r="BBY15" s="20"/>
      <c r="BBZ15" s="20"/>
      <c r="BCA15" s="20"/>
      <c r="BCB15" s="20"/>
      <c r="BCC15" s="20"/>
      <c r="BCD15" s="20"/>
      <c r="BCE15" s="20"/>
      <c r="BCF15" s="20"/>
      <c r="BCG15" s="20"/>
      <c r="BCH15" s="20"/>
      <c r="BCI15" s="20"/>
      <c r="BCJ15" s="20"/>
      <c r="BCK15" s="20"/>
      <c r="BCL15" s="20"/>
      <c r="BCM15" s="20"/>
      <c r="BCN15" s="20"/>
      <c r="BCO15" s="20"/>
      <c r="BCP15" s="20"/>
      <c r="BCQ15" s="20"/>
      <c r="BCR15" s="20"/>
      <c r="BCS15" s="20"/>
      <c r="BCT15" s="20"/>
      <c r="BCU15" s="20"/>
      <c r="BCV15" s="20"/>
      <c r="BCW15" s="20"/>
      <c r="BCX15" s="20"/>
      <c r="BCY15" s="20"/>
      <c r="BCZ15" s="20"/>
      <c r="BDA15" s="20"/>
      <c r="BDB15" s="20"/>
      <c r="BDC15" s="20"/>
      <c r="BDD15" s="20"/>
      <c r="BDE15" s="20"/>
      <c r="BDF15" s="20"/>
      <c r="BDG15" s="20"/>
      <c r="BDH15" s="20"/>
      <c r="BDI15" s="20"/>
      <c r="BDJ15" s="20"/>
      <c r="BDK15" s="20"/>
      <c r="BDL15" s="20"/>
      <c r="BDM15" s="20"/>
      <c r="BDN15" s="20"/>
      <c r="BDO15" s="20"/>
      <c r="BDP15" s="20"/>
      <c r="BDQ15" s="20"/>
      <c r="BDR15" s="20"/>
      <c r="BDS15" s="20"/>
      <c r="BDT15" s="20"/>
      <c r="BDU15" s="20"/>
      <c r="BDV15" s="20"/>
      <c r="BDW15" s="20"/>
      <c r="BDX15" s="20"/>
      <c r="BDY15" s="20"/>
      <c r="BDZ15" s="20"/>
      <c r="BEA15" s="20"/>
      <c r="BEB15" s="20"/>
      <c r="BEC15" s="20"/>
      <c r="BED15" s="20"/>
      <c r="BEE15" s="20"/>
      <c r="BEF15" s="20"/>
      <c r="BEG15" s="20"/>
      <c r="BEH15" s="20"/>
      <c r="BEI15" s="20"/>
      <c r="BEJ15" s="20"/>
      <c r="BEK15" s="20"/>
      <c r="BEL15" s="20"/>
      <c r="BEM15" s="20"/>
      <c r="BEN15" s="20"/>
      <c r="BEO15" s="20"/>
      <c r="BEP15" s="20"/>
      <c r="BEQ15" s="20"/>
      <c r="BER15" s="20"/>
      <c r="BES15" s="20"/>
      <c r="BET15" s="20"/>
      <c r="BEU15" s="20"/>
      <c r="BEV15" s="20"/>
      <c r="BEW15" s="20"/>
      <c r="BEX15" s="20"/>
      <c r="BEY15" s="20"/>
      <c r="BEZ15" s="20"/>
      <c r="BFA15" s="20"/>
      <c r="BFB15" s="20"/>
      <c r="BFC15" s="20"/>
      <c r="BFD15" s="20"/>
      <c r="BFE15" s="20"/>
      <c r="BFF15" s="20"/>
      <c r="BFG15" s="20"/>
      <c r="BFH15" s="20"/>
      <c r="BFI15" s="20"/>
      <c r="BFJ15" s="20"/>
      <c r="BFK15" s="20"/>
      <c r="BFL15" s="20"/>
      <c r="BFM15" s="20"/>
      <c r="BFN15" s="20"/>
      <c r="BFO15" s="20"/>
      <c r="BFP15" s="20"/>
      <c r="BFQ15" s="20"/>
      <c r="BFR15" s="20"/>
      <c r="BFS15" s="20"/>
      <c r="BFT15" s="20"/>
      <c r="BFU15" s="20"/>
      <c r="BFV15" s="20"/>
      <c r="BFW15" s="20"/>
      <c r="BFX15" s="20"/>
      <c r="BFY15" s="20"/>
      <c r="BFZ15" s="20"/>
      <c r="BGA15" s="20"/>
      <c r="BGB15" s="20"/>
      <c r="BGC15" s="20"/>
      <c r="BGD15" s="20"/>
      <c r="BGE15" s="20"/>
      <c r="BGF15" s="20"/>
      <c r="BGG15" s="20"/>
      <c r="BGH15" s="20"/>
      <c r="BGI15" s="20"/>
      <c r="BGJ15" s="20"/>
      <c r="BGK15" s="20"/>
      <c r="BGL15" s="20"/>
      <c r="BGM15" s="20"/>
      <c r="BGN15" s="20"/>
      <c r="BGO15" s="20"/>
      <c r="BGP15" s="20"/>
      <c r="BGQ15" s="20"/>
      <c r="BGR15" s="20"/>
      <c r="BGS15" s="20"/>
      <c r="BGT15" s="20"/>
      <c r="BGU15" s="20"/>
      <c r="BGV15" s="20"/>
      <c r="BGW15" s="20"/>
      <c r="BGX15" s="20"/>
      <c r="BGY15" s="20"/>
      <c r="BGZ15" s="20"/>
      <c r="BHA15" s="20"/>
      <c r="BHB15" s="20"/>
      <c r="BHC15" s="20"/>
      <c r="BHD15" s="20"/>
      <c r="BHE15" s="20"/>
      <c r="BHF15" s="20"/>
      <c r="BHG15" s="20"/>
      <c r="BHH15" s="20"/>
      <c r="BHI15" s="20"/>
      <c r="BHJ15" s="20"/>
      <c r="BHK15" s="20"/>
      <c r="BHL15" s="20"/>
      <c r="BHM15" s="20"/>
      <c r="BHN15" s="20"/>
      <c r="BHO15" s="20"/>
      <c r="BHP15" s="20"/>
      <c r="BHQ15" s="20"/>
      <c r="BHR15" s="20"/>
      <c r="BHS15" s="20"/>
      <c r="BHT15" s="20"/>
      <c r="BHU15" s="20"/>
      <c r="BHV15" s="20"/>
      <c r="BHW15" s="20"/>
      <c r="BHX15" s="20"/>
      <c r="BHY15" s="20"/>
      <c r="BHZ15" s="20"/>
      <c r="BIA15" s="20"/>
      <c r="BIB15" s="20"/>
      <c r="BIC15" s="20"/>
      <c r="BID15" s="20"/>
      <c r="BIE15" s="20"/>
      <c r="BIF15" s="20"/>
      <c r="BIG15" s="20"/>
      <c r="BIH15" s="20"/>
      <c r="BII15" s="20"/>
      <c r="BIJ15" s="20"/>
      <c r="BIK15" s="20"/>
      <c r="BIL15" s="20"/>
      <c r="BIM15" s="20"/>
      <c r="BIN15" s="20"/>
      <c r="BIO15" s="20"/>
      <c r="BIP15" s="20"/>
      <c r="BIQ15" s="20"/>
      <c r="BIR15" s="20"/>
      <c r="BIS15" s="20"/>
      <c r="BIT15" s="20"/>
      <c r="BIU15" s="20"/>
      <c r="BIV15" s="20"/>
      <c r="BIW15" s="20"/>
      <c r="BIX15" s="20"/>
      <c r="BIY15" s="20"/>
      <c r="BIZ15" s="20"/>
      <c r="BJA15" s="20"/>
      <c r="BJB15" s="20"/>
      <c r="BJC15" s="20"/>
      <c r="BJD15" s="20"/>
      <c r="BJE15" s="20"/>
      <c r="BJF15" s="20"/>
      <c r="BJG15" s="20"/>
      <c r="BJH15" s="20"/>
      <c r="BJI15" s="20"/>
      <c r="BJJ15" s="20"/>
      <c r="BJK15" s="20"/>
      <c r="BJL15" s="20"/>
      <c r="BJM15" s="20"/>
      <c r="BJN15" s="20"/>
      <c r="BJO15" s="20"/>
      <c r="BJP15" s="20"/>
      <c r="BJQ15" s="20"/>
      <c r="BJR15" s="20"/>
      <c r="BJS15" s="20"/>
      <c r="BJT15" s="20"/>
      <c r="BJU15" s="20"/>
      <c r="BJV15" s="20"/>
      <c r="BJW15" s="20"/>
      <c r="BJX15" s="20"/>
      <c r="BJY15" s="20"/>
      <c r="BJZ15" s="20"/>
      <c r="BKA15" s="20"/>
      <c r="BKB15" s="20"/>
      <c r="BKC15" s="20"/>
      <c r="BKD15" s="20"/>
      <c r="BKE15" s="20"/>
      <c r="BKF15" s="20"/>
      <c r="BKG15" s="20"/>
      <c r="BKH15" s="20"/>
      <c r="BKI15" s="20"/>
      <c r="BKJ15" s="20"/>
      <c r="BKK15" s="20"/>
      <c r="BKL15" s="20"/>
      <c r="BKM15" s="20"/>
      <c r="BKN15" s="20"/>
      <c r="BKO15" s="20"/>
      <c r="BKP15" s="20"/>
      <c r="BKQ15" s="20"/>
      <c r="BKR15" s="20"/>
      <c r="BKS15" s="20"/>
      <c r="BKT15" s="20"/>
      <c r="BKU15" s="20"/>
      <c r="BKV15" s="20"/>
      <c r="BKW15" s="20"/>
      <c r="BKX15" s="20"/>
      <c r="BKY15" s="20"/>
      <c r="BKZ15" s="20"/>
      <c r="BLA15" s="20"/>
      <c r="BLB15" s="20"/>
      <c r="BLC15" s="20"/>
      <c r="BLD15" s="20"/>
      <c r="BLE15" s="20"/>
      <c r="BLF15" s="20"/>
      <c r="BLG15" s="20"/>
      <c r="BLH15" s="20"/>
      <c r="BLI15" s="20"/>
      <c r="BLJ15" s="20"/>
      <c r="BLK15" s="20"/>
      <c r="BLL15" s="20"/>
      <c r="BLM15" s="20"/>
      <c r="BLN15" s="20"/>
      <c r="BLO15" s="20"/>
      <c r="BLP15" s="20"/>
      <c r="BLQ15" s="20"/>
      <c r="BLR15" s="20"/>
      <c r="BLS15" s="20"/>
      <c r="BLT15" s="20"/>
      <c r="BLU15" s="20"/>
      <c r="BLV15" s="20"/>
      <c r="BLW15" s="20"/>
      <c r="BLX15" s="20"/>
      <c r="BLY15" s="20"/>
      <c r="BLZ15" s="20"/>
      <c r="BMA15" s="20"/>
      <c r="BMB15" s="20"/>
      <c r="BMC15" s="20"/>
      <c r="BMD15" s="20"/>
      <c r="BME15" s="20"/>
      <c r="BMF15" s="20"/>
      <c r="BMG15" s="20"/>
      <c r="BMH15" s="20"/>
      <c r="BMI15" s="20"/>
      <c r="BMJ15" s="20"/>
      <c r="BMK15" s="20"/>
      <c r="BML15" s="20"/>
      <c r="BMM15" s="20"/>
      <c r="BMN15" s="20"/>
      <c r="BMO15" s="20"/>
      <c r="BMP15" s="20"/>
      <c r="BMQ15" s="20"/>
      <c r="BMR15" s="20"/>
      <c r="BMS15" s="20"/>
      <c r="BMT15" s="20"/>
      <c r="BMU15" s="20"/>
      <c r="BMV15" s="20"/>
      <c r="BMW15" s="20"/>
      <c r="BMX15" s="20"/>
      <c r="BMY15" s="20"/>
      <c r="BMZ15" s="20"/>
      <c r="BNA15" s="20"/>
      <c r="BNB15" s="20"/>
      <c r="BNC15" s="20"/>
      <c r="BND15" s="20"/>
      <c r="BNE15" s="20"/>
      <c r="BNF15" s="20"/>
      <c r="BNG15" s="20"/>
      <c r="BNH15" s="20"/>
      <c r="BNI15" s="20"/>
      <c r="BNJ15" s="20"/>
      <c r="BNK15" s="20"/>
      <c r="BNL15" s="20"/>
      <c r="BNM15" s="20"/>
      <c r="BNN15" s="20"/>
      <c r="BNO15" s="20"/>
      <c r="BNP15" s="20"/>
      <c r="BNQ15" s="20"/>
      <c r="BNR15" s="20"/>
      <c r="BNS15" s="20"/>
      <c r="BNT15" s="20"/>
      <c r="BNU15" s="20"/>
      <c r="BNV15" s="20"/>
      <c r="BNW15" s="20"/>
      <c r="BNX15" s="20"/>
      <c r="BNY15" s="20"/>
      <c r="BNZ15" s="20"/>
      <c r="BOA15" s="20"/>
      <c r="BOB15" s="20"/>
      <c r="BOC15" s="20"/>
      <c r="BOD15" s="20"/>
      <c r="BOE15" s="20"/>
      <c r="BOF15" s="20"/>
      <c r="BOG15" s="20"/>
      <c r="BOH15" s="20"/>
      <c r="BOI15" s="20"/>
      <c r="BOJ15" s="20"/>
      <c r="BOK15" s="20"/>
      <c r="BOL15" s="20"/>
      <c r="BOM15" s="20"/>
      <c r="BON15" s="20"/>
      <c r="BOO15" s="20"/>
      <c r="BOP15" s="20"/>
      <c r="BOQ15" s="20"/>
      <c r="BOR15" s="20"/>
      <c r="BOS15" s="20"/>
      <c r="BOT15" s="20"/>
      <c r="BOU15" s="20"/>
      <c r="BOV15" s="20"/>
      <c r="BOW15" s="20"/>
      <c r="BOX15" s="20"/>
      <c r="BOY15" s="20"/>
      <c r="BOZ15" s="20"/>
      <c r="BPA15" s="20"/>
      <c r="BPB15" s="20"/>
      <c r="BPC15" s="20"/>
      <c r="BPD15" s="20"/>
      <c r="BPE15" s="20"/>
      <c r="BPF15" s="20"/>
      <c r="BPG15" s="20"/>
      <c r="BPH15" s="20"/>
      <c r="BPI15" s="20"/>
      <c r="BPJ15" s="20"/>
      <c r="BPK15" s="20"/>
      <c r="BPL15" s="20"/>
      <c r="BPM15" s="20"/>
      <c r="BPN15" s="20"/>
      <c r="BPO15" s="20"/>
      <c r="BPP15" s="20"/>
      <c r="BPQ15" s="20"/>
      <c r="BPR15" s="20"/>
      <c r="BPS15" s="20"/>
      <c r="BPT15" s="20"/>
      <c r="BPU15" s="20"/>
      <c r="BPV15" s="20"/>
      <c r="BPW15" s="20"/>
      <c r="BPX15" s="20"/>
      <c r="BPY15" s="20"/>
      <c r="BPZ15" s="20"/>
      <c r="BQA15" s="20"/>
      <c r="BQB15" s="20"/>
      <c r="BQC15" s="20"/>
      <c r="BQD15" s="20"/>
      <c r="BQE15" s="20"/>
      <c r="BQF15" s="20"/>
      <c r="BQG15" s="20"/>
      <c r="BQH15" s="20"/>
      <c r="BQI15" s="20"/>
      <c r="BQJ15" s="20"/>
      <c r="BQK15" s="20"/>
      <c r="BQL15" s="20"/>
      <c r="BQM15" s="20"/>
      <c r="BQN15" s="20"/>
      <c r="BQO15" s="20"/>
      <c r="BQP15" s="20"/>
      <c r="BQQ15" s="20"/>
      <c r="BQR15" s="20"/>
      <c r="BQS15" s="20"/>
      <c r="BQT15" s="20"/>
      <c r="BQU15" s="20"/>
      <c r="BQV15" s="20"/>
      <c r="BQW15" s="20"/>
      <c r="BQX15" s="20"/>
      <c r="BQY15" s="20"/>
      <c r="BQZ15" s="20"/>
      <c r="BRA15" s="20"/>
      <c r="BRB15" s="20"/>
      <c r="BRC15" s="20"/>
      <c r="BRD15" s="20"/>
      <c r="BRE15" s="20"/>
      <c r="BRF15" s="20"/>
      <c r="BRG15" s="20"/>
      <c r="BRH15" s="20"/>
      <c r="BRI15" s="20"/>
      <c r="BRJ15" s="20"/>
      <c r="BRK15" s="20"/>
      <c r="BRL15" s="20"/>
      <c r="BRM15" s="20"/>
      <c r="BRN15" s="20"/>
      <c r="BRO15" s="20"/>
      <c r="BRP15" s="20"/>
      <c r="BRQ15" s="20"/>
      <c r="BRR15" s="20"/>
      <c r="BRS15" s="20"/>
      <c r="BRT15" s="20"/>
      <c r="BRU15" s="20"/>
      <c r="BRV15" s="20"/>
      <c r="BRW15" s="20"/>
      <c r="BRX15" s="20"/>
      <c r="BRY15" s="20"/>
      <c r="BRZ15" s="20"/>
      <c r="BSA15" s="20"/>
      <c r="BSB15" s="20"/>
      <c r="BSC15" s="20"/>
      <c r="BSD15" s="20"/>
      <c r="BSE15" s="20"/>
      <c r="BSF15" s="20"/>
      <c r="BSG15" s="20"/>
      <c r="BSH15" s="20"/>
      <c r="BSI15" s="20"/>
      <c r="BSJ15" s="20"/>
      <c r="BSK15" s="20"/>
      <c r="BSL15" s="20"/>
      <c r="BSM15" s="20"/>
      <c r="BSN15" s="20"/>
      <c r="BSO15" s="20"/>
      <c r="BSP15" s="20"/>
      <c r="BSQ15" s="20"/>
      <c r="BSR15" s="20"/>
      <c r="BSS15" s="20"/>
      <c r="BST15" s="20"/>
      <c r="BSU15" s="20"/>
      <c r="BSV15" s="20"/>
      <c r="BSW15" s="20"/>
      <c r="BSX15" s="20"/>
      <c r="BSY15" s="20"/>
      <c r="BSZ15" s="20"/>
      <c r="BTA15" s="20"/>
      <c r="BTB15" s="20"/>
      <c r="BTC15" s="20"/>
      <c r="BTD15" s="20"/>
      <c r="BTE15" s="20"/>
      <c r="BTF15" s="20"/>
      <c r="BTG15" s="20"/>
      <c r="BTH15" s="20"/>
      <c r="BTI15" s="20"/>
      <c r="BTJ15" s="20"/>
      <c r="BTK15" s="20"/>
      <c r="BTL15" s="20"/>
      <c r="BTM15" s="20"/>
      <c r="BTN15" s="20"/>
      <c r="BTO15" s="20"/>
      <c r="BTP15" s="20"/>
      <c r="BTQ15" s="20"/>
      <c r="BTR15" s="20"/>
      <c r="BTS15" s="20"/>
      <c r="BTT15" s="20"/>
      <c r="BTU15" s="20"/>
      <c r="BTV15" s="20"/>
      <c r="BTW15" s="20"/>
      <c r="BTX15" s="20"/>
      <c r="BTY15" s="20"/>
      <c r="BTZ15" s="20"/>
      <c r="BUA15" s="20"/>
      <c r="BUB15" s="20"/>
      <c r="BUC15" s="20"/>
      <c r="BUD15" s="20"/>
      <c r="BUE15" s="20"/>
      <c r="BUF15" s="20"/>
      <c r="BUG15" s="20"/>
      <c r="BUH15" s="20"/>
      <c r="BUI15" s="20"/>
      <c r="BUJ15" s="20"/>
      <c r="BUK15" s="20"/>
      <c r="BUL15" s="20"/>
      <c r="BUM15" s="20"/>
      <c r="BUN15" s="20"/>
      <c r="BUO15" s="20"/>
      <c r="BUP15" s="20"/>
      <c r="BUQ15" s="20"/>
      <c r="BUR15" s="20"/>
      <c r="BUS15" s="20"/>
      <c r="BUT15" s="20"/>
      <c r="BUU15" s="20"/>
      <c r="BUV15" s="20"/>
      <c r="BUW15" s="20"/>
      <c r="BUX15" s="20"/>
      <c r="BUY15" s="20"/>
      <c r="BUZ15" s="20"/>
      <c r="BVA15" s="20"/>
      <c r="BVB15" s="20"/>
      <c r="BVC15" s="20"/>
      <c r="BVD15" s="20"/>
      <c r="BVE15" s="20"/>
      <c r="BVF15" s="20"/>
      <c r="BVG15" s="20"/>
      <c r="BVH15" s="20"/>
      <c r="BVI15" s="20"/>
      <c r="BVJ15" s="20"/>
      <c r="BVK15" s="20"/>
      <c r="BVL15" s="20"/>
      <c r="BVM15" s="20"/>
      <c r="BVN15" s="20"/>
      <c r="BVO15" s="20"/>
      <c r="BVP15" s="20"/>
      <c r="BVQ15" s="20"/>
      <c r="BVR15" s="20"/>
      <c r="BVS15" s="20"/>
      <c r="BVT15" s="20"/>
      <c r="BVU15" s="20"/>
      <c r="BVV15" s="20"/>
      <c r="BVW15" s="20"/>
      <c r="BVX15" s="20"/>
      <c r="BVY15" s="20"/>
      <c r="BVZ15" s="20"/>
      <c r="BWA15" s="20"/>
      <c r="BWB15" s="20"/>
      <c r="BWC15" s="20"/>
      <c r="BWD15" s="20"/>
      <c r="BWE15" s="20"/>
      <c r="BWF15" s="20"/>
      <c r="BWG15" s="20"/>
      <c r="BWH15" s="20"/>
      <c r="BWI15" s="20"/>
      <c r="BWJ15" s="20"/>
      <c r="BWK15" s="20"/>
      <c r="BWL15" s="20"/>
      <c r="BWM15" s="20"/>
      <c r="BWN15" s="20"/>
      <c r="BWO15" s="20"/>
      <c r="BWP15" s="20"/>
      <c r="BWQ15" s="20"/>
      <c r="BWR15" s="20"/>
      <c r="BWS15" s="20"/>
      <c r="BWT15" s="20"/>
      <c r="BWU15" s="20"/>
      <c r="BWV15" s="20"/>
      <c r="BWW15" s="20"/>
      <c r="BWX15" s="20"/>
      <c r="BWY15" s="20"/>
      <c r="BWZ15" s="20"/>
      <c r="BXA15" s="20"/>
      <c r="BXB15" s="20"/>
      <c r="BXC15" s="20"/>
      <c r="BXD15" s="20"/>
      <c r="BXE15" s="20"/>
      <c r="BXF15" s="20"/>
      <c r="BXG15" s="20"/>
      <c r="BXH15" s="20"/>
      <c r="BXI15" s="20"/>
      <c r="BXJ15" s="20"/>
      <c r="BXK15" s="20"/>
      <c r="BXL15" s="20"/>
      <c r="BXM15" s="20"/>
      <c r="BXN15" s="20"/>
      <c r="BXO15" s="20"/>
      <c r="BXP15" s="20"/>
      <c r="BXQ15" s="20"/>
      <c r="BXR15" s="20"/>
      <c r="BXS15" s="20"/>
      <c r="BXT15" s="20"/>
      <c r="BXU15" s="20"/>
      <c r="BXV15" s="20"/>
      <c r="BXW15" s="20"/>
      <c r="BXX15" s="20"/>
      <c r="BXY15" s="20"/>
      <c r="BXZ15" s="20"/>
      <c r="BYA15" s="20"/>
      <c r="BYB15" s="20"/>
      <c r="BYC15" s="20"/>
      <c r="BYD15" s="20"/>
      <c r="BYE15" s="20"/>
      <c r="BYF15" s="20"/>
      <c r="BYG15" s="20"/>
      <c r="BYH15" s="20"/>
      <c r="BYI15" s="20"/>
      <c r="BYJ15" s="20"/>
      <c r="BYK15" s="20"/>
      <c r="BYL15" s="20"/>
      <c r="BYM15" s="20"/>
      <c r="BYN15" s="20"/>
      <c r="BYO15" s="20"/>
      <c r="BYP15" s="20"/>
      <c r="BYQ15" s="20"/>
      <c r="BYR15" s="20"/>
      <c r="BYS15" s="20"/>
      <c r="BYT15" s="20"/>
      <c r="BYU15" s="20"/>
      <c r="BYV15" s="20"/>
      <c r="BYW15" s="20"/>
      <c r="BYX15" s="20"/>
      <c r="BYY15" s="20"/>
      <c r="BYZ15" s="20"/>
      <c r="BZA15" s="20"/>
      <c r="BZB15" s="20"/>
      <c r="BZC15" s="20"/>
      <c r="BZD15" s="20"/>
      <c r="BZE15" s="20"/>
      <c r="BZF15" s="20"/>
      <c r="BZG15" s="20"/>
      <c r="BZH15" s="20"/>
      <c r="BZI15" s="20"/>
      <c r="BZJ15" s="20"/>
      <c r="BZK15" s="20"/>
      <c r="BZL15" s="20"/>
      <c r="BZM15" s="20"/>
      <c r="BZN15" s="20"/>
      <c r="BZO15" s="20"/>
      <c r="BZP15" s="20"/>
      <c r="BZQ15" s="20"/>
      <c r="BZR15" s="20"/>
      <c r="BZS15" s="20"/>
      <c r="BZT15" s="20"/>
      <c r="BZU15" s="20"/>
      <c r="BZV15" s="20"/>
      <c r="BZW15" s="20"/>
      <c r="BZX15" s="20"/>
      <c r="BZY15" s="20"/>
      <c r="BZZ15" s="20"/>
      <c r="CAA15" s="20"/>
      <c r="CAB15" s="20"/>
      <c r="CAC15" s="20"/>
      <c r="CAD15" s="20"/>
      <c r="CAE15" s="20"/>
      <c r="CAF15" s="20"/>
      <c r="CAG15" s="20"/>
      <c r="CAH15" s="20"/>
      <c r="CAI15" s="20"/>
      <c r="CAJ15" s="20"/>
      <c r="CAK15" s="20"/>
      <c r="CAL15" s="20"/>
      <c r="CAM15" s="20"/>
      <c r="CAN15" s="20"/>
      <c r="CAO15" s="20"/>
      <c r="CAP15" s="20"/>
      <c r="CAQ15" s="20"/>
      <c r="CAR15" s="20"/>
      <c r="CAS15" s="20"/>
      <c r="CAT15" s="20"/>
      <c r="CAU15" s="20"/>
      <c r="CAV15" s="20"/>
      <c r="CAW15" s="20"/>
      <c r="CAX15" s="20"/>
      <c r="CAY15" s="20"/>
      <c r="CAZ15" s="20"/>
      <c r="CBA15" s="20"/>
      <c r="CBB15" s="20"/>
      <c r="CBC15" s="20"/>
      <c r="CBD15" s="20"/>
      <c r="CBE15" s="20"/>
      <c r="CBF15" s="20"/>
      <c r="CBG15" s="20"/>
      <c r="CBH15" s="20"/>
      <c r="CBI15" s="20"/>
      <c r="CBJ15" s="20"/>
      <c r="CBK15" s="20"/>
      <c r="CBL15" s="20"/>
      <c r="CBM15" s="20"/>
      <c r="CBN15" s="20"/>
      <c r="CBO15" s="20"/>
      <c r="CBP15" s="20"/>
      <c r="CBQ15" s="20"/>
      <c r="CBR15" s="20"/>
      <c r="CBS15" s="20"/>
      <c r="CBT15" s="20"/>
      <c r="CBU15" s="20"/>
      <c r="CBV15" s="20"/>
      <c r="CBW15" s="20"/>
      <c r="CBX15" s="20"/>
      <c r="CBY15" s="20"/>
      <c r="CBZ15" s="20"/>
      <c r="CCA15" s="20"/>
      <c r="CCB15" s="20"/>
      <c r="CCC15" s="20"/>
      <c r="CCD15" s="20"/>
      <c r="CCE15" s="20"/>
      <c r="CCF15" s="20"/>
      <c r="CCG15" s="20"/>
      <c r="CCH15" s="20"/>
      <c r="CCI15" s="20"/>
      <c r="CCJ15" s="20"/>
      <c r="CCK15" s="20"/>
      <c r="CCL15" s="20"/>
      <c r="CCM15" s="20"/>
      <c r="CCN15" s="20"/>
      <c r="CCO15" s="20"/>
      <c r="CCP15" s="20"/>
      <c r="CCQ15" s="20"/>
      <c r="CCR15" s="20"/>
      <c r="CCS15" s="20"/>
      <c r="CCT15" s="20"/>
      <c r="CCU15" s="20"/>
      <c r="CCV15" s="20"/>
      <c r="CCW15" s="20"/>
      <c r="CCX15" s="20"/>
      <c r="CCY15" s="20"/>
      <c r="CCZ15" s="20"/>
      <c r="CDA15" s="20"/>
      <c r="CDB15" s="20"/>
      <c r="CDC15" s="20"/>
      <c r="CDD15" s="20"/>
      <c r="CDE15" s="20"/>
      <c r="CDF15" s="20"/>
      <c r="CDG15" s="20"/>
      <c r="CDH15" s="20"/>
      <c r="CDI15" s="20"/>
      <c r="CDJ15" s="20"/>
      <c r="CDK15" s="20"/>
      <c r="CDL15" s="20"/>
      <c r="CDM15" s="20"/>
      <c r="CDN15" s="20"/>
      <c r="CDO15" s="20"/>
      <c r="CDP15" s="20"/>
      <c r="CDQ15" s="20"/>
      <c r="CDR15" s="20"/>
      <c r="CDS15" s="20"/>
      <c r="CDT15" s="20"/>
      <c r="CDU15" s="20"/>
      <c r="CDV15" s="20"/>
      <c r="CDW15" s="20"/>
      <c r="CDX15" s="20"/>
      <c r="CDY15" s="20"/>
      <c r="CDZ15" s="20"/>
      <c r="CEA15" s="20"/>
      <c r="CEB15" s="20"/>
      <c r="CEC15" s="20"/>
      <c r="CED15" s="20"/>
      <c r="CEE15" s="20"/>
      <c r="CEF15" s="20"/>
      <c r="CEG15" s="20"/>
      <c r="CEH15" s="20"/>
      <c r="CEI15" s="20"/>
      <c r="CEJ15" s="20"/>
      <c r="CEK15" s="20"/>
      <c r="CEL15" s="20"/>
      <c r="CEM15" s="20"/>
      <c r="CEN15" s="20"/>
      <c r="CEO15" s="20"/>
      <c r="CEP15" s="20"/>
      <c r="CEQ15" s="20"/>
      <c r="CER15" s="20"/>
      <c r="CES15" s="20"/>
      <c r="CET15" s="20"/>
      <c r="CEU15" s="20"/>
      <c r="CEV15" s="20"/>
      <c r="CEW15" s="20"/>
      <c r="CEX15" s="20"/>
      <c r="CEY15" s="20"/>
      <c r="CEZ15" s="20"/>
      <c r="CFA15" s="20"/>
      <c r="CFB15" s="20"/>
      <c r="CFC15" s="20"/>
      <c r="CFD15" s="20"/>
      <c r="CFE15" s="20"/>
      <c r="CFF15" s="20"/>
      <c r="CFG15" s="20"/>
      <c r="CFH15" s="20"/>
      <c r="CFI15" s="20"/>
      <c r="CFJ15" s="20"/>
      <c r="CFK15" s="20"/>
      <c r="CFL15" s="20"/>
      <c r="CFM15" s="20"/>
      <c r="CFN15" s="20"/>
      <c r="CFO15" s="20"/>
      <c r="CFP15" s="20"/>
      <c r="CFQ15" s="20"/>
      <c r="CFR15" s="20"/>
      <c r="CFS15" s="20"/>
      <c r="CFT15" s="20"/>
      <c r="CFU15" s="20"/>
      <c r="CFV15" s="20"/>
      <c r="CFW15" s="20"/>
      <c r="CFX15" s="20"/>
      <c r="CFY15" s="20"/>
      <c r="CFZ15" s="20"/>
      <c r="CGA15" s="20"/>
      <c r="CGB15" s="20"/>
      <c r="CGC15" s="20"/>
      <c r="CGD15" s="20"/>
      <c r="CGE15" s="20"/>
      <c r="CGF15" s="20"/>
      <c r="CGG15" s="20"/>
      <c r="CGH15" s="20"/>
      <c r="CGI15" s="20"/>
      <c r="CGJ15" s="20"/>
      <c r="CGK15" s="20"/>
      <c r="CGL15" s="20"/>
      <c r="CGM15" s="20"/>
      <c r="CGN15" s="20"/>
      <c r="CGO15" s="20"/>
      <c r="CGP15" s="20"/>
      <c r="CGQ15" s="20"/>
      <c r="CGR15" s="20"/>
      <c r="CGS15" s="20"/>
      <c r="CGT15" s="20"/>
      <c r="CGU15" s="20"/>
      <c r="CGV15" s="20"/>
      <c r="CGW15" s="20"/>
      <c r="CGX15" s="20"/>
      <c r="CGY15" s="20"/>
      <c r="CGZ15" s="20"/>
      <c r="CHA15" s="20"/>
      <c r="CHB15" s="20"/>
      <c r="CHC15" s="20"/>
      <c r="CHD15" s="20"/>
      <c r="CHE15" s="20"/>
      <c r="CHF15" s="20"/>
      <c r="CHG15" s="20"/>
      <c r="CHH15" s="20"/>
      <c r="CHI15" s="20"/>
      <c r="CHJ15" s="20"/>
      <c r="CHK15" s="20"/>
      <c r="CHL15" s="20"/>
      <c r="CHM15" s="20"/>
      <c r="CHN15" s="20"/>
      <c r="CHO15" s="20"/>
      <c r="CHP15" s="20"/>
      <c r="CHQ15" s="20"/>
      <c r="CHR15" s="20"/>
      <c r="CHS15" s="20"/>
      <c r="CHT15" s="20"/>
      <c r="CHU15" s="20"/>
      <c r="CHV15" s="20"/>
      <c r="CHW15" s="20"/>
      <c r="CHX15" s="20"/>
      <c r="CHY15" s="20"/>
      <c r="CHZ15" s="20"/>
      <c r="CIA15" s="20"/>
      <c r="CIB15" s="20"/>
      <c r="CIC15" s="20"/>
      <c r="CID15" s="20"/>
      <c r="CIE15" s="20"/>
      <c r="CIF15" s="20"/>
      <c r="CIG15" s="20"/>
      <c r="CIH15" s="20"/>
      <c r="CII15" s="20"/>
      <c r="CIJ15" s="20"/>
      <c r="CIK15" s="20"/>
      <c r="CIL15" s="20"/>
      <c r="CIM15" s="20"/>
      <c r="CIN15" s="20"/>
      <c r="CIO15" s="20"/>
      <c r="CIP15" s="20"/>
      <c r="CIQ15" s="20"/>
      <c r="CIR15" s="20"/>
      <c r="CIS15" s="20"/>
      <c r="CIT15" s="20"/>
      <c r="CIU15" s="20"/>
      <c r="CIV15" s="20"/>
      <c r="CIW15" s="20"/>
      <c r="CIX15" s="20"/>
      <c r="CIY15" s="20"/>
      <c r="CIZ15" s="20"/>
      <c r="CJA15" s="20"/>
      <c r="CJB15" s="20"/>
      <c r="CJC15" s="20"/>
      <c r="CJD15" s="20"/>
      <c r="CJE15" s="20"/>
      <c r="CJF15" s="20"/>
      <c r="CJG15" s="20"/>
      <c r="CJH15" s="20"/>
      <c r="CJI15" s="20"/>
      <c r="CJJ15" s="20"/>
      <c r="CJK15" s="20"/>
      <c r="CJL15" s="20"/>
      <c r="CJM15" s="20"/>
      <c r="CJN15" s="20"/>
      <c r="CJO15" s="20"/>
      <c r="CJP15" s="20"/>
      <c r="CJQ15" s="20"/>
      <c r="CJR15" s="20"/>
      <c r="CJS15" s="20"/>
      <c r="CJT15" s="20"/>
      <c r="CJU15" s="20"/>
      <c r="CJV15" s="20"/>
      <c r="CJW15" s="20"/>
      <c r="CJX15" s="20"/>
      <c r="CJY15" s="20"/>
      <c r="CJZ15" s="20"/>
      <c r="CKA15" s="20"/>
      <c r="CKB15" s="20"/>
      <c r="CKC15" s="20"/>
      <c r="CKD15" s="20"/>
      <c r="CKE15" s="20"/>
      <c r="CKF15" s="20"/>
      <c r="CKG15" s="20"/>
      <c r="CKH15" s="20"/>
      <c r="CKI15" s="20"/>
      <c r="CKJ15" s="20"/>
      <c r="CKK15" s="20"/>
      <c r="CKL15" s="20"/>
      <c r="CKM15" s="20"/>
      <c r="CKN15" s="20"/>
      <c r="CKO15" s="20"/>
      <c r="CKP15" s="20"/>
      <c r="CKQ15" s="20"/>
      <c r="CKR15" s="20"/>
      <c r="CKS15" s="20"/>
      <c r="CKT15" s="20"/>
      <c r="CKU15" s="20"/>
      <c r="CKV15" s="20"/>
      <c r="CKW15" s="20"/>
      <c r="CKX15" s="20"/>
      <c r="CKY15" s="20"/>
      <c r="CKZ15" s="20"/>
      <c r="CLA15" s="20"/>
      <c r="CLB15" s="20"/>
      <c r="CLC15" s="20"/>
      <c r="CLD15" s="20"/>
      <c r="CLE15" s="20"/>
      <c r="CLF15" s="20"/>
      <c r="CLG15" s="20"/>
      <c r="CLH15" s="20"/>
      <c r="CLI15" s="20"/>
      <c r="CLJ15" s="20"/>
      <c r="CLK15" s="20"/>
      <c r="CLL15" s="20"/>
      <c r="CLM15" s="20"/>
      <c r="CLN15" s="20"/>
      <c r="CLO15" s="20"/>
      <c r="CLP15" s="20"/>
      <c r="CLQ15" s="20"/>
      <c r="CLR15" s="20"/>
      <c r="CLS15" s="20"/>
      <c r="CLT15" s="20"/>
      <c r="CLU15" s="20"/>
      <c r="CLV15" s="20"/>
      <c r="CLW15" s="20"/>
      <c r="CLX15" s="20"/>
      <c r="CLY15" s="20"/>
      <c r="CLZ15" s="20"/>
      <c r="CMA15" s="20"/>
      <c r="CMB15" s="20"/>
      <c r="CMC15" s="20"/>
      <c r="CMD15" s="20"/>
      <c r="CME15" s="20"/>
      <c r="CMF15" s="20"/>
      <c r="CMG15" s="20"/>
      <c r="CMH15" s="20"/>
      <c r="CMI15" s="20"/>
      <c r="CMJ15" s="20"/>
      <c r="CMK15" s="20"/>
      <c r="CML15" s="20"/>
      <c r="CMM15" s="20"/>
      <c r="CMN15" s="20"/>
      <c r="CMO15" s="20"/>
      <c r="CMP15" s="20"/>
      <c r="CMQ15" s="20"/>
      <c r="CMR15" s="20"/>
      <c r="CMS15" s="20"/>
      <c r="CMT15" s="20"/>
      <c r="CMU15" s="20"/>
      <c r="CMV15" s="20"/>
      <c r="CMW15" s="20"/>
      <c r="CMX15" s="20"/>
      <c r="CMY15" s="20"/>
      <c r="CMZ15" s="20"/>
      <c r="CNA15" s="20"/>
      <c r="CNB15" s="20"/>
      <c r="CNC15" s="20"/>
      <c r="CND15" s="20"/>
      <c r="CNE15" s="20"/>
      <c r="CNF15" s="20"/>
      <c r="CNG15" s="20"/>
      <c r="CNH15" s="20"/>
      <c r="CNI15" s="20"/>
      <c r="CNJ15" s="20"/>
      <c r="CNK15" s="20"/>
      <c r="CNL15" s="20"/>
      <c r="CNM15" s="20"/>
      <c r="CNN15" s="20"/>
      <c r="CNO15" s="20"/>
      <c r="CNP15" s="20"/>
      <c r="CNQ15" s="20"/>
      <c r="CNR15" s="20"/>
      <c r="CNS15" s="20"/>
      <c r="CNT15" s="20"/>
      <c r="CNU15" s="20"/>
      <c r="CNV15" s="20"/>
      <c r="CNW15" s="20"/>
      <c r="CNX15" s="20"/>
      <c r="CNY15" s="20"/>
      <c r="CNZ15" s="20"/>
      <c r="COA15" s="20"/>
      <c r="COB15" s="20"/>
      <c r="COC15" s="20"/>
      <c r="COD15" s="20"/>
      <c r="COE15" s="20"/>
      <c r="COF15" s="20"/>
      <c r="COG15" s="20"/>
      <c r="COH15" s="20"/>
      <c r="COI15" s="20"/>
      <c r="COJ15" s="20"/>
      <c r="COK15" s="20"/>
      <c r="COL15" s="20"/>
      <c r="COM15" s="20"/>
      <c r="CON15" s="20"/>
      <c r="COO15" s="20"/>
      <c r="COP15" s="20"/>
      <c r="COQ15" s="20"/>
      <c r="COR15" s="20"/>
      <c r="COS15" s="20"/>
      <c r="COT15" s="20"/>
      <c r="COU15" s="20"/>
      <c r="COV15" s="20"/>
      <c r="COW15" s="20"/>
      <c r="COX15" s="20"/>
      <c r="COY15" s="20"/>
      <c r="COZ15" s="20"/>
      <c r="CPA15" s="20"/>
      <c r="CPB15" s="20"/>
      <c r="CPC15" s="20"/>
      <c r="CPD15" s="20"/>
      <c r="CPE15" s="20"/>
      <c r="CPF15" s="20"/>
      <c r="CPG15" s="20"/>
      <c r="CPH15" s="20"/>
      <c r="CPI15" s="20"/>
      <c r="CPJ15" s="20"/>
      <c r="CPK15" s="20"/>
      <c r="CPL15" s="20"/>
      <c r="CPM15" s="20"/>
      <c r="CPN15" s="20"/>
      <c r="CPO15" s="20"/>
      <c r="CPP15" s="20"/>
      <c r="CPQ15" s="20"/>
      <c r="CPR15" s="20"/>
      <c r="CPS15" s="20"/>
      <c r="CPT15" s="20"/>
      <c r="CPU15" s="20"/>
      <c r="CPV15" s="20"/>
      <c r="CPW15" s="20"/>
      <c r="CPX15" s="20"/>
      <c r="CPY15" s="20"/>
      <c r="CPZ15" s="20"/>
      <c r="CQA15" s="20"/>
      <c r="CQB15" s="20"/>
      <c r="CQC15" s="20"/>
      <c r="CQD15" s="20"/>
      <c r="CQE15" s="20"/>
      <c r="CQF15" s="20"/>
      <c r="CQG15" s="20"/>
      <c r="CQH15" s="20"/>
      <c r="CQI15" s="20"/>
      <c r="CQJ15" s="20"/>
      <c r="CQK15" s="20"/>
      <c r="CQL15" s="20"/>
      <c r="CQM15" s="20"/>
      <c r="CQN15" s="20"/>
      <c r="CQO15" s="20"/>
      <c r="CQP15" s="20"/>
      <c r="CQQ15" s="20"/>
      <c r="CQR15" s="20"/>
      <c r="CQS15" s="20"/>
      <c r="CQT15" s="20"/>
      <c r="CQU15" s="20"/>
      <c r="CQV15" s="20"/>
      <c r="CQW15" s="20"/>
      <c r="CQX15" s="20"/>
      <c r="CQY15" s="20"/>
      <c r="CQZ15" s="20"/>
      <c r="CRA15" s="20"/>
      <c r="CRB15" s="20"/>
      <c r="CRC15" s="20"/>
      <c r="CRD15" s="20"/>
      <c r="CRE15" s="20"/>
      <c r="CRF15" s="20"/>
      <c r="CRG15" s="20"/>
      <c r="CRH15" s="20"/>
      <c r="CRI15" s="20"/>
      <c r="CRJ15" s="20"/>
      <c r="CRK15" s="20"/>
      <c r="CRL15" s="20"/>
      <c r="CRM15" s="20"/>
      <c r="CRN15" s="20"/>
      <c r="CRO15" s="20"/>
      <c r="CRP15" s="20"/>
      <c r="CRQ15" s="20"/>
      <c r="CRR15" s="20"/>
      <c r="CRS15" s="20"/>
      <c r="CRT15" s="20"/>
      <c r="CRU15" s="20"/>
      <c r="CRV15" s="20"/>
      <c r="CRW15" s="20"/>
      <c r="CRX15" s="20"/>
      <c r="CRY15" s="20"/>
      <c r="CRZ15" s="20"/>
      <c r="CSA15" s="20"/>
      <c r="CSB15" s="20"/>
      <c r="CSC15" s="20"/>
      <c r="CSD15" s="20"/>
      <c r="CSE15" s="20"/>
      <c r="CSF15" s="20"/>
      <c r="CSG15" s="20"/>
      <c r="CSH15" s="20"/>
      <c r="CSI15" s="20"/>
      <c r="CSJ15" s="20"/>
      <c r="CSK15" s="20"/>
      <c r="CSL15" s="20"/>
      <c r="CSM15" s="20"/>
      <c r="CSN15" s="20"/>
      <c r="CSO15" s="20"/>
      <c r="CSP15" s="20"/>
      <c r="CSQ15" s="20"/>
      <c r="CSR15" s="20"/>
      <c r="CSS15" s="20"/>
      <c r="CST15" s="20"/>
      <c r="CSU15" s="20"/>
      <c r="CSV15" s="20"/>
      <c r="CSW15" s="20"/>
      <c r="CSX15" s="20"/>
      <c r="CSY15" s="20"/>
      <c r="CSZ15" s="20"/>
      <c r="CTA15" s="20"/>
      <c r="CTB15" s="20"/>
      <c r="CTC15" s="20"/>
      <c r="CTD15" s="20"/>
      <c r="CTE15" s="20"/>
      <c r="CTF15" s="20"/>
      <c r="CTG15" s="20"/>
      <c r="CTH15" s="20"/>
      <c r="CTI15" s="20"/>
      <c r="CTJ15" s="20"/>
      <c r="CTK15" s="20"/>
      <c r="CTL15" s="20"/>
      <c r="CTM15" s="20"/>
      <c r="CTN15" s="20"/>
      <c r="CTO15" s="20"/>
      <c r="CTP15" s="20"/>
      <c r="CTQ15" s="20"/>
      <c r="CTR15" s="20"/>
      <c r="CTS15" s="20"/>
      <c r="CTT15" s="20"/>
      <c r="CTU15" s="20"/>
      <c r="CTV15" s="20"/>
      <c r="CTW15" s="20"/>
      <c r="CTX15" s="20"/>
      <c r="CTY15" s="20"/>
      <c r="CTZ15" s="20"/>
      <c r="CUA15" s="20"/>
      <c r="CUB15" s="20"/>
      <c r="CUC15" s="20"/>
      <c r="CUD15" s="20"/>
      <c r="CUE15" s="20"/>
      <c r="CUF15" s="20"/>
      <c r="CUG15" s="20"/>
      <c r="CUH15" s="20"/>
      <c r="CUI15" s="20"/>
      <c r="CUJ15" s="20"/>
      <c r="CUK15" s="20"/>
      <c r="CUL15" s="20"/>
      <c r="CUM15" s="20"/>
      <c r="CUN15" s="20"/>
      <c r="CUO15" s="20"/>
      <c r="CUP15" s="20"/>
      <c r="CUQ15" s="20"/>
      <c r="CUR15" s="20"/>
      <c r="CUS15" s="20"/>
      <c r="CUT15" s="20"/>
      <c r="CUU15" s="20"/>
      <c r="CUV15" s="20"/>
      <c r="CUW15" s="20"/>
      <c r="CUX15" s="20"/>
      <c r="CUY15" s="20"/>
      <c r="CUZ15" s="20"/>
      <c r="CVA15" s="20"/>
      <c r="CVB15" s="20"/>
      <c r="CVC15" s="20"/>
      <c r="CVD15" s="20"/>
      <c r="CVE15" s="20"/>
      <c r="CVF15" s="20"/>
      <c r="CVG15" s="20"/>
      <c r="CVH15" s="20"/>
      <c r="CVI15" s="20"/>
      <c r="CVJ15" s="20"/>
      <c r="CVK15" s="20"/>
      <c r="CVL15" s="20"/>
      <c r="CVM15" s="20"/>
      <c r="CVN15" s="20"/>
      <c r="CVO15" s="20"/>
      <c r="CVP15" s="20"/>
      <c r="CVQ15" s="20"/>
      <c r="CVR15" s="20"/>
      <c r="CVS15" s="20"/>
      <c r="CVT15" s="20"/>
      <c r="CVU15" s="20"/>
      <c r="CVV15" s="20"/>
      <c r="CVW15" s="20"/>
      <c r="CVX15" s="20"/>
      <c r="CVY15" s="20"/>
      <c r="CVZ15" s="20"/>
      <c r="CWA15" s="20"/>
      <c r="CWB15" s="20"/>
      <c r="CWC15" s="20"/>
      <c r="CWD15" s="20"/>
      <c r="CWE15" s="20"/>
      <c r="CWF15" s="20"/>
      <c r="CWG15" s="20"/>
      <c r="CWH15" s="20"/>
      <c r="CWI15" s="20"/>
      <c r="CWJ15" s="20"/>
      <c r="CWK15" s="20"/>
      <c r="CWL15" s="20"/>
      <c r="CWM15" s="20"/>
      <c r="CWN15" s="20"/>
      <c r="CWO15" s="20"/>
      <c r="CWP15" s="20"/>
      <c r="CWQ15" s="20"/>
      <c r="CWR15" s="20"/>
      <c r="CWS15" s="20"/>
      <c r="CWT15" s="20"/>
      <c r="CWU15" s="20"/>
      <c r="CWV15" s="20"/>
      <c r="CWW15" s="20"/>
      <c r="CWX15" s="20"/>
      <c r="CWY15" s="20"/>
      <c r="CWZ15" s="20"/>
      <c r="CXA15" s="20"/>
      <c r="CXB15" s="20"/>
      <c r="CXC15" s="20"/>
      <c r="CXD15" s="20"/>
      <c r="CXE15" s="20"/>
      <c r="CXF15" s="20"/>
      <c r="CXG15" s="20"/>
      <c r="CXH15" s="20"/>
      <c r="CXI15" s="20"/>
      <c r="CXJ15" s="20"/>
      <c r="CXK15" s="20"/>
      <c r="CXL15" s="20"/>
      <c r="CXM15" s="20"/>
      <c r="CXN15" s="20"/>
      <c r="CXO15" s="20"/>
      <c r="CXP15" s="20"/>
      <c r="CXQ15" s="20"/>
      <c r="CXR15" s="20"/>
      <c r="CXS15" s="20"/>
      <c r="CXT15" s="20"/>
      <c r="CXU15" s="20"/>
      <c r="CXV15" s="20"/>
      <c r="CXW15" s="20"/>
      <c r="CXX15" s="20"/>
      <c r="CXY15" s="20"/>
      <c r="CXZ15" s="20"/>
      <c r="CYA15" s="20"/>
      <c r="CYB15" s="20"/>
      <c r="CYC15" s="20"/>
      <c r="CYD15" s="20"/>
      <c r="CYE15" s="20"/>
      <c r="CYF15" s="20"/>
      <c r="CYG15" s="20"/>
      <c r="CYH15" s="20"/>
      <c r="CYI15" s="20"/>
      <c r="CYJ15" s="20"/>
      <c r="CYK15" s="20"/>
      <c r="CYL15" s="20"/>
      <c r="CYM15" s="20"/>
      <c r="CYN15" s="20"/>
      <c r="CYO15" s="20"/>
      <c r="CYP15" s="20"/>
      <c r="CYQ15" s="20"/>
      <c r="CYR15" s="20"/>
      <c r="CYS15" s="20"/>
      <c r="CYT15" s="20"/>
      <c r="CYU15" s="20"/>
      <c r="CYV15" s="20"/>
      <c r="CYW15" s="20"/>
      <c r="CYX15" s="20"/>
      <c r="CYY15" s="20"/>
      <c r="CYZ15" s="20"/>
      <c r="CZA15" s="20"/>
      <c r="CZB15" s="20"/>
      <c r="CZC15" s="20"/>
      <c r="CZD15" s="20"/>
      <c r="CZE15" s="20"/>
      <c r="CZF15" s="20"/>
      <c r="CZG15" s="20"/>
      <c r="CZH15" s="20"/>
      <c r="CZI15" s="20"/>
      <c r="CZJ15" s="20"/>
      <c r="CZK15" s="20"/>
      <c r="CZL15" s="20"/>
      <c r="CZM15" s="20"/>
      <c r="CZN15" s="20"/>
      <c r="CZO15" s="20"/>
      <c r="CZP15" s="20"/>
      <c r="CZQ15" s="20"/>
      <c r="CZR15" s="20"/>
      <c r="CZS15" s="20"/>
      <c r="CZT15" s="20"/>
      <c r="CZU15" s="20"/>
      <c r="CZV15" s="20"/>
      <c r="CZW15" s="20"/>
      <c r="CZX15" s="20"/>
      <c r="CZY15" s="20"/>
      <c r="CZZ15" s="20"/>
      <c r="DAA15" s="20"/>
      <c r="DAB15" s="20"/>
      <c r="DAC15" s="20"/>
      <c r="DAD15" s="20"/>
      <c r="DAE15" s="20"/>
      <c r="DAF15" s="20"/>
      <c r="DAG15" s="20"/>
      <c r="DAH15" s="20"/>
      <c r="DAI15" s="20"/>
      <c r="DAJ15" s="20"/>
      <c r="DAK15" s="20"/>
      <c r="DAL15" s="20"/>
      <c r="DAM15" s="20"/>
      <c r="DAN15" s="20"/>
      <c r="DAO15" s="20"/>
      <c r="DAP15" s="20"/>
      <c r="DAQ15" s="20"/>
      <c r="DAR15" s="20"/>
      <c r="DAS15" s="20"/>
      <c r="DAT15" s="20"/>
      <c r="DAU15" s="20"/>
      <c r="DAV15" s="20"/>
      <c r="DAW15" s="20"/>
      <c r="DAX15" s="20"/>
      <c r="DAY15" s="20"/>
      <c r="DAZ15" s="20"/>
      <c r="DBA15" s="20"/>
      <c r="DBB15" s="20"/>
      <c r="DBC15" s="20"/>
      <c r="DBD15" s="20"/>
      <c r="DBE15" s="20"/>
      <c r="DBF15" s="20"/>
      <c r="DBG15" s="20"/>
      <c r="DBH15" s="20"/>
      <c r="DBI15" s="20"/>
      <c r="DBJ15" s="20"/>
      <c r="DBK15" s="20"/>
      <c r="DBL15" s="20"/>
      <c r="DBM15" s="20"/>
      <c r="DBN15" s="20"/>
      <c r="DBO15" s="20"/>
      <c r="DBP15" s="20"/>
      <c r="DBQ15" s="20"/>
      <c r="DBR15" s="20"/>
      <c r="DBS15" s="20"/>
      <c r="DBT15" s="20"/>
      <c r="DBU15" s="20"/>
      <c r="DBV15" s="20"/>
      <c r="DBW15" s="20"/>
      <c r="DBX15" s="20"/>
      <c r="DBY15" s="20"/>
      <c r="DBZ15" s="20"/>
      <c r="DCA15" s="20"/>
      <c r="DCB15" s="20"/>
      <c r="DCC15" s="20"/>
      <c r="DCD15" s="20"/>
      <c r="DCE15" s="20"/>
      <c r="DCF15" s="20"/>
      <c r="DCG15" s="20"/>
      <c r="DCH15" s="20"/>
      <c r="DCI15" s="20"/>
      <c r="DCJ15" s="20"/>
      <c r="DCK15" s="20"/>
      <c r="DCL15" s="20"/>
      <c r="DCM15" s="20"/>
      <c r="DCN15" s="20"/>
      <c r="DCO15" s="20"/>
      <c r="DCP15" s="20"/>
      <c r="DCQ15" s="20"/>
      <c r="DCR15" s="20"/>
      <c r="DCS15" s="20"/>
      <c r="DCT15" s="20"/>
      <c r="DCU15" s="20"/>
      <c r="DCV15" s="20"/>
      <c r="DCW15" s="20"/>
      <c r="DCX15" s="20"/>
      <c r="DCY15" s="20"/>
      <c r="DCZ15" s="20"/>
      <c r="DDA15" s="20"/>
      <c r="DDB15" s="20"/>
      <c r="DDC15" s="20"/>
      <c r="DDD15" s="20"/>
      <c r="DDE15" s="20"/>
      <c r="DDF15" s="20"/>
      <c r="DDG15" s="20"/>
      <c r="DDH15" s="20"/>
      <c r="DDI15" s="20"/>
      <c r="DDJ15" s="20"/>
      <c r="DDK15" s="20"/>
      <c r="DDL15" s="20"/>
      <c r="DDM15" s="20"/>
      <c r="DDN15" s="20"/>
      <c r="DDO15" s="20"/>
      <c r="DDP15" s="20"/>
      <c r="DDQ15" s="20"/>
      <c r="DDR15" s="20"/>
      <c r="DDS15" s="20"/>
      <c r="DDT15" s="20"/>
      <c r="DDU15" s="20"/>
      <c r="DDV15" s="20"/>
      <c r="DDW15" s="20"/>
      <c r="DDX15" s="20"/>
      <c r="DDY15" s="20"/>
      <c r="DDZ15" s="20"/>
      <c r="DEA15" s="20"/>
      <c r="DEB15" s="20"/>
      <c r="DEC15" s="20"/>
      <c r="DED15" s="20"/>
      <c r="DEE15" s="20"/>
      <c r="DEF15" s="20"/>
      <c r="DEG15" s="20"/>
      <c r="DEH15" s="20"/>
      <c r="DEI15" s="20"/>
      <c r="DEJ15" s="20"/>
      <c r="DEK15" s="20"/>
      <c r="DEL15" s="20"/>
      <c r="DEM15" s="20"/>
      <c r="DEN15" s="20"/>
      <c r="DEO15" s="20"/>
      <c r="DEP15" s="20"/>
      <c r="DEQ15" s="20"/>
      <c r="DER15" s="20"/>
      <c r="DES15" s="20"/>
      <c r="DET15" s="20"/>
      <c r="DEU15" s="20"/>
      <c r="DEV15" s="20"/>
      <c r="DEW15" s="20"/>
      <c r="DEX15" s="20"/>
      <c r="DEY15" s="20"/>
      <c r="DEZ15" s="20"/>
      <c r="DFA15" s="20"/>
      <c r="DFB15" s="20"/>
      <c r="DFC15" s="20"/>
      <c r="DFD15" s="20"/>
      <c r="DFE15" s="20"/>
      <c r="DFF15" s="20"/>
      <c r="DFG15" s="20"/>
      <c r="DFH15" s="20"/>
      <c r="DFI15" s="20"/>
      <c r="DFJ15" s="20"/>
      <c r="DFK15" s="20"/>
      <c r="DFL15" s="20"/>
      <c r="DFM15" s="20"/>
      <c r="DFN15" s="20"/>
      <c r="DFO15" s="20"/>
      <c r="DFP15" s="20"/>
      <c r="DFQ15" s="20"/>
      <c r="DFR15" s="20"/>
      <c r="DFS15" s="20"/>
      <c r="DFT15" s="20"/>
      <c r="DFU15" s="20"/>
      <c r="DFV15" s="20"/>
      <c r="DFW15" s="20"/>
      <c r="DFX15" s="20"/>
      <c r="DFY15" s="20"/>
      <c r="DFZ15" s="20"/>
      <c r="DGA15" s="20"/>
      <c r="DGB15" s="20"/>
      <c r="DGC15" s="20"/>
      <c r="DGD15" s="20"/>
      <c r="DGE15" s="20"/>
      <c r="DGF15" s="20"/>
      <c r="DGG15" s="20"/>
      <c r="DGH15" s="20"/>
      <c r="DGI15" s="20"/>
      <c r="DGJ15" s="20"/>
      <c r="DGK15" s="20"/>
      <c r="DGL15" s="20"/>
      <c r="DGM15" s="20"/>
      <c r="DGN15" s="20"/>
      <c r="DGO15" s="20"/>
      <c r="DGP15" s="20"/>
      <c r="DGQ15" s="20"/>
      <c r="DGR15" s="20"/>
      <c r="DGS15" s="20"/>
      <c r="DGT15" s="20"/>
      <c r="DGU15" s="20"/>
      <c r="DGV15" s="20"/>
      <c r="DGW15" s="20"/>
      <c r="DGX15" s="20"/>
      <c r="DGY15" s="20"/>
      <c r="DGZ15" s="20"/>
      <c r="DHA15" s="20"/>
      <c r="DHB15" s="20"/>
      <c r="DHC15" s="20"/>
      <c r="DHD15" s="20"/>
      <c r="DHE15" s="20"/>
      <c r="DHF15" s="20"/>
      <c r="DHG15" s="20"/>
      <c r="DHH15" s="20"/>
      <c r="DHI15" s="20"/>
      <c r="DHJ15" s="20"/>
      <c r="DHK15" s="20"/>
      <c r="DHL15" s="20"/>
      <c r="DHM15" s="20"/>
      <c r="DHN15" s="20"/>
      <c r="DHO15" s="20"/>
      <c r="DHP15" s="20"/>
      <c r="DHQ15" s="20"/>
      <c r="DHR15" s="20"/>
      <c r="DHS15" s="20"/>
      <c r="DHT15" s="20"/>
      <c r="DHU15" s="20"/>
      <c r="DHV15" s="20"/>
      <c r="DHW15" s="20"/>
      <c r="DHX15" s="20"/>
      <c r="DHY15" s="20"/>
      <c r="DHZ15" s="20"/>
      <c r="DIA15" s="20"/>
      <c r="DIB15" s="20"/>
      <c r="DIC15" s="20"/>
      <c r="DID15" s="20"/>
      <c r="DIE15" s="20"/>
      <c r="DIF15" s="20"/>
      <c r="DIG15" s="20"/>
      <c r="DIH15" s="20"/>
      <c r="DII15" s="20"/>
      <c r="DIJ15" s="20"/>
      <c r="DIK15" s="20"/>
      <c r="DIL15" s="20"/>
      <c r="DIM15" s="20"/>
      <c r="DIN15" s="20"/>
      <c r="DIO15" s="20"/>
      <c r="DIP15" s="20"/>
      <c r="DIQ15" s="20"/>
      <c r="DIR15" s="20"/>
      <c r="DIS15" s="20"/>
      <c r="DIT15" s="20"/>
      <c r="DIU15" s="20"/>
      <c r="DIV15" s="20"/>
      <c r="DIW15" s="20"/>
      <c r="DIX15" s="20"/>
      <c r="DIY15" s="20"/>
      <c r="DIZ15" s="20"/>
      <c r="DJA15" s="20"/>
      <c r="DJB15" s="20"/>
      <c r="DJC15" s="20"/>
      <c r="DJD15" s="20"/>
      <c r="DJE15" s="20"/>
      <c r="DJF15" s="20"/>
      <c r="DJG15" s="20"/>
      <c r="DJH15" s="20"/>
      <c r="DJI15" s="20"/>
      <c r="DJJ15" s="20"/>
      <c r="DJK15" s="20"/>
      <c r="DJL15" s="20"/>
      <c r="DJM15" s="20"/>
      <c r="DJN15" s="20"/>
      <c r="DJO15" s="20"/>
      <c r="DJP15" s="20"/>
      <c r="DJQ15" s="20"/>
      <c r="DJR15" s="20"/>
      <c r="DJS15" s="20"/>
      <c r="DJT15" s="20"/>
      <c r="DJU15" s="20"/>
      <c r="DJV15" s="20"/>
      <c r="DJW15" s="20"/>
      <c r="DJX15" s="20"/>
      <c r="DJY15" s="20"/>
      <c r="DJZ15" s="20"/>
      <c r="DKA15" s="20"/>
      <c r="DKB15" s="20"/>
      <c r="DKC15" s="20"/>
      <c r="DKD15" s="20"/>
      <c r="DKE15" s="20"/>
      <c r="DKF15" s="20"/>
      <c r="DKG15" s="20"/>
      <c r="DKH15" s="20"/>
      <c r="DKI15" s="20"/>
      <c r="DKJ15" s="20"/>
      <c r="DKK15" s="20"/>
      <c r="DKL15" s="20"/>
      <c r="DKM15" s="20"/>
      <c r="DKN15" s="20"/>
      <c r="DKO15" s="20"/>
      <c r="DKP15" s="20"/>
      <c r="DKQ15" s="20"/>
      <c r="DKR15" s="20"/>
      <c r="DKS15" s="20"/>
      <c r="DKT15" s="20"/>
      <c r="DKU15" s="20"/>
      <c r="DKV15" s="20"/>
      <c r="DKW15" s="20"/>
      <c r="DKX15" s="20"/>
      <c r="DKY15" s="20"/>
      <c r="DKZ15" s="20"/>
      <c r="DLA15" s="20"/>
      <c r="DLB15" s="20"/>
      <c r="DLC15" s="20"/>
      <c r="DLD15" s="20"/>
      <c r="DLE15" s="20"/>
      <c r="DLF15" s="20"/>
      <c r="DLG15" s="20"/>
      <c r="DLH15" s="20"/>
      <c r="DLI15" s="20"/>
      <c r="DLJ15" s="20"/>
      <c r="DLK15" s="20"/>
      <c r="DLL15" s="20"/>
      <c r="DLM15" s="20"/>
      <c r="DLN15" s="20"/>
      <c r="DLO15" s="20"/>
      <c r="DLP15" s="20"/>
      <c r="DLQ15" s="20"/>
      <c r="DLR15" s="20"/>
      <c r="DLS15" s="20"/>
      <c r="DLT15" s="20"/>
      <c r="DLU15" s="20"/>
      <c r="DLV15" s="20"/>
      <c r="DLW15" s="20"/>
      <c r="DLX15" s="20"/>
      <c r="DLY15" s="20"/>
      <c r="DLZ15" s="20"/>
      <c r="DMA15" s="20"/>
      <c r="DMB15" s="20"/>
      <c r="DMC15" s="20"/>
      <c r="DMD15" s="20"/>
      <c r="DME15" s="20"/>
      <c r="DMF15" s="20"/>
      <c r="DMG15" s="20"/>
      <c r="DMH15" s="20"/>
      <c r="DMI15" s="20"/>
      <c r="DMJ15" s="20"/>
      <c r="DMK15" s="20"/>
      <c r="DML15" s="20"/>
      <c r="DMM15" s="20"/>
      <c r="DMN15" s="20"/>
      <c r="DMO15" s="20"/>
      <c r="DMP15" s="20"/>
      <c r="DMQ15" s="20"/>
      <c r="DMR15" s="20"/>
      <c r="DMS15" s="20"/>
      <c r="DMT15" s="20"/>
      <c r="DMU15" s="20"/>
      <c r="DMV15" s="20"/>
      <c r="DMW15" s="20"/>
      <c r="DMX15" s="20"/>
      <c r="DMY15" s="20"/>
      <c r="DMZ15" s="20"/>
      <c r="DNA15" s="20"/>
      <c r="DNB15" s="20"/>
      <c r="DNC15" s="20"/>
      <c r="DND15" s="20"/>
      <c r="DNE15" s="20"/>
      <c r="DNF15" s="20"/>
      <c r="DNG15" s="20"/>
      <c r="DNH15" s="20"/>
      <c r="DNI15" s="20"/>
      <c r="DNJ15" s="20"/>
      <c r="DNK15" s="20"/>
      <c r="DNL15" s="20"/>
      <c r="DNM15" s="20"/>
      <c r="DNN15" s="20"/>
      <c r="DNO15" s="20"/>
      <c r="DNP15" s="20"/>
      <c r="DNQ15" s="20"/>
      <c r="DNR15" s="20"/>
      <c r="DNS15" s="20"/>
      <c r="DNT15" s="20"/>
      <c r="DNU15" s="20"/>
      <c r="DNV15" s="20"/>
      <c r="DNW15" s="20"/>
      <c r="DNX15" s="20"/>
      <c r="DNY15" s="20"/>
      <c r="DNZ15" s="20"/>
      <c r="DOA15" s="20"/>
      <c r="DOB15" s="20"/>
      <c r="DOC15" s="20"/>
      <c r="DOD15" s="20"/>
      <c r="DOE15" s="20"/>
      <c r="DOF15" s="20"/>
      <c r="DOG15" s="20"/>
      <c r="DOH15" s="20"/>
      <c r="DOI15" s="20"/>
      <c r="DOJ15" s="20"/>
      <c r="DOK15" s="20"/>
      <c r="DOL15" s="20"/>
      <c r="DOM15" s="20"/>
      <c r="DON15" s="20"/>
      <c r="DOO15" s="20"/>
      <c r="DOP15" s="20"/>
      <c r="DOQ15" s="20"/>
      <c r="DOR15" s="20"/>
      <c r="DOS15" s="20"/>
      <c r="DOT15" s="20"/>
      <c r="DOU15" s="20"/>
      <c r="DOV15" s="20"/>
      <c r="DOW15" s="20"/>
      <c r="DOX15" s="20"/>
      <c r="DOY15" s="20"/>
      <c r="DOZ15" s="20"/>
      <c r="DPA15" s="20"/>
      <c r="DPB15" s="20"/>
      <c r="DPC15" s="20"/>
      <c r="DPD15" s="20"/>
      <c r="DPE15" s="20"/>
      <c r="DPF15" s="20"/>
      <c r="DPG15" s="20"/>
      <c r="DPH15" s="20"/>
      <c r="DPI15" s="20"/>
      <c r="DPJ15" s="20"/>
      <c r="DPK15" s="20"/>
      <c r="DPL15" s="20"/>
      <c r="DPM15" s="20"/>
      <c r="DPN15" s="20"/>
      <c r="DPO15" s="20"/>
      <c r="DPP15" s="20"/>
      <c r="DPQ15" s="20"/>
      <c r="DPR15" s="20"/>
      <c r="DPS15" s="20"/>
      <c r="DPT15" s="20"/>
      <c r="DPU15" s="20"/>
      <c r="DPV15" s="20"/>
      <c r="DPW15" s="20"/>
      <c r="DPX15" s="20"/>
      <c r="DPY15" s="20"/>
      <c r="DPZ15" s="20"/>
      <c r="DQA15" s="20"/>
      <c r="DQB15" s="20"/>
      <c r="DQC15" s="20"/>
      <c r="DQD15" s="20"/>
      <c r="DQE15" s="20"/>
      <c r="DQF15" s="20"/>
      <c r="DQG15" s="20"/>
      <c r="DQH15" s="20"/>
      <c r="DQI15" s="20"/>
      <c r="DQJ15" s="20"/>
      <c r="DQK15" s="20"/>
      <c r="DQL15" s="20"/>
      <c r="DQM15" s="20"/>
      <c r="DQN15" s="20"/>
      <c r="DQO15" s="20"/>
      <c r="DQP15" s="20"/>
      <c r="DQQ15" s="20"/>
      <c r="DQR15" s="20"/>
      <c r="DQS15" s="20"/>
      <c r="DQT15" s="20"/>
      <c r="DQU15" s="20"/>
      <c r="DQV15" s="20"/>
      <c r="DQW15" s="20"/>
      <c r="DQX15" s="20"/>
      <c r="DQY15" s="20"/>
      <c r="DQZ15" s="20"/>
      <c r="DRA15" s="20"/>
      <c r="DRB15" s="20"/>
      <c r="DRC15" s="20"/>
      <c r="DRD15" s="20"/>
      <c r="DRE15" s="20"/>
      <c r="DRF15" s="20"/>
      <c r="DRG15" s="20"/>
      <c r="DRH15" s="20"/>
      <c r="DRI15" s="20"/>
      <c r="DRJ15" s="20"/>
      <c r="DRK15" s="20"/>
      <c r="DRL15" s="20"/>
      <c r="DRM15" s="20"/>
      <c r="DRN15" s="20"/>
      <c r="DRO15" s="20"/>
      <c r="DRP15" s="20"/>
      <c r="DRQ15" s="20"/>
      <c r="DRR15" s="20"/>
      <c r="DRS15" s="20"/>
      <c r="DRT15" s="20"/>
      <c r="DRU15" s="20"/>
      <c r="DRV15" s="20"/>
      <c r="DRW15" s="20"/>
      <c r="DRX15" s="20"/>
      <c r="DRY15" s="20"/>
      <c r="DRZ15" s="20"/>
      <c r="DSA15" s="20"/>
      <c r="DSB15" s="20"/>
      <c r="DSC15" s="20"/>
      <c r="DSD15" s="20"/>
      <c r="DSE15" s="20"/>
      <c r="DSF15" s="20"/>
      <c r="DSG15" s="20"/>
      <c r="DSH15" s="20"/>
      <c r="DSI15" s="20"/>
      <c r="DSJ15" s="20"/>
      <c r="DSK15" s="20"/>
      <c r="DSL15" s="20"/>
      <c r="DSM15" s="20"/>
      <c r="DSN15" s="20"/>
      <c r="DSO15" s="20"/>
      <c r="DSP15" s="20"/>
      <c r="DSQ15" s="20"/>
      <c r="DSR15" s="20"/>
      <c r="DSS15" s="20"/>
      <c r="DST15" s="20"/>
      <c r="DSU15" s="20"/>
      <c r="DSV15" s="20"/>
      <c r="DSW15" s="20"/>
      <c r="DSX15" s="20"/>
      <c r="DSY15" s="20"/>
      <c r="DSZ15" s="20"/>
      <c r="DTA15" s="20"/>
      <c r="DTB15" s="20"/>
      <c r="DTC15" s="20"/>
      <c r="DTD15" s="20"/>
      <c r="DTE15" s="20"/>
      <c r="DTF15" s="20"/>
      <c r="DTG15" s="20"/>
      <c r="DTH15" s="20"/>
      <c r="DTI15" s="20"/>
      <c r="DTJ15" s="20"/>
      <c r="DTK15" s="20"/>
      <c r="DTL15" s="20"/>
      <c r="DTM15" s="20"/>
      <c r="DTN15" s="20"/>
      <c r="DTO15" s="20"/>
      <c r="DTP15" s="20"/>
      <c r="DTQ15" s="20"/>
      <c r="DTR15" s="20"/>
      <c r="DTS15" s="20"/>
      <c r="DTT15" s="20"/>
      <c r="DTU15" s="20"/>
      <c r="DTV15" s="20"/>
      <c r="DTW15" s="20"/>
      <c r="DTX15" s="20"/>
      <c r="DTY15" s="20"/>
      <c r="DTZ15" s="20"/>
      <c r="DUA15" s="20"/>
      <c r="DUB15" s="20"/>
      <c r="DUC15" s="20"/>
      <c r="DUD15" s="20"/>
      <c r="DUE15" s="20"/>
      <c r="DUF15" s="20"/>
      <c r="DUG15" s="20"/>
      <c r="DUH15" s="20"/>
      <c r="DUI15" s="20"/>
      <c r="DUJ15" s="20"/>
      <c r="DUK15" s="20"/>
      <c r="DUL15" s="20"/>
      <c r="DUM15" s="20"/>
      <c r="DUN15" s="20"/>
      <c r="DUO15" s="20"/>
      <c r="DUP15" s="20"/>
      <c r="DUQ15" s="20"/>
      <c r="DUR15" s="20"/>
      <c r="DUS15" s="20"/>
      <c r="DUT15" s="20"/>
      <c r="DUU15" s="20"/>
      <c r="DUV15" s="20"/>
      <c r="DUW15" s="20"/>
      <c r="DUX15" s="20"/>
      <c r="DUY15" s="20"/>
      <c r="DUZ15" s="20"/>
      <c r="DVA15" s="20"/>
      <c r="DVB15" s="20"/>
      <c r="DVC15" s="20"/>
      <c r="DVD15" s="20"/>
      <c r="DVE15" s="20"/>
      <c r="DVF15" s="20"/>
      <c r="DVG15" s="20"/>
      <c r="DVH15" s="20"/>
      <c r="DVI15" s="20"/>
      <c r="DVJ15" s="20"/>
      <c r="DVK15" s="20"/>
      <c r="DVL15" s="20"/>
      <c r="DVM15" s="20"/>
      <c r="DVN15" s="20"/>
      <c r="DVO15" s="20"/>
      <c r="DVP15" s="20"/>
      <c r="DVQ15" s="20"/>
      <c r="DVR15" s="20"/>
      <c r="DVS15" s="20"/>
      <c r="DVT15" s="20"/>
      <c r="DVU15" s="20"/>
      <c r="DVV15" s="20"/>
      <c r="DVW15" s="20"/>
      <c r="DVX15" s="20"/>
      <c r="DVY15" s="20"/>
      <c r="DVZ15" s="20"/>
      <c r="DWA15" s="20"/>
      <c r="DWB15" s="20"/>
      <c r="DWC15" s="20"/>
      <c r="DWD15" s="20"/>
      <c r="DWE15" s="20"/>
      <c r="DWF15" s="20"/>
      <c r="DWG15" s="20"/>
      <c r="DWH15" s="20"/>
      <c r="DWI15" s="20"/>
      <c r="DWJ15" s="20"/>
      <c r="DWK15" s="20"/>
      <c r="DWL15" s="20"/>
      <c r="DWM15" s="20"/>
      <c r="DWN15" s="20"/>
      <c r="DWO15" s="20"/>
      <c r="DWP15" s="20"/>
      <c r="DWQ15" s="20"/>
      <c r="DWR15" s="20"/>
      <c r="DWS15" s="20"/>
      <c r="DWT15" s="20"/>
      <c r="DWU15" s="20"/>
      <c r="DWV15" s="20"/>
      <c r="DWW15" s="20"/>
      <c r="DWX15" s="20"/>
      <c r="DWY15" s="20"/>
      <c r="DWZ15" s="20"/>
      <c r="DXA15" s="20"/>
      <c r="DXB15" s="20"/>
      <c r="DXC15" s="20"/>
      <c r="DXD15" s="20"/>
      <c r="DXE15" s="20"/>
      <c r="DXF15" s="20"/>
      <c r="DXG15" s="20"/>
      <c r="DXH15" s="20"/>
      <c r="DXI15" s="20"/>
      <c r="DXJ15" s="20"/>
      <c r="DXK15" s="20"/>
      <c r="DXL15" s="20"/>
      <c r="DXM15" s="20"/>
      <c r="DXN15" s="20"/>
      <c r="DXO15" s="20"/>
      <c r="DXP15" s="20"/>
      <c r="DXQ15" s="20"/>
      <c r="DXR15" s="20"/>
      <c r="DXS15" s="20"/>
      <c r="DXT15" s="20"/>
      <c r="DXU15" s="20"/>
      <c r="DXV15" s="20"/>
      <c r="DXW15" s="20"/>
      <c r="DXX15" s="20"/>
      <c r="DXY15" s="20"/>
      <c r="DXZ15" s="20"/>
      <c r="DYA15" s="20"/>
      <c r="DYB15" s="20"/>
      <c r="DYC15" s="20"/>
      <c r="DYD15" s="20"/>
      <c r="DYE15" s="20"/>
      <c r="DYF15" s="20"/>
      <c r="DYG15" s="20"/>
      <c r="DYH15" s="20"/>
      <c r="DYI15" s="20"/>
      <c r="DYJ15" s="20"/>
      <c r="DYK15" s="20"/>
      <c r="DYL15" s="20"/>
      <c r="DYM15" s="20"/>
      <c r="DYN15" s="20"/>
      <c r="DYO15" s="20"/>
      <c r="DYP15" s="20"/>
      <c r="DYQ15" s="20"/>
      <c r="DYR15" s="20"/>
      <c r="DYS15" s="20"/>
      <c r="DYT15" s="20"/>
      <c r="DYU15" s="20"/>
      <c r="DYV15" s="20"/>
      <c r="DYW15" s="20"/>
      <c r="DYX15" s="20"/>
      <c r="DYY15" s="20"/>
      <c r="DYZ15" s="20"/>
      <c r="DZA15" s="20"/>
      <c r="DZB15" s="20"/>
      <c r="DZC15" s="20"/>
      <c r="DZD15" s="20"/>
      <c r="DZE15" s="20"/>
      <c r="DZF15" s="20"/>
      <c r="DZG15" s="20"/>
      <c r="DZH15" s="20"/>
      <c r="DZI15" s="20"/>
      <c r="DZJ15" s="20"/>
      <c r="DZK15" s="20"/>
      <c r="DZL15" s="20"/>
      <c r="DZM15" s="20"/>
      <c r="DZN15" s="20"/>
      <c r="DZO15" s="20"/>
      <c r="DZP15" s="20"/>
      <c r="DZQ15" s="20"/>
      <c r="DZR15" s="20"/>
      <c r="DZS15" s="20"/>
      <c r="DZT15" s="20"/>
      <c r="DZU15" s="20"/>
      <c r="DZV15" s="20"/>
      <c r="DZW15" s="20"/>
      <c r="DZX15" s="20"/>
      <c r="DZY15" s="20"/>
      <c r="DZZ15" s="20"/>
      <c r="EAA15" s="20"/>
      <c r="EAB15" s="20"/>
      <c r="EAC15" s="20"/>
      <c r="EAD15" s="20"/>
      <c r="EAE15" s="20"/>
      <c r="EAF15" s="20"/>
      <c r="EAG15" s="20"/>
      <c r="EAH15" s="20"/>
      <c r="EAI15" s="20"/>
      <c r="EAJ15" s="20"/>
      <c r="EAK15" s="20"/>
      <c r="EAL15" s="20"/>
      <c r="EAM15" s="20"/>
      <c r="EAN15" s="20"/>
      <c r="EAO15" s="20"/>
      <c r="EAP15" s="20"/>
      <c r="EAQ15" s="20"/>
      <c r="EAR15" s="20"/>
      <c r="EAS15" s="20"/>
      <c r="EAT15" s="20"/>
      <c r="EAU15" s="20"/>
      <c r="EAV15" s="20"/>
      <c r="EAW15" s="20"/>
      <c r="EAX15" s="20"/>
      <c r="EAY15" s="20"/>
      <c r="EAZ15" s="20"/>
      <c r="EBA15" s="20"/>
      <c r="EBB15" s="20"/>
      <c r="EBC15" s="20"/>
      <c r="EBD15" s="20"/>
      <c r="EBE15" s="20"/>
      <c r="EBF15" s="20"/>
      <c r="EBG15" s="20"/>
      <c r="EBH15" s="20"/>
      <c r="EBI15" s="20"/>
      <c r="EBJ15" s="20"/>
      <c r="EBK15" s="20"/>
      <c r="EBL15" s="20"/>
      <c r="EBM15" s="20"/>
      <c r="EBN15" s="20"/>
      <c r="EBO15" s="20"/>
      <c r="EBP15" s="20"/>
      <c r="EBQ15" s="20"/>
      <c r="EBR15" s="20"/>
      <c r="EBS15" s="20"/>
      <c r="EBT15" s="20"/>
      <c r="EBU15" s="20"/>
      <c r="EBV15" s="20"/>
      <c r="EBW15" s="20"/>
      <c r="EBX15" s="20"/>
      <c r="EBY15" s="20"/>
      <c r="EBZ15" s="20"/>
      <c r="ECA15" s="20"/>
      <c r="ECB15" s="20"/>
      <c r="ECC15" s="20"/>
      <c r="ECD15" s="20"/>
      <c r="ECE15" s="20"/>
      <c r="ECF15" s="20"/>
      <c r="ECG15" s="20"/>
      <c r="ECH15" s="20"/>
      <c r="ECI15" s="20"/>
      <c r="ECJ15" s="20"/>
      <c r="ECK15" s="20"/>
      <c r="ECL15" s="20"/>
      <c r="ECM15" s="20"/>
      <c r="ECN15" s="20"/>
      <c r="ECO15" s="20"/>
      <c r="ECP15" s="20"/>
      <c r="ECQ15" s="20"/>
      <c r="ECR15" s="20"/>
      <c r="ECS15" s="20"/>
      <c r="ECT15" s="20"/>
      <c r="ECU15" s="20"/>
      <c r="ECV15" s="20"/>
      <c r="ECW15" s="20"/>
      <c r="ECX15" s="20"/>
      <c r="ECY15" s="20"/>
      <c r="ECZ15" s="20"/>
      <c r="EDA15" s="20"/>
      <c r="EDB15" s="20"/>
      <c r="EDC15" s="20"/>
      <c r="EDD15" s="20"/>
      <c r="EDE15" s="20"/>
      <c r="EDF15" s="20"/>
      <c r="EDG15" s="20"/>
      <c r="EDH15" s="20"/>
      <c r="EDI15" s="20"/>
      <c r="EDJ15" s="20"/>
      <c r="EDK15" s="20"/>
      <c r="EDL15" s="20"/>
      <c r="EDM15" s="20"/>
      <c r="EDN15" s="20"/>
      <c r="EDO15" s="20"/>
      <c r="EDP15" s="20"/>
      <c r="EDQ15" s="20"/>
      <c r="EDR15" s="20"/>
      <c r="EDS15" s="20"/>
      <c r="EDT15" s="20"/>
      <c r="EDU15" s="20"/>
      <c r="EDV15" s="20"/>
      <c r="EDW15" s="20"/>
      <c r="EDX15" s="20"/>
      <c r="EDY15" s="20"/>
      <c r="EDZ15" s="20"/>
      <c r="EEA15" s="20"/>
      <c r="EEB15" s="20"/>
      <c r="EEC15" s="20"/>
      <c r="EED15" s="20"/>
      <c r="EEE15" s="20"/>
      <c r="EEF15" s="20"/>
      <c r="EEG15" s="20"/>
      <c r="EEH15" s="20"/>
      <c r="EEI15" s="20"/>
      <c r="EEJ15" s="20"/>
      <c r="EEK15" s="20"/>
      <c r="EEL15" s="20"/>
      <c r="EEM15" s="20"/>
      <c r="EEN15" s="20"/>
      <c r="EEO15" s="20"/>
      <c r="EEP15" s="20"/>
      <c r="EEQ15" s="20"/>
      <c r="EER15" s="20"/>
      <c r="EES15" s="20"/>
      <c r="EET15" s="20"/>
      <c r="EEU15" s="20"/>
      <c r="EEV15" s="20"/>
      <c r="EEW15" s="20"/>
      <c r="EEX15" s="20"/>
      <c r="EEY15" s="20"/>
      <c r="EEZ15" s="20"/>
      <c r="EFA15" s="20"/>
      <c r="EFB15" s="20"/>
      <c r="EFC15" s="20"/>
      <c r="EFD15" s="20"/>
      <c r="EFE15" s="20"/>
      <c r="EFF15" s="20"/>
      <c r="EFG15" s="20"/>
      <c r="EFH15" s="20"/>
      <c r="EFI15" s="20"/>
      <c r="EFJ15" s="20"/>
      <c r="EFK15" s="20"/>
      <c r="EFL15" s="20"/>
      <c r="EFM15" s="20"/>
      <c r="EFN15" s="20"/>
      <c r="EFO15" s="20"/>
      <c r="EFP15" s="20"/>
      <c r="EFQ15" s="20"/>
      <c r="EFR15" s="20"/>
      <c r="EFS15" s="20"/>
      <c r="EFT15" s="20"/>
      <c r="EFU15" s="20"/>
      <c r="EFV15" s="20"/>
      <c r="EFW15" s="20"/>
      <c r="EFX15" s="20"/>
      <c r="EFY15" s="20"/>
      <c r="EFZ15" s="20"/>
      <c r="EGA15" s="20"/>
      <c r="EGB15" s="20"/>
      <c r="EGC15" s="20"/>
      <c r="EGD15" s="20"/>
      <c r="EGE15" s="20"/>
      <c r="EGF15" s="20"/>
      <c r="EGG15" s="20"/>
      <c r="EGH15" s="20"/>
      <c r="EGI15" s="20"/>
      <c r="EGJ15" s="20"/>
      <c r="EGK15" s="20"/>
      <c r="EGL15" s="20"/>
      <c r="EGM15" s="20"/>
      <c r="EGN15" s="20"/>
      <c r="EGO15" s="20"/>
      <c r="EGP15" s="20"/>
      <c r="EGQ15" s="20"/>
      <c r="EGR15" s="20"/>
      <c r="EGS15" s="20"/>
      <c r="EGT15" s="20"/>
      <c r="EGU15" s="20"/>
      <c r="EGV15" s="20"/>
      <c r="EGW15" s="20"/>
      <c r="EGX15" s="20"/>
      <c r="EGY15" s="20"/>
      <c r="EGZ15" s="20"/>
      <c r="EHA15" s="20"/>
      <c r="EHB15" s="20"/>
      <c r="EHC15" s="20"/>
      <c r="EHD15" s="20"/>
      <c r="EHE15" s="20"/>
      <c r="EHF15" s="20"/>
      <c r="EHG15" s="20"/>
      <c r="EHH15" s="20"/>
      <c r="EHI15" s="20"/>
      <c r="EHJ15" s="20"/>
      <c r="EHK15" s="20"/>
      <c r="EHL15" s="20"/>
      <c r="EHM15" s="20"/>
      <c r="EHN15" s="20"/>
      <c r="EHO15" s="20"/>
      <c r="EHP15" s="20"/>
      <c r="EHQ15" s="20"/>
      <c r="EHR15" s="20"/>
      <c r="EHS15" s="20"/>
      <c r="EHT15" s="20"/>
      <c r="EHU15" s="20"/>
      <c r="EHV15" s="20"/>
      <c r="EHW15" s="20"/>
      <c r="EHX15" s="20"/>
      <c r="EHY15" s="20"/>
      <c r="EHZ15" s="20"/>
      <c r="EIA15" s="20"/>
      <c r="EIB15" s="20"/>
      <c r="EIC15" s="20"/>
      <c r="EID15" s="20"/>
      <c r="EIE15" s="20"/>
      <c r="EIF15" s="20"/>
      <c r="EIG15" s="20"/>
      <c r="EIH15" s="20"/>
      <c r="EII15" s="20"/>
      <c r="EIJ15" s="20"/>
      <c r="EIK15" s="20"/>
      <c r="EIL15" s="20"/>
      <c r="EIM15" s="20"/>
      <c r="EIN15" s="20"/>
      <c r="EIO15" s="20"/>
      <c r="EIP15" s="20"/>
      <c r="EIQ15" s="20"/>
      <c r="EIR15" s="20"/>
      <c r="EIS15" s="20"/>
      <c r="EIT15" s="20"/>
      <c r="EIU15" s="20"/>
      <c r="EIV15" s="20"/>
      <c r="EIW15" s="20"/>
      <c r="EIX15" s="20"/>
      <c r="EIY15" s="20"/>
      <c r="EIZ15" s="20"/>
      <c r="EJA15" s="20"/>
      <c r="EJB15" s="20"/>
      <c r="EJC15" s="20"/>
      <c r="EJD15" s="20"/>
      <c r="EJE15" s="20"/>
      <c r="EJF15" s="20"/>
      <c r="EJG15" s="20"/>
      <c r="EJH15" s="20"/>
      <c r="EJI15" s="20"/>
      <c r="EJJ15" s="20"/>
      <c r="EJK15" s="20"/>
      <c r="EJL15" s="20"/>
      <c r="EJM15" s="20"/>
      <c r="EJN15" s="20"/>
      <c r="EJO15" s="20"/>
      <c r="EJP15" s="20"/>
      <c r="EJQ15" s="20"/>
      <c r="EJR15" s="20"/>
      <c r="EJS15" s="20"/>
      <c r="EJT15" s="20"/>
      <c r="EJU15" s="20"/>
      <c r="EJV15" s="20"/>
      <c r="EJW15" s="20"/>
      <c r="EJX15" s="20"/>
      <c r="EJY15" s="20"/>
      <c r="EJZ15" s="20"/>
      <c r="EKA15" s="20"/>
      <c r="EKB15" s="20"/>
      <c r="EKC15" s="20"/>
      <c r="EKD15" s="20"/>
      <c r="EKE15" s="20"/>
      <c r="EKF15" s="20"/>
      <c r="EKG15" s="20"/>
      <c r="EKH15" s="20"/>
      <c r="EKI15" s="20"/>
      <c r="EKJ15" s="20"/>
      <c r="EKK15" s="20"/>
      <c r="EKL15" s="20"/>
      <c r="EKM15" s="20"/>
      <c r="EKN15" s="20"/>
      <c r="EKO15" s="20"/>
      <c r="EKP15" s="20"/>
      <c r="EKQ15" s="20"/>
      <c r="EKR15" s="20"/>
      <c r="EKS15" s="20"/>
      <c r="EKT15" s="20"/>
      <c r="EKU15" s="20"/>
      <c r="EKV15" s="20"/>
      <c r="EKW15" s="20"/>
      <c r="EKX15" s="20"/>
      <c r="EKY15" s="20"/>
      <c r="EKZ15" s="20"/>
      <c r="ELA15" s="20"/>
      <c r="ELB15" s="20"/>
      <c r="ELC15" s="20"/>
      <c r="ELD15" s="20"/>
      <c r="ELE15" s="20"/>
      <c r="ELF15" s="20"/>
      <c r="ELG15" s="20"/>
      <c r="ELH15" s="20"/>
      <c r="ELI15" s="20"/>
      <c r="ELJ15" s="20"/>
      <c r="ELK15" s="20"/>
      <c r="ELL15" s="20"/>
      <c r="ELM15" s="20"/>
      <c r="ELN15" s="20"/>
      <c r="ELO15" s="20"/>
      <c r="ELP15" s="20"/>
      <c r="ELQ15" s="20"/>
      <c r="ELR15" s="20"/>
      <c r="ELS15" s="20"/>
      <c r="ELT15" s="20"/>
      <c r="ELU15" s="20"/>
      <c r="ELV15" s="20"/>
      <c r="ELW15" s="20"/>
      <c r="ELX15" s="20"/>
      <c r="ELY15" s="20"/>
      <c r="ELZ15" s="20"/>
      <c r="EMA15" s="20"/>
      <c r="EMB15" s="20"/>
      <c r="EMC15" s="20"/>
      <c r="EMD15" s="20"/>
      <c r="EME15" s="20"/>
      <c r="EMF15" s="20"/>
      <c r="EMG15" s="20"/>
      <c r="EMH15" s="20"/>
      <c r="EMI15" s="20"/>
      <c r="EMJ15" s="20"/>
      <c r="EMK15" s="20"/>
      <c r="EML15" s="20"/>
      <c r="EMM15" s="20"/>
      <c r="EMN15" s="20"/>
      <c r="EMO15" s="20"/>
      <c r="EMP15" s="20"/>
      <c r="EMQ15" s="20"/>
      <c r="EMR15" s="20"/>
      <c r="EMS15" s="20"/>
      <c r="EMT15" s="20"/>
      <c r="EMU15" s="20"/>
      <c r="EMV15" s="20"/>
      <c r="EMW15" s="20"/>
      <c r="EMX15" s="20"/>
      <c r="EMY15" s="20"/>
      <c r="EMZ15" s="20"/>
      <c r="ENA15" s="20"/>
      <c r="ENB15" s="20"/>
      <c r="ENC15" s="20"/>
      <c r="END15" s="20"/>
      <c r="ENE15" s="20"/>
      <c r="ENF15" s="20"/>
      <c r="ENG15" s="20"/>
      <c r="ENH15" s="20"/>
      <c r="ENI15" s="20"/>
      <c r="ENJ15" s="20"/>
      <c r="ENK15" s="20"/>
      <c r="ENL15" s="20"/>
      <c r="ENM15" s="20"/>
      <c r="ENN15" s="20"/>
      <c r="ENO15" s="20"/>
      <c r="ENP15" s="20"/>
      <c r="ENQ15" s="20"/>
      <c r="ENR15" s="20"/>
      <c r="ENS15" s="20"/>
      <c r="ENT15" s="20"/>
      <c r="ENU15" s="20"/>
      <c r="ENV15" s="20"/>
      <c r="ENW15" s="20"/>
      <c r="ENX15" s="20"/>
      <c r="ENY15" s="20"/>
      <c r="ENZ15" s="20"/>
      <c r="EOA15" s="20"/>
      <c r="EOB15" s="20"/>
      <c r="EOC15" s="20"/>
      <c r="EOD15" s="20"/>
      <c r="EOE15" s="20"/>
      <c r="EOF15" s="20"/>
      <c r="EOG15" s="20"/>
      <c r="EOH15" s="20"/>
      <c r="EOI15" s="20"/>
      <c r="EOJ15" s="20"/>
      <c r="EOK15" s="20"/>
      <c r="EOL15" s="20"/>
      <c r="EOM15" s="20"/>
      <c r="EON15" s="20"/>
      <c r="EOO15" s="20"/>
      <c r="EOP15" s="20"/>
      <c r="EOQ15" s="20"/>
      <c r="EOR15" s="20"/>
      <c r="EOS15" s="20"/>
      <c r="EOT15" s="20"/>
      <c r="EOU15" s="20"/>
      <c r="EOV15" s="20"/>
      <c r="EOW15" s="20"/>
      <c r="EOX15" s="20"/>
      <c r="EOY15" s="20"/>
      <c r="EOZ15" s="20"/>
      <c r="EPA15" s="20"/>
      <c r="EPB15" s="20"/>
      <c r="EPC15" s="20"/>
      <c r="EPD15" s="20"/>
      <c r="EPE15" s="20"/>
      <c r="EPF15" s="20"/>
      <c r="EPG15" s="20"/>
      <c r="EPH15" s="20"/>
      <c r="EPI15" s="20"/>
      <c r="EPJ15" s="20"/>
      <c r="EPK15" s="20"/>
      <c r="EPL15" s="20"/>
      <c r="EPM15" s="20"/>
      <c r="EPN15" s="20"/>
      <c r="EPO15" s="20"/>
      <c r="EPP15" s="20"/>
      <c r="EPQ15" s="20"/>
      <c r="EPR15" s="20"/>
      <c r="EPS15" s="20"/>
      <c r="EPT15" s="20"/>
      <c r="EPU15" s="20"/>
      <c r="EPV15" s="20"/>
      <c r="EPW15" s="20"/>
      <c r="EPX15" s="20"/>
      <c r="EPY15" s="20"/>
      <c r="EPZ15" s="20"/>
      <c r="EQA15" s="20"/>
      <c r="EQB15" s="20"/>
      <c r="EQC15" s="20"/>
      <c r="EQD15" s="20"/>
      <c r="EQE15" s="20"/>
      <c r="EQF15" s="20"/>
      <c r="EQG15" s="20"/>
      <c r="EQH15" s="20"/>
      <c r="EQI15" s="20"/>
      <c r="EQJ15" s="20"/>
      <c r="EQK15" s="20"/>
      <c r="EQL15" s="20"/>
      <c r="EQM15" s="20"/>
      <c r="EQN15" s="20"/>
      <c r="EQO15" s="20"/>
      <c r="EQP15" s="20"/>
      <c r="EQQ15" s="20"/>
      <c r="EQR15" s="20"/>
      <c r="EQS15" s="20"/>
      <c r="EQT15" s="20"/>
      <c r="EQU15" s="20"/>
      <c r="EQV15" s="20"/>
      <c r="EQW15" s="20"/>
      <c r="EQX15" s="20"/>
      <c r="EQY15" s="20"/>
      <c r="EQZ15" s="20"/>
      <c r="ERA15" s="20"/>
      <c r="ERB15" s="20"/>
      <c r="ERC15" s="20"/>
      <c r="ERD15" s="20"/>
      <c r="ERE15" s="20"/>
      <c r="ERF15" s="20"/>
      <c r="ERG15" s="20"/>
      <c r="ERH15" s="20"/>
      <c r="ERI15" s="20"/>
      <c r="ERJ15" s="20"/>
      <c r="ERK15" s="20"/>
      <c r="ERL15" s="20"/>
      <c r="ERM15" s="20"/>
      <c r="ERN15" s="20"/>
      <c r="ERO15" s="20"/>
      <c r="ERP15" s="20"/>
      <c r="ERQ15" s="20"/>
      <c r="ERR15" s="20"/>
      <c r="ERS15" s="20"/>
      <c r="ERT15" s="20"/>
      <c r="ERU15" s="20"/>
      <c r="ERV15" s="20"/>
      <c r="ERW15" s="20"/>
      <c r="ERX15" s="20"/>
      <c r="ERY15" s="20"/>
      <c r="ERZ15" s="20"/>
      <c r="ESA15" s="20"/>
      <c r="ESB15" s="20"/>
      <c r="ESC15" s="20"/>
      <c r="ESD15" s="20"/>
      <c r="ESE15" s="20"/>
      <c r="ESF15" s="20"/>
      <c r="ESG15" s="20"/>
      <c r="ESH15" s="20"/>
      <c r="ESI15" s="20"/>
      <c r="ESJ15" s="20"/>
      <c r="ESK15" s="20"/>
      <c r="ESL15" s="20"/>
      <c r="ESM15" s="20"/>
      <c r="ESN15" s="20"/>
      <c r="ESO15" s="20"/>
      <c r="ESP15" s="20"/>
      <c r="ESQ15" s="20"/>
      <c r="ESR15" s="20"/>
      <c r="ESS15" s="20"/>
      <c r="EST15" s="20"/>
      <c r="ESU15" s="20"/>
      <c r="ESV15" s="20"/>
      <c r="ESW15" s="20"/>
      <c r="ESX15" s="20"/>
      <c r="ESY15" s="20"/>
      <c r="ESZ15" s="20"/>
      <c r="ETA15" s="20"/>
      <c r="ETB15" s="20"/>
      <c r="ETC15" s="20"/>
      <c r="ETD15" s="20"/>
      <c r="ETE15" s="20"/>
      <c r="ETF15" s="20"/>
      <c r="ETG15" s="20"/>
      <c r="ETH15" s="20"/>
      <c r="ETI15" s="20"/>
      <c r="ETJ15" s="20"/>
      <c r="ETK15" s="20"/>
      <c r="ETL15" s="20"/>
      <c r="ETM15" s="20"/>
      <c r="ETN15" s="20"/>
      <c r="ETO15" s="20"/>
      <c r="ETP15" s="20"/>
      <c r="ETQ15" s="20"/>
      <c r="ETR15" s="20"/>
      <c r="ETS15" s="20"/>
      <c r="ETT15" s="20"/>
      <c r="ETU15" s="20"/>
      <c r="ETV15" s="20"/>
      <c r="ETW15" s="20"/>
      <c r="ETX15" s="20"/>
      <c r="ETY15" s="20"/>
      <c r="ETZ15" s="20"/>
      <c r="EUA15" s="20"/>
      <c r="EUB15" s="20"/>
      <c r="EUC15" s="20"/>
      <c r="EUD15" s="20"/>
      <c r="EUE15" s="20"/>
      <c r="EUF15" s="20"/>
      <c r="EUG15" s="20"/>
      <c r="EUH15" s="20"/>
      <c r="EUI15" s="20"/>
      <c r="EUJ15" s="20"/>
      <c r="EUK15" s="20"/>
      <c r="EUL15" s="20"/>
      <c r="EUM15" s="20"/>
      <c r="EUN15" s="20"/>
      <c r="EUO15" s="20"/>
      <c r="EUP15" s="20"/>
      <c r="EUQ15" s="20"/>
      <c r="EUR15" s="20"/>
      <c r="EUS15" s="20"/>
      <c r="EUT15" s="20"/>
      <c r="EUU15" s="20"/>
      <c r="EUV15" s="20"/>
      <c r="EUW15" s="20"/>
      <c r="EUX15" s="20"/>
      <c r="EUY15" s="20"/>
      <c r="EUZ15" s="20"/>
      <c r="EVA15" s="20"/>
      <c r="EVB15" s="20"/>
      <c r="EVC15" s="20"/>
      <c r="EVD15" s="20"/>
      <c r="EVE15" s="20"/>
      <c r="EVF15" s="20"/>
      <c r="EVG15" s="20"/>
      <c r="EVH15" s="20"/>
      <c r="EVI15" s="20"/>
      <c r="EVJ15" s="20"/>
      <c r="EVK15" s="20"/>
      <c r="EVL15" s="20"/>
      <c r="EVM15" s="20"/>
      <c r="EVN15" s="20"/>
      <c r="EVO15" s="20"/>
      <c r="EVP15" s="20"/>
      <c r="EVQ15" s="20"/>
      <c r="EVR15" s="20"/>
      <c r="EVS15" s="20"/>
      <c r="EVT15" s="20"/>
      <c r="EVU15" s="20"/>
      <c r="EVV15" s="20"/>
      <c r="EVW15" s="20"/>
      <c r="EVX15" s="20"/>
      <c r="EVY15" s="20"/>
      <c r="EVZ15" s="20"/>
      <c r="EWA15" s="20"/>
      <c r="EWB15" s="20"/>
      <c r="EWC15" s="20"/>
      <c r="EWD15" s="20"/>
      <c r="EWE15" s="20"/>
      <c r="EWF15" s="20"/>
      <c r="EWG15" s="20"/>
      <c r="EWH15" s="20"/>
      <c r="EWI15" s="20"/>
      <c r="EWJ15" s="20"/>
      <c r="EWK15" s="20"/>
      <c r="EWL15" s="20"/>
      <c r="EWM15" s="20"/>
      <c r="EWN15" s="20"/>
      <c r="EWO15" s="20"/>
      <c r="EWP15" s="20"/>
      <c r="EWQ15" s="20"/>
      <c r="EWR15" s="20"/>
      <c r="EWS15" s="20"/>
      <c r="EWT15" s="20"/>
      <c r="EWU15" s="20"/>
      <c r="EWV15" s="20"/>
      <c r="EWW15" s="20"/>
      <c r="EWX15" s="20"/>
      <c r="EWY15" s="20"/>
      <c r="EWZ15" s="20"/>
      <c r="EXA15" s="20"/>
      <c r="EXB15" s="20"/>
      <c r="EXC15" s="20"/>
      <c r="EXD15" s="20"/>
      <c r="EXE15" s="20"/>
      <c r="EXF15" s="20"/>
      <c r="EXG15" s="20"/>
      <c r="EXH15" s="20"/>
      <c r="EXI15" s="20"/>
      <c r="EXJ15" s="20"/>
      <c r="EXK15" s="20"/>
      <c r="EXL15" s="20"/>
      <c r="EXM15" s="20"/>
      <c r="EXN15" s="20"/>
      <c r="EXO15" s="20"/>
      <c r="EXP15" s="20"/>
      <c r="EXQ15" s="20"/>
      <c r="EXR15" s="20"/>
      <c r="EXS15" s="20"/>
      <c r="EXT15" s="20"/>
      <c r="EXU15" s="20"/>
      <c r="EXV15" s="20"/>
      <c r="EXW15" s="20"/>
      <c r="EXX15" s="20"/>
      <c r="EXY15" s="20"/>
      <c r="EXZ15" s="20"/>
      <c r="EYA15" s="20"/>
      <c r="EYB15" s="20"/>
      <c r="EYC15" s="20"/>
      <c r="EYD15" s="20"/>
      <c r="EYE15" s="20"/>
      <c r="EYF15" s="20"/>
      <c r="EYG15" s="20"/>
      <c r="EYH15" s="20"/>
      <c r="EYI15" s="20"/>
      <c r="EYJ15" s="20"/>
      <c r="EYK15" s="20"/>
      <c r="EYL15" s="20"/>
      <c r="EYM15" s="20"/>
      <c r="EYN15" s="20"/>
      <c r="EYO15" s="20"/>
      <c r="EYP15" s="20"/>
      <c r="EYQ15" s="20"/>
      <c r="EYR15" s="20"/>
      <c r="EYS15" s="20"/>
      <c r="EYT15" s="20"/>
      <c r="EYU15" s="20"/>
      <c r="EYV15" s="20"/>
      <c r="EYW15" s="20"/>
      <c r="EYX15" s="20"/>
      <c r="EYY15" s="20"/>
      <c r="EYZ15" s="20"/>
      <c r="EZA15" s="20"/>
      <c r="EZB15" s="20"/>
      <c r="EZC15" s="20"/>
      <c r="EZD15" s="20"/>
      <c r="EZE15" s="20"/>
      <c r="EZF15" s="20"/>
      <c r="EZG15" s="20"/>
      <c r="EZH15" s="20"/>
      <c r="EZI15" s="20"/>
      <c r="EZJ15" s="20"/>
      <c r="EZK15" s="20"/>
      <c r="EZL15" s="20"/>
      <c r="EZM15" s="20"/>
      <c r="EZN15" s="20"/>
      <c r="EZO15" s="20"/>
      <c r="EZP15" s="20"/>
      <c r="EZQ15" s="20"/>
      <c r="EZR15" s="20"/>
      <c r="EZS15" s="20"/>
      <c r="EZT15" s="20"/>
      <c r="EZU15" s="20"/>
      <c r="EZV15" s="20"/>
      <c r="EZW15" s="20"/>
      <c r="EZX15" s="20"/>
      <c r="EZY15" s="20"/>
      <c r="EZZ15" s="20"/>
      <c r="FAA15" s="20"/>
      <c r="FAB15" s="20"/>
      <c r="FAC15" s="20"/>
      <c r="FAD15" s="20"/>
      <c r="FAE15" s="20"/>
      <c r="FAF15" s="20"/>
      <c r="FAG15" s="20"/>
      <c r="FAH15" s="20"/>
      <c r="FAI15" s="20"/>
      <c r="FAJ15" s="20"/>
      <c r="FAK15" s="20"/>
      <c r="FAL15" s="20"/>
      <c r="FAM15" s="20"/>
      <c r="FAN15" s="20"/>
      <c r="FAO15" s="20"/>
      <c r="FAP15" s="20"/>
      <c r="FAQ15" s="20"/>
      <c r="FAR15" s="20"/>
      <c r="FAS15" s="20"/>
      <c r="FAT15" s="20"/>
      <c r="FAU15" s="20"/>
      <c r="FAV15" s="20"/>
      <c r="FAW15" s="20"/>
      <c r="FAX15" s="20"/>
      <c r="FAY15" s="20"/>
      <c r="FAZ15" s="20"/>
      <c r="FBA15" s="20"/>
      <c r="FBB15" s="20"/>
      <c r="FBC15" s="20"/>
      <c r="FBD15" s="20"/>
      <c r="FBE15" s="20"/>
      <c r="FBF15" s="20"/>
      <c r="FBG15" s="20"/>
      <c r="FBH15" s="20"/>
      <c r="FBI15" s="20"/>
      <c r="FBJ15" s="20"/>
      <c r="FBK15" s="20"/>
      <c r="FBL15" s="20"/>
      <c r="FBM15" s="20"/>
      <c r="FBN15" s="20"/>
      <c r="FBO15" s="20"/>
      <c r="FBP15" s="20"/>
      <c r="FBQ15" s="20"/>
      <c r="FBR15" s="20"/>
      <c r="FBS15" s="20"/>
      <c r="FBT15" s="20"/>
      <c r="FBU15" s="20"/>
      <c r="FBV15" s="20"/>
      <c r="FBW15" s="20"/>
      <c r="FBX15" s="20"/>
      <c r="FBY15" s="20"/>
      <c r="FBZ15" s="20"/>
      <c r="FCA15" s="20"/>
      <c r="FCB15" s="20"/>
      <c r="FCC15" s="20"/>
      <c r="FCD15" s="20"/>
      <c r="FCE15" s="20"/>
      <c r="FCF15" s="20"/>
      <c r="FCG15" s="20"/>
      <c r="FCH15" s="20"/>
      <c r="FCI15" s="20"/>
      <c r="FCJ15" s="20"/>
      <c r="FCK15" s="20"/>
      <c r="FCL15" s="20"/>
      <c r="FCM15" s="20"/>
      <c r="FCN15" s="20"/>
      <c r="FCO15" s="20"/>
      <c r="FCP15" s="20"/>
      <c r="FCQ15" s="20"/>
      <c r="FCR15" s="20"/>
      <c r="FCS15" s="20"/>
      <c r="FCT15" s="20"/>
      <c r="FCU15" s="20"/>
      <c r="FCV15" s="20"/>
      <c r="FCW15" s="20"/>
      <c r="FCX15" s="20"/>
      <c r="FCY15" s="20"/>
      <c r="FCZ15" s="20"/>
      <c r="FDA15" s="20"/>
      <c r="FDB15" s="20"/>
      <c r="FDC15" s="20"/>
      <c r="FDD15" s="20"/>
      <c r="FDE15" s="20"/>
      <c r="FDF15" s="20"/>
      <c r="FDG15" s="20"/>
      <c r="FDH15" s="20"/>
      <c r="FDI15" s="20"/>
      <c r="FDJ15" s="20"/>
      <c r="FDK15" s="20"/>
      <c r="FDL15" s="20"/>
      <c r="FDM15" s="20"/>
      <c r="FDN15" s="20"/>
      <c r="FDO15" s="20"/>
      <c r="FDP15" s="20"/>
      <c r="FDQ15" s="20"/>
      <c r="FDR15" s="20"/>
      <c r="FDS15" s="20"/>
      <c r="FDT15" s="20"/>
      <c r="FDU15" s="20"/>
      <c r="FDV15" s="20"/>
      <c r="FDW15" s="20"/>
      <c r="FDX15" s="20"/>
      <c r="FDY15" s="20"/>
      <c r="FDZ15" s="20"/>
      <c r="FEA15" s="20"/>
      <c r="FEB15" s="20"/>
      <c r="FEC15" s="20"/>
      <c r="FED15" s="20"/>
      <c r="FEE15" s="20"/>
      <c r="FEF15" s="20"/>
      <c r="FEG15" s="20"/>
      <c r="FEH15" s="20"/>
      <c r="FEI15" s="20"/>
      <c r="FEJ15" s="20"/>
      <c r="FEK15" s="20"/>
      <c r="FEL15" s="20"/>
      <c r="FEM15" s="20"/>
      <c r="FEN15" s="20"/>
      <c r="FEO15" s="20"/>
      <c r="FEP15" s="20"/>
      <c r="FEQ15" s="20"/>
      <c r="FER15" s="20"/>
      <c r="FES15" s="20"/>
      <c r="FET15" s="20"/>
      <c r="FEU15" s="20"/>
      <c r="FEV15" s="20"/>
      <c r="FEW15" s="20"/>
      <c r="FEX15" s="20"/>
      <c r="FEY15" s="20"/>
      <c r="FEZ15" s="20"/>
      <c r="FFA15" s="20"/>
      <c r="FFB15" s="20"/>
      <c r="FFC15" s="20"/>
      <c r="FFD15" s="20"/>
      <c r="FFE15" s="20"/>
      <c r="FFF15" s="20"/>
      <c r="FFG15" s="20"/>
      <c r="FFH15" s="20"/>
      <c r="FFI15" s="20"/>
      <c r="FFJ15" s="20"/>
      <c r="FFK15" s="20"/>
      <c r="FFL15" s="20"/>
      <c r="FFM15" s="20"/>
      <c r="FFN15" s="20"/>
      <c r="FFO15" s="20"/>
      <c r="FFP15" s="20"/>
      <c r="FFQ15" s="20"/>
      <c r="FFR15" s="20"/>
      <c r="FFS15" s="20"/>
      <c r="FFT15" s="20"/>
      <c r="FFU15" s="20"/>
      <c r="FFV15" s="20"/>
      <c r="FFW15" s="20"/>
      <c r="FFX15" s="20"/>
      <c r="FFY15" s="20"/>
      <c r="FFZ15" s="20"/>
      <c r="FGA15" s="20"/>
      <c r="FGB15" s="20"/>
      <c r="FGC15" s="20"/>
      <c r="FGD15" s="20"/>
      <c r="FGE15" s="20"/>
      <c r="FGF15" s="20"/>
      <c r="FGG15" s="20"/>
      <c r="FGH15" s="20"/>
      <c r="FGI15" s="20"/>
      <c r="FGJ15" s="20"/>
      <c r="FGK15" s="20"/>
      <c r="FGL15" s="20"/>
      <c r="FGM15" s="20"/>
      <c r="FGN15" s="20"/>
      <c r="FGO15" s="20"/>
      <c r="FGP15" s="20"/>
      <c r="FGQ15" s="20"/>
      <c r="FGR15" s="20"/>
      <c r="FGS15" s="20"/>
      <c r="FGT15" s="20"/>
      <c r="FGU15" s="20"/>
      <c r="FGV15" s="20"/>
      <c r="FGW15" s="20"/>
      <c r="FGX15" s="20"/>
      <c r="FGY15" s="20"/>
      <c r="FGZ15" s="20"/>
      <c r="FHA15" s="20"/>
      <c r="FHB15" s="20"/>
      <c r="FHC15" s="20"/>
      <c r="FHD15" s="20"/>
      <c r="FHE15" s="20"/>
      <c r="FHF15" s="20"/>
      <c r="FHG15" s="20"/>
      <c r="FHH15" s="20"/>
      <c r="FHI15" s="20"/>
      <c r="FHJ15" s="20"/>
      <c r="FHK15" s="20"/>
      <c r="FHL15" s="20"/>
      <c r="FHM15" s="20"/>
      <c r="FHN15" s="20"/>
      <c r="FHO15" s="20"/>
      <c r="FHP15" s="20"/>
      <c r="FHQ15" s="20"/>
      <c r="FHR15" s="20"/>
      <c r="FHS15" s="20"/>
      <c r="FHT15" s="20"/>
      <c r="FHU15" s="20"/>
      <c r="FHV15" s="20"/>
      <c r="FHW15" s="20"/>
      <c r="FHX15" s="20"/>
      <c r="FHY15" s="20"/>
      <c r="FHZ15" s="20"/>
      <c r="FIA15" s="20"/>
      <c r="FIB15" s="20"/>
      <c r="FIC15" s="20"/>
      <c r="FID15" s="20"/>
      <c r="FIE15" s="20"/>
      <c r="FIF15" s="20"/>
      <c r="FIG15" s="20"/>
      <c r="FIH15" s="20"/>
      <c r="FII15" s="20"/>
      <c r="FIJ15" s="20"/>
      <c r="FIK15" s="20"/>
      <c r="FIL15" s="20"/>
      <c r="FIM15" s="20"/>
      <c r="FIN15" s="20"/>
      <c r="FIO15" s="20"/>
      <c r="FIP15" s="20"/>
      <c r="FIQ15" s="20"/>
      <c r="FIR15" s="20"/>
      <c r="FIS15" s="20"/>
      <c r="FIT15" s="20"/>
      <c r="FIU15" s="20"/>
      <c r="FIV15" s="20"/>
      <c r="FIW15" s="20"/>
      <c r="FIX15" s="20"/>
      <c r="FIY15" s="20"/>
      <c r="FIZ15" s="20"/>
      <c r="FJA15" s="20"/>
      <c r="FJB15" s="20"/>
      <c r="FJC15" s="20"/>
      <c r="FJD15" s="20"/>
      <c r="FJE15" s="20"/>
      <c r="FJF15" s="20"/>
      <c r="FJG15" s="20"/>
      <c r="FJH15" s="20"/>
      <c r="FJI15" s="20"/>
      <c r="FJJ15" s="20"/>
      <c r="FJK15" s="20"/>
      <c r="FJL15" s="20"/>
      <c r="FJM15" s="20"/>
      <c r="FJN15" s="20"/>
      <c r="FJO15" s="20"/>
      <c r="FJP15" s="20"/>
      <c r="FJQ15" s="20"/>
      <c r="FJR15" s="20"/>
      <c r="FJS15" s="20"/>
      <c r="FJT15" s="20"/>
      <c r="FJU15" s="20"/>
      <c r="FJV15" s="20"/>
      <c r="FJW15" s="20"/>
      <c r="FJX15" s="20"/>
      <c r="FJY15" s="20"/>
      <c r="FJZ15" s="20"/>
      <c r="FKA15" s="20"/>
      <c r="FKB15" s="20"/>
      <c r="FKC15" s="20"/>
      <c r="FKD15" s="20"/>
      <c r="FKE15" s="20"/>
      <c r="FKF15" s="20"/>
      <c r="FKG15" s="20"/>
      <c r="FKH15" s="20"/>
      <c r="FKI15" s="20"/>
      <c r="FKJ15" s="20"/>
      <c r="FKK15" s="20"/>
      <c r="FKL15" s="20"/>
      <c r="FKM15" s="20"/>
      <c r="FKN15" s="20"/>
      <c r="FKO15" s="20"/>
      <c r="FKP15" s="20"/>
      <c r="FKQ15" s="20"/>
      <c r="FKR15" s="20"/>
      <c r="FKS15" s="20"/>
      <c r="FKT15" s="20"/>
      <c r="FKU15" s="20"/>
      <c r="FKV15" s="20"/>
      <c r="FKW15" s="20"/>
      <c r="FKX15" s="20"/>
      <c r="FKY15" s="20"/>
      <c r="FKZ15" s="20"/>
      <c r="FLA15" s="20"/>
      <c r="FLB15" s="20"/>
      <c r="FLC15" s="20"/>
      <c r="FLD15" s="20"/>
      <c r="FLE15" s="20"/>
      <c r="FLF15" s="20"/>
      <c r="FLG15" s="20"/>
      <c r="FLH15" s="20"/>
      <c r="FLI15" s="20"/>
      <c r="FLJ15" s="20"/>
      <c r="FLK15" s="20"/>
      <c r="FLL15" s="20"/>
      <c r="FLM15" s="20"/>
      <c r="FLN15" s="20"/>
      <c r="FLO15" s="20"/>
      <c r="FLP15" s="20"/>
      <c r="FLQ15" s="20"/>
      <c r="FLR15" s="20"/>
      <c r="FLS15" s="20"/>
      <c r="FLT15" s="20"/>
      <c r="FLU15" s="20"/>
      <c r="FLV15" s="20"/>
      <c r="FLW15" s="20"/>
      <c r="FLX15" s="20"/>
      <c r="FLY15" s="20"/>
      <c r="FLZ15" s="20"/>
      <c r="FMA15" s="20"/>
      <c r="FMB15" s="20"/>
      <c r="FMC15" s="20"/>
      <c r="FMD15" s="20"/>
      <c r="FME15" s="20"/>
      <c r="FMF15" s="20"/>
      <c r="FMG15" s="20"/>
      <c r="FMH15" s="20"/>
      <c r="FMI15" s="20"/>
      <c r="FMJ15" s="20"/>
      <c r="FMK15" s="20"/>
      <c r="FML15" s="20"/>
      <c r="FMM15" s="20"/>
      <c r="FMN15" s="20"/>
      <c r="FMO15" s="20"/>
      <c r="FMP15" s="20"/>
      <c r="FMQ15" s="20"/>
      <c r="FMR15" s="20"/>
      <c r="FMS15" s="20"/>
      <c r="FMT15" s="20"/>
      <c r="FMU15" s="20"/>
      <c r="FMV15" s="20"/>
      <c r="FMW15" s="20"/>
      <c r="FMX15" s="20"/>
      <c r="FMY15" s="20"/>
      <c r="FMZ15" s="20"/>
      <c r="FNA15" s="20"/>
      <c r="FNB15" s="20"/>
      <c r="FNC15" s="20"/>
      <c r="FND15" s="20"/>
      <c r="FNE15" s="20"/>
      <c r="FNF15" s="20"/>
      <c r="FNG15" s="20"/>
      <c r="FNH15" s="20"/>
      <c r="FNI15" s="20"/>
      <c r="FNJ15" s="20"/>
      <c r="FNK15" s="20"/>
      <c r="FNL15" s="20"/>
      <c r="FNM15" s="20"/>
      <c r="FNN15" s="20"/>
      <c r="FNO15" s="20"/>
      <c r="FNP15" s="20"/>
      <c r="FNQ15" s="20"/>
      <c r="FNR15" s="20"/>
      <c r="FNS15" s="20"/>
      <c r="FNT15" s="20"/>
      <c r="FNU15" s="20"/>
      <c r="FNV15" s="20"/>
      <c r="FNW15" s="20"/>
      <c r="FNX15" s="20"/>
      <c r="FNY15" s="20"/>
      <c r="FNZ15" s="20"/>
      <c r="FOA15" s="20"/>
      <c r="FOB15" s="20"/>
      <c r="FOC15" s="20"/>
      <c r="FOD15" s="20"/>
      <c r="FOE15" s="20"/>
      <c r="FOF15" s="20"/>
      <c r="FOG15" s="20"/>
      <c r="FOH15" s="20"/>
      <c r="FOI15" s="20"/>
      <c r="FOJ15" s="20"/>
      <c r="FOK15" s="20"/>
      <c r="FOL15" s="20"/>
      <c r="FOM15" s="20"/>
      <c r="FON15" s="20"/>
      <c r="FOO15" s="20"/>
      <c r="FOP15" s="20"/>
      <c r="FOQ15" s="20"/>
      <c r="FOR15" s="20"/>
      <c r="FOS15" s="20"/>
      <c r="FOT15" s="20"/>
      <c r="FOU15" s="20"/>
      <c r="FOV15" s="20"/>
      <c r="FOW15" s="20"/>
      <c r="FOX15" s="20"/>
      <c r="FOY15" s="20"/>
      <c r="FOZ15" s="20"/>
      <c r="FPA15" s="20"/>
      <c r="FPB15" s="20"/>
      <c r="FPC15" s="20"/>
      <c r="FPD15" s="20"/>
      <c r="FPE15" s="20"/>
      <c r="FPF15" s="20"/>
      <c r="FPG15" s="20"/>
      <c r="FPH15" s="20"/>
      <c r="FPI15" s="20"/>
      <c r="FPJ15" s="20"/>
      <c r="FPK15" s="20"/>
      <c r="FPL15" s="20"/>
      <c r="FPM15" s="20"/>
      <c r="FPN15" s="20"/>
      <c r="FPO15" s="20"/>
      <c r="FPP15" s="20"/>
      <c r="FPQ15" s="20"/>
      <c r="FPR15" s="20"/>
      <c r="FPS15" s="20"/>
      <c r="FPT15" s="20"/>
      <c r="FPU15" s="20"/>
      <c r="FPV15" s="20"/>
      <c r="FPW15" s="20"/>
      <c r="FPX15" s="20"/>
      <c r="FPY15" s="20"/>
      <c r="FPZ15" s="20"/>
      <c r="FQA15" s="20"/>
      <c r="FQB15" s="20"/>
      <c r="FQC15" s="20"/>
      <c r="FQD15" s="20"/>
      <c r="FQE15" s="20"/>
      <c r="FQF15" s="20"/>
      <c r="FQG15" s="20"/>
      <c r="FQH15" s="20"/>
      <c r="FQI15" s="20"/>
      <c r="FQJ15" s="20"/>
      <c r="FQK15" s="20"/>
      <c r="FQL15" s="20"/>
      <c r="FQM15" s="20"/>
      <c r="FQN15" s="20"/>
      <c r="FQO15" s="20"/>
      <c r="FQP15" s="20"/>
      <c r="FQQ15" s="20"/>
      <c r="FQR15" s="20"/>
      <c r="FQS15" s="20"/>
      <c r="FQT15" s="20"/>
      <c r="FQU15" s="20"/>
      <c r="FQV15" s="20"/>
      <c r="FQW15" s="20"/>
      <c r="FQX15" s="20"/>
      <c r="FQY15" s="20"/>
      <c r="FQZ15" s="20"/>
      <c r="FRA15" s="20"/>
      <c r="FRB15" s="20"/>
      <c r="FRC15" s="20"/>
      <c r="FRD15" s="20"/>
      <c r="FRE15" s="20"/>
      <c r="FRF15" s="20"/>
      <c r="FRG15" s="20"/>
      <c r="FRH15" s="20"/>
      <c r="FRI15" s="20"/>
      <c r="FRJ15" s="20"/>
      <c r="FRK15" s="20"/>
      <c r="FRL15" s="20"/>
      <c r="FRM15" s="20"/>
      <c r="FRN15" s="20"/>
      <c r="FRO15" s="20"/>
      <c r="FRP15" s="20"/>
      <c r="FRQ15" s="20"/>
      <c r="FRR15" s="20"/>
      <c r="FRS15" s="20"/>
      <c r="FRT15" s="20"/>
      <c r="FRU15" s="20"/>
      <c r="FRV15" s="20"/>
      <c r="FRW15" s="20"/>
      <c r="FRX15" s="20"/>
      <c r="FRY15" s="20"/>
      <c r="FRZ15" s="20"/>
      <c r="FSA15" s="20"/>
      <c r="FSB15" s="20"/>
      <c r="FSC15" s="20"/>
      <c r="FSD15" s="20"/>
      <c r="FSE15" s="20"/>
      <c r="FSF15" s="20"/>
      <c r="FSG15" s="20"/>
      <c r="FSH15" s="20"/>
      <c r="FSI15" s="20"/>
      <c r="FSJ15" s="20"/>
      <c r="FSK15" s="20"/>
      <c r="FSL15" s="20"/>
      <c r="FSM15" s="20"/>
      <c r="FSN15" s="20"/>
      <c r="FSO15" s="20"/>
      <c r="FSP15" s="20"/>
      <c r="FSQ15" s="20"/>
      <c r="FSR15" s="20"/>
      <c r="FSS15" s="20"/>
      <c r="FST15" s="20"/>
      <c r="FSU15" s="20"/>
      <c r="FSV15" s="20"/>
      <c r="FSW15" s="20"/>
      <c r="FSX15" s="20"/>
      <c r="FSY15" s="20"/>
      <c r="FSZ15" s="20"/>
      <c r="FTA15" s="20"/>
      <c r="FTB15" s="20"/>
      <c r="FTC15" s="20"/>
      <c r="FTD15" s="20"/>
      <c r="FTE15" s="20"/>
      <c r="FTF15" s="20"/>
      <c r="FTG15" s="20"/>
      <c r="FTH15" s="20"/>
      <c r="FTI15" s="20"/>
      <c r="FTJ15" s="20"/>
      <c r="FTK15" s="20"/>
      <c r="FTL15" s="20"/>
      <c r="FTM15" s="20"/>
      <c r="FTN15" s="20"/>
      <c r="FTO15" s="20"/>
      <c r="FTP15" s="20"/>
      <c r="FTQ15" s="20"/>
      <c r="FTR15" s="20"/>
      <c r="FTS15" s="20"/>
      <c r="FTT15" s="20"/>
      <c r="FTU15" s="20"/>
      <c r="FTV15" s="20"/>
      <c r="FTW15" s="20"/>
      <c r="FTX15" s="20"/>
      <c r="FTY15" s="20"/>
      <c r="FTZ15" s="20"/>
      <c r="FUA15" s="20"/>
      <c r="FUB15" s="20"/>
      <c r="FUC15" s="20"/>
      <c r="FUD15" s="20"/>
      <c r="FUE15" s="20"/>
      <c r="FUF15" s="20"/>
      <c r="FUG15" s="20"/>
      <c r="FUH15" s="20"/>
      <c r="FUI15" s="20"/>
      <c r="FUJ15" s="20"/>
      <c r="FUK15" s="20"/>
      <c r="FUL15" s="20"/>
      <c r="FUM15" s="20"/>
      <c r="FUN15" s="20"/>
      <c r="FUO15" s="20"/>
      <c r="FUP15" s="20"/>
      <c r="FUQ15" s="20"/>
      <c r="FUR15" s="20"/>
      <c r="FUS15" s="20"/>
      <c r="FUT15" s="20"/>
      <c r="FUU15" s="20"/>
      <c r="FUV15" s="20"/>
      <c r="FUW15" s="20"/>
      <c r="FUX15" s="20"/>
      <c r="FUY15" s="20"/>
      <c r="FUZ15" s="20"/>
      <c r="FVA15" s="20"/>
      <c r="FVB15" s="20"/>
      <c r="FVC15" s="20"/>
      <c r="FVD15" s="20"/>
      <c r="FVE15" s="20"/>
      <c r="FVF15" s="20"/>
      <c r="FVG15" s="20"/>
      <c r="FVH15" s="20"/>
      <c r="FVI15" s="20"/>
      <c r="FVJ15" s="20"/>
      <c r="FVK15" s="20"/>
      <c r="FVL15" s="20"/>
      <c r="FVM15" s="20"/>
      <c r="FVN15" s="20"/>
      <c r="FVO15" s="20"/>
      <c r="FVP15" s="20"/>
      <c r="FVQ15" s="20"/>
      <c r="FVR15" s="20"/>
      <c r="FVS15" s="20"/>
      <c r="FVT15" s="20"/>
      <c r="FVU15" s="20"/>
      <c r="FVV15" s="20"/>
      <c r="FVW15" s="20"/>
      <c r="FVX15" s="20"/>
      <c r="FVY15" s="20"/>
      <c r="FVZ15" s="20"/>
      <c r="FWA15" s="20"/>
      <c r="FWB15" s="20"/>
      <c r="FWC15" s="20"/>
      <c r="FWD15" s="20"/>
      <c r="FWE15" s="20"/>
      <c r="FWF15" s="20"/>
      <c r="FWG15" s="20"/>
      <c r="FWH15" s="20"/>
      <c r="FWI15" s="20"/>
      <c r="FWJ15" s="20"/>
      <c r="FWK15" s="20"/>
      <c r="FWL15" s="20"/>
      <c r="FWM15" s="20"/>
      <c r="FWN15" s="20"/>
      <c r="FWO15" s="20"/>
      <c r="FWP15" s="20"/>
      <c r="FWQ15" s="20"/>
      <c r="FWR15" s="20"/>
      <c r="FWS15" s="20"/>
      <c r="FWT15" s="20"/>
      <c r="FWU15" s="20"/>
      <c r="FWV15" s="20"/>
      <c r="FWW15" s="20"/>
      <c r="FWX15" s="20"/>
      <c r="FWY15" s="20"/>
      <c r="FWZ15" s="20"/>
      <c r="FXA15" s="20"/>
      <c r="FXB15" s="20"/>
      <c r="FXC15" s="20"/>
      <c r="FXD15" s="20"/>
      <c r="FXE15" s="20"/>
      <c r="FXF15" s="20"/>
      <c r="FXG15" s="20"/>
      <c r="FXH15" s="20"/>
      <c r="FXI15" s="20"/>
      <c r="FXJ15" s="20"/>
      <c r="FXK15" s="20"/>
      <c r="FXL15" s="20"/>
      <c r="FXM15" s="20"/>
      <c r="FXN15" s="20"/>
      <c r="FXO15" s="20"/>
      <c r="FXP15" s="20"/>
      <c r="FXQ15" s="20"/>
      <c r="FXR15" s="20"/>
      <c r="FXS15" s="20"/>
      <c r="FXT15" s="20"/>
      <c r="FXU15" s="20"/>
      <c r="FXV15" s="20"/>
      <c r="FXW15" s="20"/>
      <c r="FXX15" s="20"/>
      <c r="FXY15" s="20"/>
      <c r="FXZ15" s="20"/>
      <c r="FYA15" s="20"/>
      <c r="FYB15" s="20"/>
      <c r="FYC15" s="20"/>
      <c r="FYD15" s="20"/>
      <c r="FYE15" s="20"/>
      <c r="FYF15" s="20"/>
      <c r="FYG15" s="20"/>
      <c r="FYH15" s="20"/>
      <c r="FYI15" s="20"/>
      <c r="FYJ15" s="20"/>
      <c r="FYK15" s="20"/>
      <c r="FYL15" s="20"/>
      <c r="FYM15" s="20"/>
      <c r="FYN15" s="20"/>
      <c r="FYO15" s="20"/>
      <c r="FYP15" s="20"/>
      <c r="FYQ15" s="20"/>
      <c r="FYR15" s="20"/>
      <c r="FYS15" s="20"/>
      <c r="FYT15" s="20"/>
      <c r="FYU15" s="20"/>
      <c r="FYV15" s="20"/>
      <c r="FYW15" s="20"/>
      <c r="FYX15" s="20"/>
      <c r="FYY15" s="20"/>
      <c r="FYZ15" s="20"/>
      <c r="FZA15" s="20"/>
      <c r="FZB15" s="20"/>
      <c r="FZC15" s="20"/>
      <c r="FZD15" s="20"/>
      <c r="FZE15" s="20"/>
      <c r="FZF15" s="20"/>
      <c r="FZG15" s="20"/>
      <c r="FZH15" s="20"/>
      <c r="FZI15" s="20"/>
      <c r="FZJ15" s="20"/>
      <c r="FZK15" s="20"/>
      <c r="FZL15" s="20"/>
      <c r="FZM15" s="20"/>
      <c r="FZN15" s="20"/>
      <c r="FZO15" s="20"/>
      <c r="FZP15" s="20"/>
      <c r="FZQ15" s="20"/>
      <c r="FZR15" s="20"/>
      <c r="FZS15" s="20"/>
      <c r="FZT15" s="20"/>
      <c r="FZU15" s="20"/>
      <c r="FZV15" s="20"/>
      <c r="FZW15" s="20"/>
      <c r="FZX15" s="20"/>
      <c r="FZY15" s="20"/>
      <c r="FZZ15" s="20"/>
      <c r="GAA15" s="20"/>
      <c r="GAB15" s="20"/>
      <c r="GAC15" s="20"/>
      <c r="GAD15" s="20"/>
      <c r="GAE15" s="20"/>
      <c r="GAF15" s="20"/>
      <c r="GAG15" s="20"/>
      <c r="GAH15" s="20"/>
      <c r="GAI15" s="20"/>
      <c r="GAJ15" s="20"/>
      <c r="GAK15" s="20"/>
      <c r="GAL15" s="20"/>
      <c r="GAM15" s="20"/>
      <c r="GAN15" s="20"/>
      <c r="GAO15" s="20"/>
      <c r="GAP15" s="20"/>
      <c r="GAQ15" s="20"/>
      <c r="GAR15" s="20"/>
      <c r="GAS15" s="20"/>
      <c r="GAT15" s="20"/>
      <c r="GAU15" s="20"/>
      <c r="GAV15" s="20"/>
      <c r="GAW15" s="20"/>
      <c r="GAX15" s="20"/>
      <c r="GAY15" s="20"/>
      <c r="GAZ15" s="20"/>
      <c r="GBA15" s="20"/>
      <c r="GBB15" s="20"/>
      <c r="GBC15" s="20"/>
      <c r="GBD15" s="20"/>
      <c r="GBE15" s="20"/>
      <c r="GBF15" s="20"/>
      <c r="GBG15" s="20"/>
      <c r="GBH15" s="20"/>
      <c r="GBI15" s="20"/>
      <c r="GBJ15" s="20"/>
      <c r="GBK15" s="20"/>
      <c r="GBL15" s="20"/>
      <c r="GBM15" s="20"/>
      <c r="GBN15" s="20"/>
      <c r="GBO15" s="20"/>
      <c r="GBP15" s="20"/>
      <c r="GBQ15" s="20"/>
      <c r="GBR15" s="20"/>
      <c r="GBS15" s="20"/>
      <c r="GBT15" s="20"/>
      <c r="GBU15" s="20"/>
      <c r="GBV15" s="20"/>
      <c r="GBW15" s="20"/>
      <c r="GBX15" s="20"/>
      <c r="GBY15" s="20"/>
      <c r="GBZ15" s="20"/>
      <c r="GCA15" s="20"/>
      <c r="GCB15" s="20"/>
      <c r="GCC15" s="20"/>
      <c r="GCD15" s="20"/>
      <c r="GCE15" s="20"/>
      <c r="GCF15" s="20"/>
      <c r="GCG15" s="20"/>
      <c r="GCH15" s="20"/>
      <c r="GCI15" s="20"/>
      <c r="GCJ15" s="20"/>
      <c r="GCK15" s="20"/>
      <c r="GCL15" s="20"/>
      <c r="GCM15" s="20"/>
      <c r="GCN15" s="20"/>
      <c r="GCO15" s="20"/>
      <c r="GCP15" s="20"/>
      <c r="GCQ15" s="20"/>
      <c r="GCR15" s="20"/>
      <c r="GCS15" s="20"/>
      <c r="GCT15" s="20"/>
      <c r="GCU15" s="20"/>
      <c r="GCV15" s="20"/>
      <c r="GCW15" s="20"/>
      <c r="GCX15" s="20"/>
      <c r="GCY15" s="20"/>
      <c r="GCZ15" s="20"/>
      <c r="GDA15" s="20"/>
      <c r="GDB15" s="20"/>
      <c r="GDC15" s="20"/>
      <c r="GDD15" s="20"/>
      <c r="GDE15" s="20"/>
      <c r="GDF15" s="20"/>
      <c r="GDG15" s="20"/>
      <c r="GDH15" s="20"/>
      <c r="GDI15" s="20"/>
      <c r="GDJ15" s="20"/>
      <c r="GDK15" s="20"/>
      <c r="GDL15" s="20"/>
      <c r="GDM15" s="20"/>
      <c r="GDN15" s="20"/>
      <c r="GDO15" s="20"/>
      <c r="GDP15" s="20"/>
      <c r="GDQ15" s="20"/>
      <c r="GDR15" s="20"/>
      <c r="GDS15" s="20"/>
      <c r="GDT15" s="20"/>
      <c r="GDU15" s="20"/>
      <c r="GDV15" s="20"/>
      <c r="GDW15" s="20"/>
      <c r="GDX15" s="20"/>
      <c r="GDY15" s="20"/>
      <c r="GDZ15" s="20"/>
      <c r="GEA15" s="20"/>
      <c r="GEB15" s="20"/>
      <c r="GEC15" s="20"/>
      <c r="GED15" s="20"/>
      <c r="GEE15" s="20"/>
      <c r="GEF15" s="20"/>
      <c r="GEG15" s="20"/>
      <c r="GEH15" s="20"/>
      <c r="GEI15" s="20"/>
      <c r="GEJ15" s="20"/>
      <c r="GEK15" s="20"/>
      <c r="GEL15" s="20"/>
      <c r="GEM15" s="20"/>
      <c r="GEN15" s="20"/>
      <c r="GEO15" s="20"/>
      <c r="GEP15" s="20"/>
      <c r="GEQ15" s="20"/>
      <c r="GER15" s="20"/>
      <c r="GES15" s="20"/>
      <c r="GET15" s="20"/>
      <c r="GEU15" s="20"/>
      <c r="GEV15" s="20"/>
      <c r="GEW15" s="20"/>
      <c r="GEX15" s="20"/>
      <c r="GEY15" s="20"/>
      <c r="GEZ15" s="20"/>
      <c r="GFA15" s="20"/>
      <c r="GFB15" s="20"/>
      <c r="GFC15" s="20"/>
      <c r="GFD15" s="20"/>
      <c r="GFE15" s="20"/>
      <c r="GFF15" s="20"/>
      <c r="GFG15" s="20"/>
      <c r="GFH15" s="20"/>
      <c r="GFI15" s="20"/>
      <c r="GFJ15" s="20"/>
      <c r="GFK15" s="20"/>
      <c r="GFL15" s="20"/>
      <c r="GFM15" s="20"/>
      <c r="GFN15" s="20"/>
      <c r="GFO15" s="20"/>
      <c r="GFP15" s="20"/>
      <c r="GFQ15" s="20"/>
      <c r="GFR15" s="20"/>
      <c r="GFS15" s="20"/>
      <c r="GFT15" s="20"/>
      <c r="GFU15" s="20"/>
      <c r="GFV15" s="20"/>
      <c r="GFW15" s="20"/>
      <c r="GFX15" s="20"/>
      <c r="GFY15" s="20"/>
      <c r="GFZ15" s="20"/>
      <c r="GGA15" s="20"/>
      <c r="GGB15" s="20"/>
      <c r="GGC15" s="20"/>
      <c r="GGD15" s="20"/>
      <c r="GGE15" s="20"/>
      <c r="GGF15" s="20"/>
      <c r="GGG15" s="20"/>
      <c r="GGH15" s="20"/>
      <c r="GGI15" s="20"/>
      <c r="GGJ15" s="20"/>
      <c r="GGK15" s="20"/>
      <c r="GGL15" s="20"/>
      <c r="GGM15" s="20"/>
      <c r="GGN15" s="20"/>
      <c r="GGO15" s="20"/>
      <c r="GGP15" s="20"/>
      <c r="GGQ15" s="20"/>
      <c r="GGR15" s="20"/>
      <c r="GGS15" s="20"/>
      <c r="GGT15" s="20"/>
      <c r="GGU15" s="20"/>
      <c r="GGV15" s="20"/>
      <c r="GGW15" s="20"/>
      <c r="GGX15" s="20"/>
      <c r="GGY15" s="20"/>
      <c r="GGZ15" s="20"/>
      <c r="GHA15" s="20"/>
      <c r="GHB15" s="20"/>
      <c r="GHC15" s="20"/>
      <c r="GHD15" s="20"/>
      <c r="GHE15" s="20"/>
      <c r="GHF15" s="20"/>
      <c r="GHG15" s="20"/>
      <c r="GHH15" s="20"/>
      <c r="GHI15" s="20"/>
      <c r="GHJ15" s="20"/>
      <c r="GHK15" s="20"/>
      <c r="GHL15" s="20"/>
      <c r="GHM15" s="20"/>
      <c r="GHN15" s="20"/>
      <c r="GHO15" s="20"/>
      <c r="GHP15" s="20"/>
      <c r="GHQ15" s="20"/>
      <c r="GHR15" s="20"/>
      <c r="GHS15" s="20"/>
      <c r="GHT15" s="20"/>
      <c r="GHU15" s="20"/>
      <c r="GHV15" s="20"/>
      <c r="GHW15" s="20"/>
      <c r="GHX15" s="20"/>
      <c r="GHY15" s="20"/>
      <c r="GHZ15" s="20"/>
      <c r="GIA15" s="20"/>
      <c r="GIB15" s="20"/>
      <c r="GIC15" s="20"/>
      <c r="GID15" s="20"/>
      <c r="GIE15" s="20"/>
      <c r="GIF15" s="20"/>
      <c r="GIG15" s="20"/>
      <c r="GIH15" s="20"/>
      <c r="GII15" s="20"/>
      <c r="GIJ15" s="20"/>
      <c r="GIK15" s="20"/>
      <c r="GIL15" s="20"/>
      <c r="GIM15" s="20"/>
      <c r="GIN15" s="20"/>
      <c r="GIO15" s="20"/>
      <c r="GIP15" s="20"/>
      <c r="GIQ15" s="20"/>
      <c r="GIR15" s="20"/>
      <c r="GIS15" s="20"/>
      <c r="GIT15" s="20"/>
      <c r="GIU15" s="20"/>
      <c r="GIV15" s="20"/>
      <c r="GIW15" s="20"/>
      <c r="GIX15" s="20"/>
      <c r="GIY15" s="20"/>
      <c r="GIZ15" s="20"/>
      <c r="GJA15" s="20"/>
      <c r="GJB15" s="20"/>
      <c r="GJC15" s="20"/>
      <c r="GJD15" s="20"/>
      <c r="GJE15" s="20"/>
      <c r="GJF15" s="20"/>
      <c r="GJG15" s="20"/>
      <c r="GJH15" s="20"/>
      <c r="GJI15" s="20"/>
      <c r="GJJ15" s="20"/>
      <c r="GJK15" s="20"/>
      <c r="GJL15" s="20"/>
      <c r="GJM15" s="20"/>
      <c r="GJN15" s="20"/>
      <c r="GJO15" s="20"/>
      <c r="GJP15" s="20"/>
      <c r="GJQ15" s="20"/>
      <c r="GJR15" s="20"/>
      <c r="GJS15" s="20"/>
      <c r="GJT15" s="20"/>
      <c r="GJU15" s="20"/>
      <c r="GJV15" s="20"/>
      <c r="GJW15" s="20"/>
      <c r="GJX15" s="20"/>
      <c r="GJY15" s="20"/>
      <c r="GJZ15" s="20"/>
      <c r="GKA15" s="20"/>
      <c r="GKB15" s="20"/>
      <c r="GKC15" s="20"/>
      <c r="GKD15" s="20"/>
      <c r="GKE15" s="20"/>
      <c r="GKF15" s="20"/>
      <c r="GKG15" s="20"/>
      <c r="GKH15" s="20"/>
      <c r="GKI15" s="20"/>
      <c r="GKJ15" s="20"/>
      <c r="GKK15" s="20"/>
      <c r="GKL15" s="20"/>
      <c r="GKM15" s="20"/>
      <c r="GKN15" s="20"/>
      <c r="GKO15" s="20"/>
      <c r="GKP15" s="20"/>
      <c r="GKQ15" s="20"/>
      <c r="GKR15" s="20"/>
      <c r="GKS15" s="20"/>
      <c r="GKT15" s="20"/>
      <c r="GKU15" s="20"/>
      <c r="GKV15" s="20"/>
      <c r="GKW15" s="20"/>
      <c r="GKX15" s="20"/>
      <c r="GKY15" s="20"/>
      <c r="GKZ15" s="20"/>
      <c r="GLA15" s="20"/>
      <c r="GLB15" s="20"/>
      <c r="GLC15" s="20"/>
      <c r="GLD15" s="20"/>
      <c r="GLE15" s="20"/>
      <c r="GLF15" s="20"/>
      <c r="GLG15" s="20"/>
      <c r="GLH15" s="20"/>
      <c r="GLI15" s="20"/>
      <c r="GLJ15" s="20"/>
      <c r="GLK15" s="20"/>
      <c r="GLL15" s="20"/>
      <c r="GLM15" s="20"/>
      <c r="GLN15" s="20"/>
      <c r="GLO15" s="20"/>
      <c r="GLP15" s="20"/>
      <c r="GLQ15" s="20"/>
      <c r="GLR15" s="20"/>
      <c r="GLS15" s="20"/>
      <c r="GLT15" s="20"/>
      <c r="GLU15" s="20"/>
      <c r="GLV15" s="20"/>
      <c r="GLW15" s="20"/>
      <c r="GLX15" s="20"/>
      <c r="GLY15" s="20"/>
      <c r="GLZ15" s="20"/>
      <c r="GMA15" s="20"/>
      <c r="GMB15" s="20"/>
      <c r="GMC15" s="20"/>
      <c r="GMD15" s="20"/>
      <c r="GME15" s="20"/>
      <c r="GMF15" s="20"/>
      <c r="GMG15" s="20"/>
      <c r="GMH15" s="20"/>
      <c r="GMI15" s="20"/>
      <c r="GMJ15" s="20"/>
      <c r="GMK15" s="20"/>
      <c r="GML15" s="20"/>
      <c r="GMM15" s="20"/>
      <c r="GMN15" s="20"/>
      <c r="GMO15" s="20"/>
      <c r="GMP15" s="20"/>
      <c r="GMQ15" s="20"/>
      <c r="GMR15" s="20"/>
      <c r="GMS15" s="20"/>
      <c r="GMT15" s="20"/>
      <c r="GMU15" s="20"/>
      <c r="GMV15" s="20"/>
      <c r="GMW15" s="20"/>
      <c r="GMX15" s="20"/>
      <c r="GMY15" s="20"/>
      <c r="GMZ15" s="20"/>
      <c r="GNA15" s="20"/>
      <c r="GNB15" s="20"/>
      <c r="GNC15" s="20"/>
      <c r="GND15" s="20"/>
      <c r="GNE15" s="20"/>
      <c r="GNF15" s="20"/>
      <c r="GNG15" s="20"/>
      <c r="GNH15" s="20"/>
      <c r="GNI15" s="20"/>
      <c r="GNJ15" s="20"/>
      <c r="GNK15" s="20"/>
      <c r="GNL15" s="20"/>
      <c r="GNM15" s="20"/>
      <c r="GNN15" s="20"/>
      <c r="GNO15" s="20"/>
      <c r="GNP15" s="20"/>
      <c r="GNQ15" s="20"/>
      <c r="GNR15" s="20"/>
      <c r="GNS15" s="20"/>
      <c r="GNT15" s="20"/>
      <c r="GNU15" s="20"/>
      <c r="GNV15" s="20"/>
      <c r="GNW15" s="20"/>
      <c r="GNX15" s="20"/>
      <c r="GNY15" s="20"/>
      <c r="GNZ15" s="20"/>
      <c r="GOA15" s="20"/>
      <c r="GOB15" s="20"/>
      <c r="GOC15" s="20"/>
      <c r="GOD15" s="20"/>
      <c r="GOE15" s="20"/>
      <c r="GOF15" s="20"/>
      <c r="GOG15" s="20"/>
      <c r="GOH15" s="20"/>
      <c r="GOI15" s="20"/>
      <c r="GOJ15" s="20"/>
      <c r="GOK15" s="20"/>
      <c r="GOL15" s="20"/>
      <c r="GOM15" s="20"/>
      <c r="GON15" s="20"/>
      <c r="GOO15" s="20"/>
      <c r="GOP15" s="20"/>
      <c r="GOQ15" s="20"/>
      <c r="GOR15" s="20"/>
      <c r="GOS15" s="20"/>
      <c r="GOT15" s="20"/>
      <c r="GOU15" s="20"/>
      <c r="GOV15" s="20"/>
      <c r="GOW15" s="20"/>
      <c r="GOX15" s="20"/>
      <c r="GOY15" s="20"/>
      <c r="GOZ15" s="20"/>
      <c r="GPA15" s="20"/>
      <c r="GPB15" s="20"/>
      <c r="GPC15" s="20"/>
      <c r="GPD15" s="20"/>
      <c r="GPE15" s="20"/>
      <c r="GPF15" s="20"/>
      <c r="GPG15" s="20"/>
      <c r="GPH15" s="20"/>
      <c r="GPI15" s="20"/>
      <c r="GPJ15" s="20"/>
      <c r="GPK15" s="20"/>
      <c r="GPL15" s="20"/>
      <c r="GPM15" s="20"/>
      <c r="GPN15" s="20"/>
      <c r="GPO15" s="20"/>
      <c r="GPP15" s="20"/>
      <c r="GPQ15" s="20"/>
      <c r="GPR15" s="20"/>
      <c r="GPS15" s="20"/>
      <c r="GPT15" s="20"/>
      <c r="GPU15" s="20"/>
      <c r="GPV15" s="20"/>
      <c r="GPW15" s="20"/>
      <c r="GPX15" s="20"/>
      <c r="GPY15" s="20"/>
      <c r="GPZ15" s="20"/>
      <c r="GQA15" s="20"/>
      <c r="GQB15" s="20"/>
      <c r="GQC15" s="20"/>
      <c r="GQD15" s="20"/>
      <c r="GQE15" s="20"/>
      <c r="GQF15" s="20"/>
      <c r="GQG15" s="20"/>
      <c r="GQH15" s="20"/>
      <c r="GQI15" s="20"/>
      <c r="GQJ15" s="20"/>
      <c r="GQK15" s="20"/>
      <c r="GQL15" s="20"/>
      <c r="GQM15" s="20"/>
      <c r="GQN15" s="20"/>
      <c r="GQO15" s="20"/>
      <c r="GQP15" s="20"/>
      <c r="GQQ15" s="20"/>
      <c r="GQR15" s="20"/>
      <c r="GQS15" s="20"/>
      <c r="GQT15" s="20"/>
      <c r="GQU15" s="20"/>
      <c r="GQV15" s="20"/>
      <c r="GQW15" s="20"/>
      <c r="GQX15" s="20"/>
      <c r="GQY15" s="20"/>
      <c r="GQZ15" s="20"/>
      <c r="GRA15" s="20"/>
      <c r="GRB15" s="20"/>
      <c r="GRC15" s="20"/>
      <c r="GRD15" s="20"/>
      <c r="GRE15" s="20"/>
      <c r="GRF15" s="20"/>
      <c r="GRG15" s="20"/>
      <c r="GRH15" s="20"/>
      <c r="GRI15" s="20"/>
      <c r="GRJ15" s="20"/>
      <c r="GRK15" s="20"/>
      <c r="GRL15" s="20"/>
      <c r="GRM15" s="20"/>
      <c r="GRN15" s="20"/>
      <c r="GRO15" s="20"/>
      <c r="GRP15" s="20"/>
      <c r="GRQ15" s="20"/>
      <c r="GRR15" s="20"/>
      <c r="GRS15" s="20"/>
      <c r="GRT15" s="20"/>
      <c r="GRU15" s="20"/>
      <c r="GRV15" s="20"/>
      <c r="GRW15" s="20"/>
      <c r="GRX15" s="20"/>
      <c r="GRY15" s="20"/>
      <c r="GRZ15" s="20"/>
      <c r="GSA15" s="20"/>
      <c r="GSB15" s="20"/>
      <c r="GSC15" s="20"/>
      <c r="GSD15" s="20"/>
      <c r="GSE15" s="20"/>
      <c r="GSF15" s="20"/>
      <c r="GSG15" s="20"/>
      <c r="GSH15" s="20"/>
      <c r="GSI15" s="20"/>
      <c r="GSJ15" s="20"/>
      <c r="GSK15" s="20"/>
      <c r="GSL15" s="20"/>
      <c r="GSM15" s="20"/>
      <c r="GSN15" s="20"/>
      <c r="GSO15" s="20"/>
      <c r="GSP15" s="20"/>
      <c r="GSQ15" s="20"/>
      <c r="GSR15" s="20"/>
      <c r="GSS15" s="20"/>
      <c r="GST15" s="20"/>
      <c r="GSU15" s="20"/>
      <c r="GSV15" s="20"/>
      <c r="GSW15" s="20"/>
      <c r="GSX15" s="20"/>
      <c r="GSY15" s="20"/>
      <c r="GSZ15" s="20"/>
      <c r="GTA15" s="20"/>
      <c r="GTB15" s="20"/>
      <c r="GTC15" s="20"/>
      <c r="GTD15" s="20"/>
      <c r="GTE15" s="20"/>
      <c r="GTF15" s="20"/>
      <c r="GTG15" s="20"/>
      <c r="GTH15" s="20"/>
      <c r="GTI15" s="20"/>
      <c r="GTJ15" s="20"/>
      <c r="GTK15" s="20"/>
      <c r="GTL15" s="20"/>
      <c r="GTM15" s="20"/>
      <c r="GTN15" s="20"/>
      <c r="GTO15" s="20"/>
      <c r="GTP15" s="20"/>
      <c r="GTQ15" s="20"/>
      <c r="GTR15" s="20"/>
      <c r="GTS15" s="20"/>
      <c r="GTT15" s="20"/>
      <c r="GTU15" s="20"/>
      <c r="GTV15" s="20"/>
      <c r="GTW15" s="20"/>
      <c r="GTX15" s="20"/>
      <c r="GTY15" s="20"/>
      <c r="GTZ15" s="20"/>
      <c r="GUA15" s="20"/>
      <c r="GUB15" s="20"/>
      <c r="GUC15" s="20"/>
      <c r="GUD15" s="20"/>
      <c r="GUE15" s="20"/>
      <c r="GUF15" s="20"/>
      <c r="GUG15" s="20"/>
      <c r="GUH15" s="20"/>
      <c r="GUI15" s="20"/>
      <c r="GUJ15" s="20"/>
      <c r="GUK15" s="20"/>
      <c r="GUL15" s="20"/>
      <c r="GUM15" s="20"/>
      <c r="GUN15" s="20"/>
      <c r="GUO15" s="20"/>
      <c r="GUP15" s="20"/>
      <c r="GUQ15" s="20"/>
      <c r="GUR15" s="20"/>
      <c r="GUS15" s="20"/>
      <c r="GUT15" s="20"/>
      <c r="GUU15" s="20"/>
      <c r="GUV15" s="20"/>
      <c r="GUW15" s="20"/>
      <c r="GUX15" s="20"/>
      <c r="GUY15" s="20"/>
      <c r="GUZ15" s="20"/>
      <c r="GVA15" s="20"/>
      <c r="GVB15" s="20"/>
      <c r="GVC15" s="20"/>
      <c r="GVD15" s="20"/>
      <c r="GVE15" s="20"/>
      <c r="GVF15" s="20"/>
      <c r="GVG15" s="20"/>
      <c r="GVH15" s="20"/>
      <c r="GVI15" s="20"/>
      <c r="GVJ15" s="20"/>
      <c r="GVK15" s="20"/>
      <c r="GVL15" s="20"/>
      <c r="GVM15" s="20"/>
      <c r="GVN15" s="20"/>
      <c r="GVO15" s="20"/>
      <c r="GVP15" s="20"/>
      <c r="GVQ15" s="20"/>
      <c r="GVR15" s="20"/>
      <c r="GVS15" s="20"/>
      <c r="GVT15" s="20"/>
      <c r="GVU15" s="20"/>
      <c r="GVV15" s="20"/>
      <c r="GVW15" s="20"/>
      <c r="GVX15" s="20"/>
      <c r="GVY15" s="20"/>
      <c r="GVZ15" s="20"/>
      <c r="GWA15" s="20"/>
      <c r="GWB15" s="20"/>
      <c r="GWC15" s="20"/>
      <c r="GWD15" s="20"/>
      <c r="GWE15" s="20"/>
      <c r="GWF15" s="20"/>
      <c r="GWG15" s="20"/>
      <c r="GWH15" s="20"/>
      <c r="GWI15" s="20"/>
      <c r="GWJ15" s="20"/>
      <c r="GWK15" s="20"/>
      <c r="GWL15" s="20"/>
      <c r="GWM15" s="20"/>
      <c r="GWN15" s="20"/>
      <c r="GWO15" s="20"/>
      <c r="GWP15" s="20"/>
      <c r="GWQ15" s="20"/>
      <c r="GWR15" s="20"/>
      <c r="GWS15" s="20"/>
      <c r="GWT15" s="20"/>
      <c r="GWU15" s="20"/>
      <c r="GWV15" s="20"/>
      <c r="GWW15" s="20"/>
      <c r="GWX15" s="20"/>
      <c r="GWY15" s="20"/>
      <c r="GWZ15" s="20"/>
      <c r="GXA15" s="20"/>
      <c r="GXB15" s="20"/>
      <c r="GXC15" s="20"/>
      <c r="GXD15" s="20"/>
      <c r="GXE15" s="20"/>
      <c r="GXF15" s="20"/>
      <c r="GXG15" s="20"/>
      <c r="GXH15" s="20"/>
      <c r="GXI15" s="20"/>
      <c r="GXJ15" s="20"/>
      <c r="GXK15" s="20"/>
      <c r="GXL15" s="20"/>
      <c r="GXM15" s="20"/>
      <c r="GXN15" s="20"/>
      <c r="GXO15" s="20"/>
      <c r="GXP15" s="20"/>
      <c r="GXQ15" s="20"/>
      <c r="GXR15" s="20"/>
      <c r="GXS15" s="20"/>
      <c r="GXT15" s="20"/>
      <c r="GXU15" s="20"/>
      <c r="GXV15" s="20"/>
      <c r="GXW15" s="20"/>
      <c r="GXX15" s="20"/>
      <c r="GXY15" s="20"/>
      <c r="GXZ15" s="20"/>
      <c r="GYA15" s="20"/>
      <c r="GYB15" s="20"/>
      <c r="GYC15" s="20"/>
      <c r="GYD15" s="20"/>
      <c r="GYE15" s="20"/>
      <c r="GYF15" s="20"/>
      <c r="GYG15" s="20"/>
      <c r="GYH15" s="20"/>
      <c r="GYI15" s="20"/>
      <c r="GYJ15" s="20"/>
      <c r="GYK15" s="20"/>
      <c r="GYL15" s="20"/>
      <c r="GYM15" s="20"/>
      <c r="GYN15" s="20"/>
      <c r="GYO15" s="20"/>
      <c r="GYP15" s="20"/>
      <c r="GYQ15" s="20"/>
      <c r="GYR15" s="20"/>
      <c r="GYS15" s="20"/>
      <c r="GYT15" s="20"/>
      <c r="GYU15" s="20"/>
      <c r="GYV15" s="20"/>
      <c r="GYW15" s="20"/>
      <c r="GYX15" s="20"/>
      <c r="GYY15" s="20"/>
      <c r="GYZ15" s="20"/>
      <c r="GZA15" s="20"/>
      <c r="GZB15" s="20"/>
      <c r="GZC15" s="20"/>
      <c r="GZD15" s="20"/>
      <c r="GZE15" s="20"/>
      <c r="GZF15" s="20"/>
      <c r="GZG15" s="20"/>
      <c r="GZH15" s="20"/>
      <c r="GZI15" s="20"/>
      <c r="GZJ15" s="20"/>
      <c r="GZK15" s="20"/>
      <c r="GZL15" s="20"/>
      <c r="GZM15" s="20"/>
      <c r="GZN15" s="20"/>
      <c r="GZO15" s="20"/>
      <c r="GZP15" s="20"/>
      <c r="GZQ15" s="20"/>
      <c r="GZR15" s="20"/>
      <c r="GZS15" s="20"/>
      <c r="GZT15" s="20"/>
      <c r="GZU15" s="20"/>
      <c r="GZV15" s="20"/>
      <c r="GZW15" s="20"/>
      <c r="GZX15" s="20"/>
      <c r="GZY15" s="20"/>
      <c r="GZZ15" s="20"/>
      <c r="HAA15" s="20"/>
      <c r="HAB15" s="20"/>
      <c r="HAC15" s="20"/>
      <c r="HAD15" s="20"/>
      <c r="HAE15" s="20"/>
      <c r="HAF15" s="20"/>
      <c r="HAG15" s="20"/>
      <c r="HAH15" s="20"/>
      <c r="HAI15" s="20"/>
      <c r="HAJ15" s="20"/>
      <c r="HAK15" s="20"/>
      <c r="HAL15" s="20"/>
      <c r="HAM15" s="20"/>
      <c r="HAN15" s="20"/>
      <c r="HAO15" s="20"/>
      <c r="HAP15" s="20"/>
      <c r="HAQ15" s="20"/>
      <c r="HAR15" s="20"/>
      <c r="HAS15" s="20"/>
      <c r="HAT15" s="20"/>
      <c r="HAU15" s="20"/>
      <c r="HAV15" s="20"/>
      <c r="HAW15" s="20"/>
      <c r="HAX15" s="20"/>
      <c r="HAY15" s="20"/>
      <c r="HAZ15" s="20"/>
      <c r="HBA15" s="20"/>
      <c r="HBB15" s="20"/>
      <c r="HBC15" s="20"/>
      <c r="HBD15" s="20"/>
      <c r="HBE15" s="20"/>
      <c r="HBF15" s="20"/>
      <c r="HBG15" s="20"/>
      <c r="HBH15" s="20"/>
      <c r="HBI15" s="20"/>
      <c r="HBJ15" s="20"/>
      <c r="HBK15" s="20"/>
      <c r="HBL15" s="20"/>
      <c r="HBM15" s="20"/>
      <c r="HBN15" s="20"/>
      <c r="HBO15" s="20"/>
      <c r="HBP15" s="20"/>
      <c r="HBQ15" s="20"/>
      <c r="HBR15" s="20"/>
      <c r="HBS15" s="20"/>
      <c r="HBT15" s="20"/>
      <c r="HBU15" s="20"/>
      <c r="HBV15" s="20"/>
      <c r="HBW15" s="20"/>
      <c r="HBX15" s="20"/>
      <c r="HBY15" s="20"/>
      <c r="HBZ15" s="20"/>
      <c r="HCA15" s="20"/>
      <c r="HCB15" s="20"/>
      <c r="HCC15" s="20"/>
      <c r="HCD15" s="20"/>
      <c r="HCE15" s="20"/>
      <c r="HCF15" s="20"/>
      <c r="HCG15" s="20"/>
      <c r="HCH15" s="20"/>
      <c r="HCI15" s="20"/>
      <c r="HCJ15" s="20"/>
      <c r="HCK15" s="20"/>
      <c r="HCL15" s="20"/>
      <c r="HCM15" s="20"/>
      <c r="HCN15" s="20"/>
      <c r="HCO15" s="20"/>
      <c r="HCP15" s="20"/>
      <c r="HCQ15" s="20"/>
      <c r="HCR15" s="20"/>
      <c r="HCS15" s="20"/>
      <c r="HCT15" s="20"/>
      <c r="HCU15" s="20"/>
      <c r="HCV15" s="20"/>
      <c r="HCW15" s="20"/>
      <c r="HCX15" s="20"/>
      <c r="HCY15" s="20"/>
      <c r="HCZ15" s="20"/>
      <c r="HDA15" s="20"/>
      <c r="HDB15" s="20"/>
      <c r="HDC15" s="20"/>
      <c r="HDD15" s="20"/>
      <c r="HDE15" s="20"/>
      <c r="HDF15" s="20"/>
      <c r="HDG15" s="20"/>
      <c r="HDH15" s="20"/>
      <c r="HDI15" s="20"/>
      <c r="HDJ15" s="20"/>
      <c r="HDK15" s="20"/>
      <c r="HDL15" s="20"/>
      <c r="HDM15" s="20"/>
      <c r="HDN15" s="20"/>
      <c r="HDO15" s="20"/>
      <c r="HDP15" s="20"/>
      <c r="HDQ15" s="20"/>
      <c r="HDR15" s="20"/>
      <c r="HDS15" s="20"/>
      <c r="HDT15" s="20"/>
      <c r="HDU15" s="20"/>
      <c r="HDV15" s="20"/>
      <c r="HDW15" s="20"/>
      <c r="HDX15" s="20"/>
      <c r="HDY15" s="20"/>
      <c r="HDZ15" s="20"/>
      <c r="HEA15" s="20"/>
      <c r="HEB15" s="20"/>
      <c r="HEC15" s="20"/>
      <c r="HED15" s="20"/>
      <c r="HEE15" s="20"/>
      <c r="HEF15" s="20"/>
      <c r="HEG15" s="20"/>
      <c r="HEH15" s="20"/>
      <c r="HEI15" s="20"/>
      <c r="HEJ15" s="20"/>
      <c r="HEK15" s="20"/>
      <c r="HEL15" s="20"/>
      <c r="HEM15" s="20"/>
      <c r="HEN15" s="20"/>
      <c r="HEO15" s="20"/>
      <c r="HEP15" s="20"/>
      <c r="HEQ15" s="20"/>
      <c r="HER15" s="20"/>
      <c r="HES15" s="20"/>
      <c r="HET15" s="20"/>
      <c r="HEU15" s="20"/>
      <c r="HEV15" s="20"/>
      <c r="HEW15" s="20"/>
      <c r="HEX15" s="20"/>
      <c r="HEY15" s="20"/>
      <c r="HEZ15" s="20"/>
      <c r="HFA15" s="20"/>
      <c r="HFB15" s="20"/>
      <c r="HFC15" s="20"/>
      <c r="HFD15" s="20"/>
      <c r="HFE15" s="20"/>
      <c r="HFF15" s="20"/>
      <c r="HFG15" s="20"/>
      <c r="HFH15" s="20"/>
      <c r="HFI15" s="20"/>
      <c r="HFJ15" s="20"/>
      <c r="HFK15" s="20"/>
      <c r="HFL15" s="20"/>
      <c r="HFM15" s="20"/>
      <c r="HFN15" s="20"/>
      <c r="HFO15" s="20"/>
      <c r="HFP15" s="20"/>
      <c r="HFQ15" s="20"/>
      <c r="HFR15" s="20"/>
      <c r="HFS15" s="20"/>
      <c r="HFT15" s="20"/>
      <c r="HFU15" s="20"/>
      <c r="HFV15" s="20"/>
      <c r="HFW15" s="20"/>
      <c r="HFX15" s="20"/>
      <c r="HFY15" s="20"/>
      <c r="HFZ15" s="20"/>
      <c r="HGA15" s="20"/>
      <c r="HGB15" s="20"/>
      <c r="HGC15" s="20"/>
      <c r="HGD15" s="20"/>
      <c r="HGE15" s="20"/>
      <c r="HGF15" s="20"/>
      <c r="HGG15" s="20"/>
      <c r="HGH15" s="20"/>
      <c r="HGI15" s="20"/>
      <c r="HGJ15" s="20"/>
      <c r="HGK15" s="20"/>
      <c r="HGL15" s="20"/>
      <c r="HGM15" s="20"/>
      <c r="HGN15" s="20"/>
      <c r="HGO15" s="20"/>
      <c r="HGP15" s="20"/>
      <c r="HGQ15" s="20"/>
      <c r="HGR15" s="20"/>
      <c r="HGS15" s="20"/>
      <c r="HGT15" s="20"/>
      <c r="HGU15" s="20"/>
      <c r="HGV15" s="20"/>
      <c r="HGW15" s="20"/>
      <c r="HGX15" s="20"/>
      <c r="HGY15" s="20"/>
      <c r="HGZ15" s="20"/>
      <c r="HHA15" s="20"/>
      <c r="HHB15" s="20"/>
      <c r="HHC15" s="20"/>
      <c r="HHD15" s="20"/>
      <c r="HHE15" s="20"/>
      <c r="HHF15" s="20"/>
      <c r="HHG15" s="20"/>
      <c r="HHH15" s="20"/>
      <c r="HHI15" s="20"/>
      <c r="HHJ15" s="20"/>
      <c r="HHK15" s="20"/>
      <c r="HHL15" s="20"/>
      <c r="HHM15" s="20"/>
      <c r="HHN15" s="20"/>
      <c r="HHO15" s="20"/>
      <c r="HHP15" s="20"/>
      <c r="HHQ15" s="20"/>
      <c r="HHR15" s="20"/>
      <c r="HHS15" s="20"/>
      <c r="HHT15" s="20"/>
      <c r="HHU15" s="20"/>
      <c r="HHV15" s="20"/>
      <c r="HHW15" s="20"/>
      <c r="HHX15" s="20"/>
      <c r="HHY15" s="20"/>
      <c r="HHZ15" s="20"/>
      <c r="HIA15" s="20"/>
      <c r="HIB15" s="20"/>
      <c r="HIC15" s="20"/>
      <c r="HID15" s="20"/>
      <c r="HIE15" s="20"/>
      <c r="HIF15" s="20"/>
      <c r="HIG15" s="20"/>
      <c r="HIH15" s="20"/>
      <c r="HII15" s="20"/>
      <c r="HIJ15" s="20"/>
      <c r="HIK15" s="20"/>
      <c r="HIL15" s="20"/>
      <c r="HIM15" s="20"/>
      <c r="HIN15" s="20"/>
      <c r="HIO15" s="20"/>
      <c r="HIP15" s="20"/>
      <c r="HIQ15" s="20"/>
      <c r="HIR15" s="20"/>
      <c r="HIS15" s="20"/>
      <c r="HIT15" s="20"/>
      <c r="HIU15" s="20"/>
      <c r="HIV15" s="20"/>
      <c r="HIW15" s="20"/>
      <c r="HIX15" s="20"/>
      <c r="HIY15" s="20"/>
      <c r="HIZ15" s="20"/>
      <c r="HJA15" s="20"/>
      <c r="HJB15" s="20"/>
      <c r="HJC15" s="20"/>
      <c r="HJD15" s="20"/>
      <c r="HJE15" s="20"/>
      <c r="HJF15" s="20"/>
      <c r="HJG15" s="20"/>
      <c r="HJH15" s="20"/>
      <c r="HJI15" s="20"/>
      <c r="HJJ15" s="20"/>
      <c r="HJK15" s="20"/>
      <c r="HJL15" s="20"/>
      <c r="HJM15" s="20"/>
      <c r="HJN15" s="20"/>
      <c r="HJO15" s="20"/>
      <c r="HJP15" s="20"/>
      <c r="HJQ15" s="20"/>
      <c r="HJR15" s="20"/>
      <c r="HJS15" s="20"/>
      <c r="HJT15" s="20"/>
      <c r="HJU15" s="20"/>
      <c r="HJV15" s="20"/>
      <c r="HJW15" s="20"/>
      <c r="HJX15" s="20"/>
      <c r="HJY15" s="20"/>
      <c r="HJZ15" s="20"/>
      <c r="HKA15" s="20"/>
      <c r="HKB15" s="20"/>
      <c r="HKC15" s="20"/>
      <c r="HKD15" s="20"/>
      <c r="HKE15" s="20"/>
      <c r="HKF15" s="20"/>
      <c r="HKG15" s="20"/>
      <c r="HKH15" s="20"/>
      <c r="HKI15" s="20"/>
      <c r="HKJ15" s="20"/>
      <c r="HKK15" s="20"/>
      <c r="HKL15" s="20"/>
      <c r="HKM15" s="20"/>
      <c r="HKN15" s="20"/>
      <c r="HKO15" s="20"/>
      <c r="HKP15" s="20"/>
      <c r="HKQ15" s="20"/>
      <c r="HKR15" s="20"/>
      <c r="HKS15" s="20"/>
      <c r="HKT15" s="20"/>
      <c r="HKU15" s="20"/>
      <c r="HKV15" s="20"/>
      <c r="HKW15" s="20"/>
      <c r="HKX15" s="20"/>
      <c r="HKY15" s="20"/>
      <c r="HKZ15" s="20"/>
      <c r="HLA15" s="20"/>
      <c r="HLB15" s="20"/>
      <c r="HLC15" s="20"/>
      <c r="HLD15" s="20"/>
      <c r="HLE15" s="20"/>
      <c r="HLF15" s="20"/>
      <c r="HLG15" s="20"/>
      <c r="HLH15" s="20"/>
      <c r="HLI15" s="20"/>
      <c r="HLJ15" s="20"/>
      <c r="HLK15" s="20"/>
      <c r="HLL15" s="20"/>
      <c r="HLM15" s="20"/>
      <c r="HLN15" s="20"/>
      <c r="HLO15" s="20"/>
      <c r="HLP15" s="20"/>
      <c r="HLQ15" s="20"/>
      <c r="HLR15" s="20"/>
      <c r="HLS15" s="20"/>
      <c r="HLT15" s="20"/>
      <c r="HLU15" s="20"/>
      <c r="HLV15" s="20"/>
      <c r="HLW15" s="20"/>
      <c r="HLX15" s="20"/>
      <c r="HLY15" s="20"/>
      <c r="HLZ15" s="20"/>
      <c r="HMA15" s="20"/>
      <c r="HMB15" s="20"/>
      <c r="HMC15" s="20"/>
      <c r="HMD15" s="20"/>
      <c r="HME15" s="20"/>
      <c r="HMF15" s="20"/>
      <c r="HMG15" s="20"/>
      <c r="HMH15" s="20"/>
      <c r="HMI15" s="20"/>
      <c r="HMJ15" s="20"/>
      <c r="HMK15" s="20"/>
      <c r="HML15" s="20"/>
      <c r="HMM15" s="20"/>
      <c r="HMN15" s="20"/>
      <c r="HMO15" s="20"/>
      <c r="HMP15" s="20"/>
      <c r="HMQ15" s="20"/>
      <c r="HMR15" s="20"/>
      <c r="HMS15" s="20"/>
      <c r="HMT15" s="20"/>
      <c r="HMU15" s="20"/>
      <c r="HMV15" s="20"/>
      <c r="HMW15" s="20"/>
      <c r="HMX15" s="20"/>
      <c r="HMY15" s="20"/>
      <c r="HMZ15" s="20"/>
      <c r="HNA15" s="20"/>
      <c r="HNB15" s="20"/>
      <c r="HNC15" s="20"/>
      <c r="HND15" s="20"/>
      <c r="HNE15" s="20"/>
      <c r="HNF15" s="20"/>
      <c r="HNG15" s="20"/>
      <c r="HNH15" s="20"/>
      <c r="HNI15" s="20"/>
      <c r="HNJ15" s="20"/>
      <c r="HNK15" s="20"/>
      <c r="HNL15" s="20"/>
      <c r="HNM15" s="20"/>
      <c r="HNN15" s="20"/>
      <c r="HNO15" s="20"/>
      <c r="HNP15" s="20"/>
      <c r="HNQ15" s="20"/>
      <c r="HNR15" s="20"/>
      <c r="HNS15" s="20"/>
      <c r="HNT15" s="20"/>
      <c r="HNU15" s="20"/>
      <c r="HNV15" s="20"/>
      <c r="HNW15" s="20"/>
      <c r="HNX15" s="20"/>
      <c r="HNY15" s="20"/>
      <c r="HNZ15" s="20"/>
      <c r="HOA15" s="20"/>
      <c r="HOB15" s="20"/>
      <c r="HOC15" s="20"/>
      <c r="HOD15" s="20"/>
      <c r="HOE15" s="20"/>
      <c r="HOF15" s="20"/>
      <c r="HOG15" s="20"/>
      <c r="HOH15" s="20"/>
      <c r="HOI15" s="20"/>
      <c r="HOJ15" s="20"/>
      <c r="HOK15" s="20"/>
      <c r="HOL15" s="20"/>
      <c r="HOM15" s="20"/>
      <c r="HON15" s="20"/>
      <c r="HOO15" s="20"/>
      <c r="HOP15" s="20"/>
      <c r="HOQ15" s="20"/>
      <c r="HOR15" s="20"/>
      <c r="HOS15" s="20"/>
      <c r="HOT15" s="20"/>
      <c r="HOU15" s="20"/>
      <c r="HOV15" s="20"/>
      <c r="HOW15" s="20"/>
      <c r="HOX15" s="20"/>
      <c r="HOY15" s="20"/>
      <c r="HOZ15" s="20"/>
      <c r="HPA15" s="20"/>
      <c r="HPB15" s="20"/>
      <c r="HPC15" s="20"/>
      <c r="HPD15" s="20"/>
      <c r="HPE15" s="20"/>
      <c r="HPF15" s="20"/>
      <c r="HPG15" s="20"/>
      <c r="HPH15" s="20"/>
      <c r="HPI15" s="20"/>
      <c r="HPJ15" s="20"/>
      <c r="HPK15" s="20"/>
      <c r="HPL15" s="20"/>
      <c r="HPM15" s="20"/>
      <c r="HPN15" s="20"/>
      <c r="HPO15" s="20"/>
      <c r="HPP15" s="20"/>
      <c r="HPQ15" s="20"/>
      <c r="HPR15" s="20"/>
      <c r="HPS15" s="20"/>
      <c r="HPT15" s="20"/>
      <c r="HPU15" s="20"/>
      <c r="HPV15" s="20"/>
      <c r="HPW15" s="20"/>
      <c r="HPX15" s="20"/>
      <c r="HPY15" s="20"/>
      <c r="HPZ15" s="20"/>
      <c r="HQA15" s="20"/>
      <c r="HQB15" s="20"/>
      <c r="HQC15" s="20"/>
      <c r="HQD15" s="20"/>
      <c r="HQE15" s="20"/>
      <c r="HQF15" s="20"/>
      <c r="HQG15" s="20"/>
      <c r="HQH15" s="20"/>
      <c r="HQI15" s="20"/>
      <c r="HQJ15" s="20"/>
      <c r="HQK15" s="20"/>
      <c r="HQL15" s="20"/>
      <c r="HQM15" s="20"/>
      <c r="HQN15" s="20"/>
      <c r="HQO15" s="20"/>
      <c r="HQP15" s="20"/>
      <c r="HQQ15" s="20"/>
      <c r="HQR15" s="20"/>
      <c r="HQS15" s="20"/>
      <c r="HQT15" s="20"/>
      <c r="HQU15" s="20"/>
      <c r="HQV15" s="20"/>
      <c r="HQW15" s="20"/>
      <c r="HQX15" s="20"/>
      <c r="HQY15" s="20"/>
      <c r="HQZ15" s="20"/>
      <c r="HRA15" s="20"/>
      <c r="HRB15" s="20"/>
      <c r="HRC15" s="20"/>
      <c r="HRD15" s="20"/>
      <c r="HRE15" s="20"/>
      <c r="HRF15" s="20"/>
      <c r="HRG15" s="20"/>
      <c r="HRH15" s="20"/>
      <c r="HRI15" s="20"/>
      <c r="HRJ15" s="20"/>
      <c r="HRK15" s="20"/>
      <c r="HRL15" s="20"/>
      <c r="HRM15" s="20"/>
      <c r="HRN15" s="20"/>
      <c r="HRO15" s="20"/>
      <c r="HRP15" s="20"/>
      <c r="HRQ15" s="20"/>
      <c r="HRR15" s="20"/>
      <c r="HRS15" s="20"/>
      <c r="HRT15" s="20"/>
      <c r="HRU15" s="20"/>
      <c r="HRV15" s="20"/>
      <c r="HRW15" s="20"/>
      <c r="HRX15" s="20"/>
      <c r="HRY15" s="20"/>
      <c r="HRZ15" s="20"/>
      <c r="HSA15" s="20"/>
      <c r="HSB15" s="20"/>
      <c r="HSC15" s="20"/>
      <c r="HSD15" s="20"/>
      <c r="HSE15" s="20"/>
      <c r="HSF15" s="20"/>
      <c r="HSG15" s="20"/>
      <c r="HSH15" s="20"/>
      <c r="HSI15" s="20"/>
      <c r="HSJ15" s="20"/>
      <c r="HSK15" s="20"/>
      <c r="HSL15" s="20"/>
      <c r="HSM15" s="20"/>
      <c r="HSN15" s="20"/>
      <c r="HSO15" s="20"/>
      <c r="HSP15" s="20"/>
      <c r="HSQ15" s="20"/>
      <c r="HSR15" s="20"/>
      <c r="HSS15" s="20"/>
      <c r="HST15" s="20"/>
      <c r="HSU15" s="20"/>
      <c r="HSV15" s="20"/>
      <c r="HSW15" s="20"/>
      <c r="HSX15" s="20"/>
      <c r="HSY15" s="20"/>
      <c r="HSZ15" s="20"/>
      <c r="HTA15" s="20"/>
      <c r="HTB15" s="20"/>
      <c r="HTC15" s="20"/>
      <c r="HTD15" s="20"/>
      <c r="HTE15" s="20"/>
      <c r="HTF15" s="20"/>
      <c r="HTG15" s="20"/>
      <c r="HTH15" s="20"/>
      <c r="HTI15" s="20"/>
      <c r="HTJ15" s="20"/>
      <c r="HTK15" s="20"/>
      <c r="HTL15" s="20"/>
      <c r="HTM15" s="20"/>
      <c r="HTN15" s="20"/>
      <c r="HTO15" s="20"/>
      <c r="HTP15" s="20"/>
      <c r="HTQ15" s="20"/>
      <c r="HTR15" s="20"/>
      <c r="HTS15" s="20"/>
      <c r="HTT15" s="20"/>
      <c r="HTU15" s="20"/>
      <c r="HTV15" s="20"/>
      <c r="HTW15" s="20"/>
      <c r="HTX15" s="20"/>
      <c r="HTY15" s="20"/>
      <c r="HTZ15" s="20"/>
      <c r="HUA15" s="20"/>
      <c r="HUB15" s="20"/>
      <c r="HUC15" s="20"/>
      <c r="HUD15" s="20"/>
      <c r="HUE15" s="20"/>
      <c r="HUF15" s="20"/>
      <c r="HUG15" s="20"/>
      <c r="HUH15" s="20"/>
      <c r="HUI15" s="20"/>
      <c r="HUJ15" s="20"/>
      <c r="HUK15" s="20"/>
      <c r="HUL15" s="20"/>
      <c r="HUM15" s="20"/>
      <c r="HUN15" s="20"/>
      <c r="HUO15" s="20"/>
      <c r="HUP15" s="20"/>
      <c r="HUQ15" s="20"/>
      <c r="HUR15" s="20"/>
      <c r="HUS15" s="20"/>
      <c r="HUT15" s="20"/>
      <c r="HUU15" s="20"/>
      <c r="HUV15" s="20"/>
      <c r="HUW15" s="20"/>
      <c r="HUX15" s="20"/>
      <c r="HUY15" s="20"/>
      <c r="HUZ15" s="20"/>
      <c r="HVA15" s="20"/>
      <c r="HVB15" s="20"/>
      <c r="HVC15" s="20"/>
      <c r="HVD15" s="20"/>
      <c r="HVE15" s="20"/>
      <c r="HVF15" s="20"/>
      <c r="HVG15" s="20"/>
      <c r="HVH15" s="20"/>
      <c r="HVI15" s="20"/>
      <c r="HVJ15" s="20"/>
      <c r="HVK15" s="20"/>
      <c r="HVL15" s="20"/>
      <c r="HVM15" s="20"/>
      <c r="HVN15" s="20"/>
      <c r="HVO15" s="20"/>
      <c r="HVP15" s="20"/>
      <c r="HVQ15" s="20"/>
      <c r="HVR15" s="20"/>
      <c r="HVS15" s="20"/>
      <c r="HVT15" s="20"/>
      <c r="HVU15" s="20"/>
      <c r="HVV15" s="20"/>
      <c r="HVW15" s="20"/>
      <c r="HVX15" s="20"/>
      <c r="HVY15" s="20"/>
      <c r="HVZ15" s="20"/>
      <c r="HWA15" s="20"/>
      <c r="HWB15" s="20"/>
      <c r="HWC15" s="20"/>
      <c r="HWD15" s="20"/>
      <c r="HWE15" s="20"/>
      <c r="HWF15" s="20"/>
      <c r="HWG15" s="20"/>
      <c r="HWH15" s="20"/>
      <c r="HWI15" s="20"/>
      <c r="HWJ15" s="20"/>
      <c r="HWK15" s="20"/>
      <c r="HWL15" s="20"/>
      <c r="HWM15" s="20"/>
      <c r="HWN15" s="20"/>
      <c r="HWO15" s="20"/>
      <c r="HWP15" s="20"/>
      <c r="HWQ15" s="20"/>
      <c r="HWR15" s="20"/>
      <c r="HWS15" s="20"/>
      <c r="HWT15" s="20"/>
      <c r="HWU15" s="20"/>
      <c r="HWV15" s="20"/>
      <c r="HWW15" s="20"/>
      <c r="HWX15" s="20"/>
      <c r="HWY15" s="20"/>
      <c r="HWZ15" s="20"/>
      <c r="HXA15" s="20"/>
      <c r="HXB15" s="20"/>
      <c r="HXC15" s="20"/>
      <c r="HXD15" s="20"/>
      <c r="HXE15" s="20"/>
      <c r="HXF15" s="20"/>
      <c r="HXG15" s="20"/>
      <c r="HXH15" s="20"/>
      <c r="HXI15" s="20"/>
      <c r="HXJ15" s="20"/>
      <c r="HXK15" s="20"/>
      <c r="HXL15" s="20"/>
      <c r="HXM15" s="20"/>
      <c r="HXN15" s="20"/>
      <c r="HXO15" s="20"/>
      <c r="HXP15" s="20"/>
      <c r="HXQ15" s="20"/>
      <c r="HXR15" s="20"/>
      <c r="HXS15" s="20"/>
      <c r="HXT15" s="20"/>
      <c r="HXU15" s="20"/>
      <c r="HXV15" s="20"/>
      <c r="HXW15" s="20"/>
      <c r="HXX15" s="20"/>
      <c r="HXY15" s="20"/>
      <c r="HXZ15" s="20"/>
      <c r="HYA15" s="20"/>
      <c r="HYB15" s="20"/>
      <c r="HYC15" s="20"/>
      <c r="HYD15" s="20"/>
      <c r="HYE15" s="20"/>
      <c r="HYF15" s="20"/>
      <c r="HYG15" s="20"/>
      <c r="HYH15" s="20"/>
      <c r="HYI15" s="20"/>
      <c r="HYJ15" s="20"/>
      <c r="HYK15" s="20"/>
      <c r="HYL15" s="20"/>
      <c r="HYM15" s="20"/>
      <c r="HYN15" s="20"/>
      <c r="HYO15" s="20"/>
      <c r="HYP15" s="20"/>
      <c r="HYQ15" s="20"/>
      <c r="HYR15" s="20"/>
      <c r="HYS15" s="20"/>
      <c r="HYT15" s="20"/>
      <c r="HYU15" s="20"/>
      <c r="HYV15" s="20"/>
      <c r="HYW15" s="20"/>
      <c r="HYX15" s="20"/>
      <c r="HYY15" s="20"/>
      <c r="HYZ15" s="20"/>
      <c r="HZA15" s="20"/>
      <c r="HZB15" s="20"/>
      <c r="HZC15" s="20"/>
      <c r="HZD15" s="20"/>
      <c r="HZE15" s="20"/>
      <c r="HZF15" s="20"/>
      <c r="HZG15" s="20"/>
      <c r="HZH15" s="20"/>
      <c r="HZI15" s="20"/>
      <c r="HZJ15" s="20"/>
      <c r="HZK15" s="20"/>
      <c r="HZL15" s="20"/>
      <c r="HZM15" s="20"/>
      <c r="HZN15" s="20"/>
      <c r="HZO15" s="20"/>
      <c r="HZP15" s="20"/>
      <c r="HZQ15" s="20"/>
      <c r="HZR15" s="20"/>
      <c r="HZS15" s="20"/>
      <c r="HZT15" s="20"/>
      <c r="HZU15" s="20"/>
      <c r="HZV15" s="20"/>
      <c r="HZW15" s="20"/>
      <c r="HZX15" s="20"/>
      <c r="HZY15" s="20"/>
      <c r="HZZ15" s="20"/>
      <c r="IAA15" s="20"/>
      <c r="IAB15" s="20"/>
      <c r="IAC15" s="20"/>
      <c r="IAD15" s="20"/>
      <c r="IAE15" s="20"/>
      <c r="IAF15" s="20"/>
      <c r="IAG15" s="20"/>
      <c r="IAH15" s="20"/>
      <c r="IAI15" s="20"/>
      <c r="IAJ15" s="20"/>
      <c r="IAK15" s="20"/>
      <c r="IAL15" s="20"/>
      <c r="IAM15" s="20"/>
      <c r="IAN15" s="20"/>
      <c r="IAO15" s="20"/>
      <c r="IAP15" s="20"/>
      <c r="IAQ15" s="20"/>
      <c r="IAR15" s="20"/>
      <c r="IAS15" s="20"/>
      <c r="IAT15" s="20"/>
      <c r="IAU15" s="20"/>
      <c r="IAV15" s="20"/>
      <c r="IAW15" s="20"/>
      <c r="IAX15" s="20"/>
      <c r="IAY15" s="20"/>
      <c r="IAZ15" s="20"/>
      <c r="IBA15" s="20"/>
      <c r="IBB15" s="20"/>
      <c r="IBC15" s="20"/>
      <c r="IBD15" s="20"/>
      <c r="IBE15" s="20"/>
      <c r="IBF15" s="20"/>
      <c r="IBG15" s="20"/>
      <c r="IBH15" s="20"/>
      <c r="IBI15" s="20"/>
      <c r="IBJ15" s="20"/>
      <c r="IBK15" s="20"/>
      <c r="IBL15" s="20"/>
      <c r="IBM15" s="20"/>
      <c r="IBN15" s="20"/>
      <c r="IBO15" s="20"/>
      <c r="IBP15" s="20"/>
      <c r="IBQ15" s="20"/>
      <c r="IBR15" s="20"/>
      <c r="IBS15" s="20"/>
      <c r="IBT15" s="20"/>
      <c r="IBU15" s="20"/>
      <c r="IBV15" s="20"/>
      <c r="IBW15" s="20"/>
      <c r="IBX15" s="20"/>
      <c r="IBY15" s="20"/>
      <c r="IBZ15" s="20"/>
      <c r="ICA15" s="20"/>
      <c r="ICB15" s="20"/>
      <c r="ICC15" s="20"/>
      <c r="ICD15" s="20"/>
      <c r="ICE15" s="20"/>
      <c r="ICF15" s="20"/>
      <c r="ICG15" s="20"/>
      <c r="ICH15" s="20"/>
      <c r="ICI15" s="20"/>
      <c r="ICJ15" s="20"/>
      <c r="ICK15" s="20"/>
      <c r="ICL15" s="20"/>
      <c r="ICM15" s="20"/>
      <c r="ICN15" s="20"/>
      <c r="ICO15" s="20"/>
      <c r="ICP15" s="20"/>
      <c r="ICQ15" s="20"/>
      <c r="ICR15" s="20"/>
      <c r="ICS15" s="20"/>
      <c r="ICT15" s="20"/>
      <c r="ICU15" s="20"/>
      <c r="ICV15" s="20"/>
      <c r="ICW15" s="20"/>
      <c r="ICX15" s="20"/>
      <c r="ICY15" s="20"/>
      <c r="ICZ15" s="20"/>
      <c r="IDA15" s="20"/>
      <c r="IDB15" s="20"/>
      <c r="IDC15" s="20"/>
      <c r="IDD15" s="20"/>
      <c r="IDE15" s="20"/>
      <c r="IDF15" s="20"/>
      <c r="IDG15" s="20"/>
      <c r="IDH15" s="20"/>
      <c r="IDI15" s="20"/>
      <c r="IDJ15" s="20"/>
      <c r="IDK15" s="20"/>
      <c r="IDL15" s="20"/>
      <c r="IDM15" s="20"/>
      <c r="IDN15" s="20"/>
      <c r="IDO15" s="20"/>
      <c r="IDP15" s="20"/>
      <c r="IDQ15" s="20"/>
      <c r="IDR15" s="20"/>
      <c r="IDS15" s="20"/>
      <c r="IDT15" s="20"/>
      <c r="IDU15" s="20"/>
      <c r="IDV15" s="20"/>
      <c r="IDW15" s="20"/>
      <c r="IDX15" s="20"/>
      <c r="IDY15" s="20"/>
      <c r="IDZ15" s="20"/>
      <c r="IEA15" s="20"/>
      <c r="IEB15" s="20"/>
      <c r="IEC15" s="20"/>
      <c r="IED15" s="20"/>
      <c r="IEE15" s="20"/>
      <c r="IEF15" s="20"/>
      <c r="IEG15" s="20"/>
      <c r="IEH15" s="20"/>
      <c r="IEI15" s="20"/>
      <c r="IEJ15" s="20"/>
      <c r="IEK15" s="20"/>
      <c r="IEL15" s="20"/>
      <c r="IEM15" s="20"/>
      <c r="IEN15" s="20"/>
      <c r="IEO15" s="20"/>
      <c r="IEP15" s="20"/>
      <c r="IEQ15" s="20"/>
      <c r="IER15" s="20"/>
      <c r="IES15" s="20"/>
      <c r="IET15" s="20"/>
      <c r="IEU15" s="20"/>
      <c r="IEV15" s="20"/>
      <c r="IEW15" s="20"/>
      <c r="IEX15" s="20"/>
      <c r="IEY15" s="20"/>
      <c r="IEZ15" s="20"/>
      <c r="IFA15" s="20"/>
      <c r="IFB15" s="20"/>
      <c r="IFC15" s="20"/>
      <c r="IFD15" s="20"/>
      <c r="IFE15" s="20"/>
      <c r="IFF15" s="20"/>
      <c r="IFG15" s="20"/>
      <c r="IFH15" s="20"/>
      <c r="IFI15" s="20"/>
      <c r="IFJ15" s="20"/>
      <c r="IFK15" s="20"/>
      <c r="IFL15" s="20"/>
      <c r="IFM15" s="20"/>
      <c r="IFN15" s="20"/>
      <c r="IFO15" s="20"/>
      <c r="IFP15" s="20"/>
      <c r="IFQ15" s="20"/>
      <c r="IFR15" s="20"/>
      <c r="IFS15" s="20"/>
      <c r="IFT15" s="20"/>
      <c r="IFU15" s="20"/>
      <c r="IFV15" s="20"/>
      <c r="IFW15" s="20"/>
      <c r="IFX15" s="20"/>
      <c r="IFY15" s="20"/>
      <c r="IFZ15" s="20"/>
      <c r="IGA15" s="20"/>
      <c r="IGB15" s="20"/>
      <c r="IGC15" s="20"/>
      <c r="IGD15" s="20"/>
      <c r="IGE15" s="20"/>
      <c r="IGF15" s="20"/>
      <c r="IGG15" s="20"/>
      <c r="IGH15" s="20"/>
      <c r="IGI15" s="20"/>
      <c r="IGJ15" s="20"/>
      <c r="IGK15" s="20"/>
      <c r="IGL15" s="20"/>
      <c r="IGM15" s="20"/>
      <c r="IGN15" s="20"/>
      <c r="IGO15" s="20"/>
      <c r="IGP15" s="20"/>
      <c r="IGQ15" s="20"/>
      <c r="IGR15" s="20"/>
      <c r="IGS15" s="20"/>
      <c r="IGT15" s="20"/>
      <c r="IGU15" s="20"/>
      <c r="IGV15" s="20"/>
      <c r="IGW15" s="20"/>
      <c r="IGX15" s="20"/>
      <c r="IGY15" s="20"/>
      <c r="IGZ15" s="20"/>
      <c r="IHA15" s="20"/>
      <c r="IHB15" s="20"/>
      <c r="IHC15" s="20"/>
      <c r="IHD15" s="20"/>
      <c r="IHE15" s="20"/>
      <c r="IHF15" s="20"/>
      <c r="IHG15" s="20"/>
      <c r="IHH15" s="20"/>
      <c r="IHI15" s="20"/>
      <c r="IHJ15" s="20"/>
      <c r="IHK15" s="20"/>
      <c r="IHL15" s="20"/>
      <c r="IHM15" s="20"/>
      <c r="IHN15" s="20"/>
      <c r="IHO15" s="20"/>
      <c r="IHP15" s="20"/>
      <c r="IHQ15" s="20"/>
      <c r="IHR15" s="20"/>
      <c r="IHS15" s="20"/>
      <c r="IHT15" s="20"/>
      <c r="IHU15" s="20"/>
      <c r="IHV15" s="20"/>
      <c r="IHW15" s="20"/>
      <c r="IHX15" s="20"/>
      <c r="IHY15" s="20"/>
      <c r="IHZ15" s="20"/>
      <c r="IIA15" s="20"/>
      <c r="IIB15" s="20"/>
      <c r="IIC15" s="20"/>
      <c r="IID15" s="20"/>
      <c r="IIE15" s="20"/>
      <c r="IIF15" s="20"/>
      <c r="IIG15" s="20"/>
      <c r="IIH15" s="20"/>
      <c r="III15" s="20"/>
      <c r="IIJ15" s="20"/>
      <c r="IIK15" s="20"/>
      <c r="IIL15" s="20"/>
      <c r="IIM15" s="20"/>
      <c r="IIN15" s="20"/>
      <c r="IIO15" s="20"/>
      <c r="IIP15" s="20"/>
      <c r="IIQ15" s="20"/>
      <c r="IIR15" s="20"/>
      <c r="IIS15" s="20"/>
      <c r="IIT15" s="20"/>
      <c r="IIU15" s="20"/>
      <c r="IIV15" s="20"/>
      <c r="IIW15" s="20"/>
      <c r="IIX15" s="20"/>
      <c r="IIY15" s="20"/>
      <c r="IIZ15" s="20"/>
      <c r="IJA15" s="20"/>
      <c r="IJB15" s="20"/>
      <c r="IJC15" s="20"/>
      <c r="IJD15" s="20"/>
      <c r="IJE15" s="20"/>
      <c r="IJF15" s="20"/>
      <c r="IJG15" s="20"/>
      <c r="IJH15" s="20"/>
      <c r="IJI15" s="20"/>
      <c r="IJJ15" s="20"/>
      <c r="IJK15" s="20"/>
      <c r="IJL15" s="20"/>
      <c r="IJM15" s="20"/>
      <c r="IJN15" s="20"/>
      <c r="IJO15" s="20"/>
      <c r="IJP15" s="20"/>
      <c r="IJQ15" s="20"/>
      <c r="IJR15" s="20"/>
      <c r="IJS15" s="20"/>
      <c r="IJT15" s="20"/>
      <c r="IJU15" s="20"/>
      <c r="IJV15" s="20"/>
      <c r="IJW15" s="20"/>
      <c r="IJX15" s="20"/>
      <c r="IJY15" s="20"/>
      <c r="IJZ15" s="20"/>
      <c r="IKA15" s="20"/>
      <c r="IKB15" s="20"/>
      <c r="IKC15" s="20"/>
      <c r="IKD15" s="20"/>
      <c r="IKE15" s="20"/>
      <c r="IKF15" s="20"/>
      <c r="IKG15" s="20"/>
      <c r="IKH15" s="20"/>
      <c r="IKI15" s="20"/>
      <c r="IKJ15" s="20"/>
      <c r="IKK15" s="20"/>
      <c r="IKL15" s="20"/>
      <c r="IKM15" s="20"/>
      <c r="IKN15" s="20"/>
      <c r="IKO15" s="20"/>
      <c r="IKP15" s="20"/>
      <c r="IKQ15" s="20"/>
      <c r="IKR15" s="20"/>
      <c r="IKS15" s="20"/>
      <c r="IKT15" s="20"/>
      <c r="IKU15" s="20"/>
      <c r="IKV15" s="20"/>
      <c r="IKW15" s="20"/>
      <c r="IKX15" s="20"/>
      <c r="IKY15" s="20"/>
      <c r="IKZ15" s="20"/>
      <c r="ILA15" s="20"/>
      <c r="ILB15" s="20"/>
      <c r="ILC15" s="20"/>
      <c r="ILD15" s="20"/>
      <c r="ILE15" s="20"/>
      <c r="ILF15" s="20"/>
      <c r="ILG15" s="20"/>
      <c r="ILH15" s="20"/>
      <c r="ILI15" s="20"/>
      <c r="ILJ15" s="20"/>
      <c r="ILK15" s="20"/>
      <c r="ILL15" s="20"/>
      <c r="ILM15" s="20"/>
      <c r="ILN15" s="20"/>
      <c r="ILO15" s="20"/>
      <c r="ILP15" s="20"/>
      <c r="ILQ15" s="20"/>
      <c r="ILR15" s="20"/>
      <c r="ILS15" s="20"/>
      <c r="ILT15" s="20"/>
      <c r="ILU15" s="20"/>
      <c r="ILV15" s="20"/>
      <c r="ILW15" s="20"/>
      <c r="ILX15" s="20"/>
      <c r="ILY15" s="20"/>
      <c r="ILZ15" s="20"/>
      <c r="IMA15" s="20"/>
      <c r="IMB15" s="20"/>
      <c r="IMC15" s="20"/>
      <c r="IMD15" s="20"/>
      <c r="IME15" s="20"/>
      <c r="IMF15" s="20"/>
      <c r="IMG15" s="20"/>
      <c r="IMH15" s="20"/>
      <c r="IMI15" s="20"/>
      <c r="IMJ15" s="20"/>
      <c r="IMK15" s="20"/>
      <c r="IML15" s="20"/>
      <c r="IMM15" s="20"/>
      <c r="IMN15" s="20"/>
      <c r="IMO15" s="20"/>
      <c r="IMP15" s="20"/>
      <c r="IMQ15" s="20"/>
      <c r="IMR15" s="20"/>
      <c r="IMS15" s="20"/>
      <c r="IMT15" s="20"/>
      <c r="IMU15" s="20"/>
      <c r="IMV15" s="20"/>
      <c r="IMW15" s="20"/>
      <c r="IMX15" s="20"/>
      <c r="IMY15" s="20"/>
      <c r="IMZ15" s="20"/>
      <c r="INA15" s="20"/>
      <c r="INB15" s="20"/>
      <c r="INC15" s="20"/>
      <c r="IND15" s="20"/>
      <c r="INE15" s="20"/>
      <c r="INF15" s="20"/>
      <c r="ING15" s="20"/>
      <c r="INH15" s="20"/>
      <c r="INI15" s="20"/>
      <c r="INJ15" s="20"/>
      <c r="INK15" s="20"/>
      <c r="INL15" s="20"/>
      <c r="INM15" s="20"/>
      <c r="INN15" s="20"/>
      <c r="INO15" s="20"/>
      <c r="INP15" s="20"/>
      <c r="INQ15" s="20"/>
      <c r="INR15" s="20"/>
      <c r="INS15" s="20"/>
      <c r="INT15" s="20"/>
      <c r="INU15" s="20"/>
      <c r="INV15" s="20"/>
      <c r="INW15" s="20"/>
      <c r="INX15" s="20"/>
      <c r="INY15" s="20"/>
      <c r="INZ15" s="20"/>
      <c r="IOA15" s="20"/>
      <c r="IOB15" s="20"/>
      <c r="IOC15" s="20"/>
      <c r="IOD15" s="20"/>
      <c r="IOE15" s="20"/>
      <c r="IOF15" s="20"/>
      <c r="IOG15" s="20"/>
      <c r="IOH15" s="20"/>
      <c r="IOI15" s="20"/>
      <c r="IOJ15" s="20"/>
      <c r="IOK15" s="20"/>
      <c r="IOL15" s="20"/>
      <c r="IOM15" s="20"/>
      <c r="ION15" s="20"/>
      <c r="IOO15" s="20"/>
      <c r="IOP15" s="20"/>
      <c r="IOQ15" s="20"/>
      <c r="IOR15" s="20"/>
      <c r="IOS15" s="20"/>
      <c r="IOT15" s="20"/>
      <c r="IOU15" s="20"/>
      <c r="IOV15" s="20"/>
      <c r="IOW15" s="20"/>
      <c r="IOX15" s="20"/>
      <c r="IOY15" s="20"/>
      <c r="IOZ15" s="20"/>
      <c r="IPA15" s="20"/>
      <c r="IPB15" s="20"/>
      <c r="IPC15" s="20"/>
      <c r="IPD15" s="20"/>
      <c r="IPE15" s="20"/>
      <c r="IPF15" s="20"/>
      <c r="IPG15" s="20"/>
      <c r="IPH15" s="20"/>
      <c r="IPI15" s="20"/>
      <c r="IPJ15" s="20"/>
      <c r="IPK15" s="20"/>
      <c r="IPL15" s="20"/>
      <c r="IPM15" s="20"/>
      <c r="IPN15" s="20"/>
      <c r="IPO15" s="20"/>
      <c r="IPP15" s="20"/>
      <c r="IPQ15" s="20"/>
      <c r="IPR15" s="20"/>
      <c r="IPS15" s="20"/>
      <c r="IPT15" s="20"/>
      <c r="IPU15" s="20"/>
      <c r="IPV15" s="20"/>
      <c r="IPW15" s="20"/>
      <c r="IPX15" s="20"/>
      <c r="IPY15" s="20"/>
      <c r="IPZ15" s="20"/>
      <c r="IQA15" s="20"/>
      <c r="IQB15" s="20"/>
      <c r="IQC15" s="20"/>
      <c r="IQD15" s="20"/>
      <c r="IQE15" s="20"/>
      <c r="IQF15" s="20"/>
      <c r="IQG15" s="20"/>
      <c r="IQH15" s="20"/>
      <c r="IQI15" s="20"/>
      <c r="IQJ15" s="20"/>
      <c r="IQK15" s="20"/>
      <c r="IQL15" s="20"/>
      <c r="IQM15" s="20"/>
      <c r="IQN15" s="20"/>
      <c r="IQO15" s="20"/>
      <c r="IQP15" s="20"/>
      <c r="IQQ15" s="20"/>
      <c r="IQR15" s="20"/>
      <c r="IQS15" s="20"/>
      <c r="IQT15" s="20"/>
      <c r="IQU15" s="20"/>
      <c r="IQV15" s="20"/>
      <c r="IQW15" s="20"/>
      <c r="IQX15" s="20"/>
      <c r="IQY15" s="20"/>
      <c r="IQZ15" s="20"/>
      <c r="IRA15" s="20"/>
      <c r="IRB15" s="20"/>
      <c r="IRC15" s="20"/>
      <c r="IRD15" s="20"/>
      <c r="IRE15" s="20"/>
      <c r="IRF15" s="20"/>
      <c r="IRG15" s="20"/>
      <c r="IRH15" s="20"/>
      <c r="IRI15" s="20"/>
      <c r="IRJ15" s="20"/>
      <c r="IRK15" s="20"/>
      <c r="IRL15" s="20"/>
      <c r="IRM15" s="20"/>
      <c r="IRN15" s="20"/>
      <c r="IRO15" s="20"/>
      <c r="IRP15" s="20"/>
      <c r="IRQ15" s="20"/>
      <c r="IRR15" s="20"/>
      <c r="IRS15" s="20"/>
      <c r="IRT15" s="20"/>
      <c r="IRU15" s="20"/>
      <c r="IRV15" s="20"/>
      <c r="IRW15" s="20"/>
      <c r="IRX15" s="20"/>
      <c r="IRY15" s="20"/>
      <c r="IRZ15" s="20"/>
      <c r="ISA15" s="20"/>
      <c r="ISB15" s="20"/>
      <c r="ISC15" s="20"/>
      <c r="ISD15" s="20"/>
      <c r="ISE15" s="20"/>
      <c r="ISF15" s="20"/>
      <c r="ISG15" s="20"/>
      <c r="ISH15" s="20"/>
      <c r="ISI15" s="20"/>
      <c r="ISJ15" s="20"/>
      <c r="ISK15" s="20"/>
      <c r="ISL15" s="20"/>
      <c r="ISM15" s="20"/>
      <c r="ISN15" s="20"/>
      <c r="ISO15" s="20"/>
      <c r="ISP15" s="20"/>
      <c r="ISQ15" s="20"/>
      <c r="ISR15" s="20"/>
      <c r="ISS15" s="20"/>
      <c r="IST15" s="20"/>
      <c r="ISU15" s="20"/>
      <c r="ISV15" s="20"/>
      <c r="ISW15" s="20"/>
      <c r="ISX15" s="20"/>
      <c r="ISY15" s="20"/>
      <c r="ISZ15" s="20"/>
      <c r="ITA15" s="20"/>
      <c r="ITB15" s="20"/>
      <c r="ITC15" s="20"/>
      <c r="ITD15" s="20"/>
      <c r="ITE15" s="20"/>
      <c r="ITF15" s="20"/>
      <c r="ITG15" s="20"/>
      <c r="ITH15" s="20"/>
      <c r="ITI15" s="20"/>
      <c r="ITJ15" s="20"/>
      <c r="ITK15" s="20"/>
      <c r="ITL15" s="20"/>
      <c r="ITM15" s="20"/>
      <c r="ITN15" s="20"/>
      <c r="ITO15" s="20"/>
      <c r="ITP15" s="20"/>
      <c r="ITQ15" s="20"/>
      <c r="ITR15" s="20"/>
      <c r="ITS15" s="20"/>
      <c r="ITT15" s="20"/>
      <c r="ITU15" s="20"/>
      <c r="ITV15" s="20"/>
      <c r="ITW15" s="20"/>
      <c r="ITX15" s="20"/>
      <c r="ITY15" s="20"/>
      <c r="ITZ15" s="20"/>
      <c r="IUA15" s="20"/>
      <c r="IUB15" s="20"/>
      <c r="IUC15" s="20"/>
      <c r="IUD15" s="20"/>
      <c r="IUE15" s="20"/>
      <c r="IUF15" s="20"/>
      <c r="IUG15" s="20"/>
      <c r="IUH15" s="20"/>
      <c r="IUI15" s="20"/>
      <c r="IUJ15" s="20"/>
      <c r="IUK15" s="20"/>
      <c r="IUL15" s="20"/>
      <c r="IUM15" s="20"/>
      <c r="IUN15" s="20"/>
      <c r="IUO15" s="20"/>
      <c r="IUP15" s="20"/>
      <c r="IUQ15" s="20"/>
      <c r="IUR15" s="20"/>
      <c r="IUS15" s="20"/>
      <c r="IUT15" s="20"/>
      <c r="IUU15" s="20"/>
      <c r="IUV15" s="20"/>
      <c r="IUW15" s="20"/>
      <c r="IUX15" s="20"/>
      <c r="IUY15" s="20"/>
      <c r="IUZ15" s="20"/>
      <c r="IVA15" s="20"/>
      <c r="IVB15" s="20"/>
      <c r="IVC15" s="20"/>
      <c r="IVD15" s="20"/>
      <c r="IVE15" s="20"/>
      <c r="IVF15" s="20"/>
      <c r="IVG15" s="20"/>
      <c r="IVH15" s="20"/>
      <c r="IVI15" s="20"/>
      <c r="IVJ15" s="20"/>
      <c r="IVK15" s="20"/>
      <c r="IVL15" s="20"/>
      <c r="IVM15" s="20"/>
      <c r="IVN15" s="20"/>
      <c r="IVO15" s="20"/>
      <c r="IVP15" s="20"/>
      <c r="IVQ15" s="20"/>
      <c r="IVR15" s="20"/>
      <c r="IVS15" s="20"/>
      <c r="IVT15" s="20"/>
      <c r="IVU15" s="20"/>
      <c r="IVV15" s="20"/>
      <c r="IVW15" s="20"/>
      <c r="IVX15" s="20"/>
      <c r="IVY15" s="20"/>
      <c r="IVZ15" s="20"/>
      <c r="IWA15" s="20"/>
      <c r="IWB15" s="20"/>
      <c r="IWC15" s="20"/>
      <c r="IWD15" s="20"/>
      <c r="IWE15" s="20"/>
      <c r="IWF15" s="20"/>
      <c r="IWG15" s="20"/>
      <c r="IWH15" s="20"/>
      <c r="IWI15" s="20"/>
      <c r="IWJ15" s="20"/>
      <c r="IWK15" s="20"/>
      <c r="IWL15" s="20"/>
      <c r="IWM15" s="20"/>
      <c r="IWN15" s="20"/>
      <c r="IWO15" s="20"/>
      <c r="IWP15" s="20"/>
      <c r="IWQ15" s="20"/>
      <c r="IWR15" s="20"/>
      <c r="IWS15" s="20"/>
      <c r="IWT15" s="20"/>
      <c r="IWU15" s="20"/>
      <c r="IWV15" s="20"/>
      <c r="IWW15" s="20"/>
      <c r="IWX15" s="20"/>
      <c r="IWY15" s="20"/>
      <c r="IWZ15" s="20"/>
      <c r="IXA15" s="20"/>
      <c r="IXB15" s="20"/>
      <c r="IXC15" s="20"/>
      <c r="IXD15" s="20"/>
      <c r="IXE15" s="20"/>
      <c r="IXF15" s="20"/>
      <c r="IXG15" s="20"/>
      <c r="IXH15" s="20"/>
      <c r="IXI15" s="20"/>
      <c r="IXJ15" s="20"/>
      <c r="IXK15" s="20"/>
      <c r="IXL15" s="20"/>
      <c r="IXM15" s="20"/>
      <c r="IXN15" s="20"/>
      <c r="IXO15" s="20"/>
      <c r="IXP15" s="20"/>
      <c r="IXQ15" s="20"/>
      <c r="IXR15" s="20"/>
      <c r="IXS15" s="20"/>
      <c r="IXT15" s="20"/>
      <c r="IXU15" s="20"/>
      <c r="IXV15" s="20"/>
      <c r="IXW15" s="20"/>
      <c r="IXX15" s="20"/>
      <c r="IXY15" s="20"/>
      <c r="IXZ15" s="20"/>
      <c r="IYA15" s="20"/>
      <c r="IYB15" s="20"/>
      <c r="IYC15" s="20"/>
      <c r="IYD15" s="20"/>
      <c r="IYE15" s="20"/>
      <c r="IYF15" s="20"/>
      <c r="IYG15" s="20"/>
      <c r="IYH15" s="20"/>
      <c r="IYI15" s="20"/>
      <c r="IYJ15" s="20"/>
      <c r="IYK15" s="20"/>
      <c r="IYL15" s="20"/>
      <c r="IYM15" s="20"/>
      <c r="IYN15" s="20"/>
      <c r="IYO15" s="20"/>
      <c r="IYP15" s="20"/>
      <c r="IYQ15" s="20"/>
      <c r="IYR15" s="20"/>
      <c r="IYS15" s="20"/>
      <c r="IYT15" s="20"/>
      <c r="IYU15" s="20"/>
      <c r="IYV15" s="20"/>
      <c r="IYW15" s="20"/>
      <c r="IYX15" s="20"/>
      <c r="IYY15" s="20"/>
      <c r="IYZ15" s="20"/>
      <c r="IZA15" s="20"/>
      <c r="IZB15" s="20"/>
      <c r="IZC15" s="20"/>
      <c r="IZD15" s="20"/>
      <c r="IZE15" s="20"/>
      <c r="IZF15" s="20"/>
      <c r="IZG15" s="20"/>
      <c r="IZH15" s="20"/>
      <c r="IZI15" s="20"/>
      <c r="IZJ15" s="20"/>
      <c r="IZK15" s="20"/>
      <c r="IZL15" s="20"/>
      <c r="IZM15" s="20"/>
      <c r="IZN15" s="20"/>
      <c r="IZO15" s="20"/>
      <c r="IZP15" s="20"/>
      <c r="IZQ15" s="20"/>
      <c r="IZR15" s="20"/>
      <c r="IZS15" s="20"/>
      <c r="IZT15" s="20"/>
      <c r="IZU15" s="20"/>
      <c r="IZV15" s="20"/>
      <c r="IZW15" s="20"/>
      <c r="IZX15" s="20"/>
      <c r="IZY15" s="20"/>
      <c r="IZZ15" s="20"/>
      <c r="JAA15" s="20"/>
      <c r="JAB15" s="20"/>
      <c r="JAC15" s="20"/>
      <c r="JAD15" s="20"/>
      <c r="JAE15" s="20"/>
      <c r="JAF15" s="20"/>
      <c r="JAG15" s="20"/>
      <c r="JAH15" s="20"/>
      <c r="JAI15" s="20"/>
      <c r="JAJ15" s="20"/>
      <c r="JAK15" s="20"/>
      <c r="JAL15" s="20"/>
      <c r="JAM15" s="20"/>
      <c r="JAN15" s="20"/>
      <c r="JAO15" s="20"/>
      <c r="JAP15" s="20"/>
      <c r="JAQ15" s="20"/>
      <c r="JAR15" s="20"/>
      <c r="JAS15" s="20"/>
      <c r="JAT15" s="20"/>
      <c r="JAU15" s="20"/>
      <c r="JAV15" s="20"/>
      <c r="JAW15" s="20"/>
      <c r="JAX15" s="20"/>
      <c r="JAY15" s="20"/>
      <c r="JAZ15" s="20"/>
      <c r="JBA15" s="20"/>
      <c r="JBB15" s="20"/>
      <c r="JBC15" s="20"/>
      <c r="JBD15" s="20"/>
      <c r="JBE15" s="20"/>
      <c r="JBF15" s="20"/>
      <c r="JBG15" s="20"/>
      <c r="JBH15" s="20"/>
      <c r="JBI15" s="20"/>
      <c r="JBJ15" s="20"/>
      <c r="JBK15" s="20"/>
      <c r="JBL15" s="20"/>
      <c r="JBM15" s="20"/>
      <c r="JBN15" s="20"/>
      <c r="JBO15" s="20"/>
      <c r="JBP15" s="20"/>
      <c r="JBQ15" s="20"/>
      <c r="JBR15" s="20"/>
      <c r="JBS15" s="20"/>
      <c r="JBT15" s="20"/>
      <c r="JBU15" s="20"/>
      <c r="JBV15" s="20"/>
      <c r="JBW15" s="20"/>
      <c r="JBX15" s="20"/>
      <c r="JBY15" s="20"/>
      <c r="JBZ15" s="20"/>
      <c r="JCA15" s="20"/>
      <c r="JCB15" s="20"/>
      <c r="JCC15" s="20"/>
      <c r="JCD15" s="20"/>
      <c r="JCE15" s="20"/>
      <c r="JCF15" s="20"/>
      <c r="JCG15" s="20"/>
      <c r="JCH15" s="20"/>
      <c r="JCI15" s="20"/>
      <c r="JCJ15" s="20"/>
      <c r="JCK15" s="20"/>
      <c r="JCL15" s="20"/>
      <c r="JCM15" s="20"/>
      <c r="JCN15" s="20"/>
      <c r="JCO15" s="20"/>
      <c r="JCP15" s="20"/>
      <c r="JCQ15" s="20"/>
      <c r="JCR15" s="20"/>
      <c r="JCS15" s="20"/>
      <c r="JCT15" s="20"/>
      <c r="JCU15" s="20"/>
      <c r="JCV15" s="20"/>
      <c r="JCW15" s="20"/>
      <c r="JCX15" s="20"/>
      <c r="JCY15" s="20"/>
      <c r="JCZ15" s="20"/>
      <c r="JDA15" s="20"/>
      <c r="JDB15" s="20"/>
      <c r="JDC15" s="20"/>
      <c r="JDD15" s="20"/>
      <c r="JDE15" s="20"/>
      <c r="JDF15" s="20"/>
      <c r="JDG15" s="20"/>
      <c r="JDH15" s="20"/>
      <c r="JDI15" s="20"/>
      <c r="JDJ15" s="20"/>
      <c r="JDK15" s="20"/>
      <c r="JDL15" s="20"/>
      <c r="JDM15" s="20"/>
      <c r="JDN15" s="20"/>
      <c r="JDO15" s="20"/>
      <c r="JDP15" s="20"/>
      <c r="JDQ15" s="20"/>
      <c r="JDR15" s="20"/>
      <c r="JDS15" s="20"/>
      <c r="JDT15" s="20"/>
      <c r="JDU15" s="20"/>
      <c r="JDV15" s="20"/>
      <c r="JDW15" s="20"/>
      <c r="JDX15" s="20"/>
      <c r="JDY15" s="20"/>
      <c r="JDZ15" s="20"/>
      <c r="JEA15" s="20"/>
      <c r="JEB15" s="20"/>
      <c r="JEC15" s="20"/>
      <c r="JED15" s="20"/>
      <c r="JEE15" s="20"/>
      <c r="JEF15" s="20"/>
      <c r="JEG15" s="20"/>
      <c r="JEH15" s="20"/>
      <c r="JEI15" s="20"/>
      <c r="JEJ15" s="20"/>
      <c r="JEK15" s="20"/>
      <c r="JEL15" s="20"/>
      <c r="JEM15" s="20"/>
      <c r="JEN15" s="20"/>
      <c r="JEO15" s="20"/>
      <c r="JEP15" s="20"/>
      <c r="JEQ15" s="20"/>
      <c r="JER15" s="20"/>
      <c r="JES15" s="20"/>
      <c r="JET15" s="20"/>
      <c r="JEU15" s="20"/>
      <c r="JEV15" s="20"/>
      <c r="JEW15" s="20"/>
      <c r="JEX15" s="20"/>
      <c r="JEY15" s="20"/>
      <c r="JEZ15" s="20"/>
      <c r="JFA15" s="20"/>
      <c r="JFB15" s="20"/>
      <c r="JFC15" s="20"/>
      <c r="JFD15" s="20"/>
      <c r="JFE15" s="20"/>
      <c r="JFF15" s="20"/>
      <c r="JFG15" s="20"/>
      <c r="JFH15" s="20"/>
      <c r="JFI15" s="20"/>
      <c r="JFJ15" s="20"/>
      <c r="JFK15" s="20"/>
      <c r="JFL15" s="20"/>
      <c r="JFM15" s="20"/>
      <c r="JFN15" s="20"/>
      <c r="JFO15" s="20"/>
      <c r="JFP15" s="20"/>
      <c r="JFQ15" s="20"/>
      <c r="JFR15" s="20"/>
      <c r="JFS15" s="20"/>
      <c r="JFT15" s="20"/>
      <c r="JFU15" s="20"/>
      <c r="JFV15" s="20"/>
      <c r="JFW15" s="20"/>
      <c r="JFX15" s="20"/>
      <c r="JFY15" s="20"/>
      <c r="JFZ15" s="20"/>
      <c r="JGA15" s="20"/>
      <c r="JGB15" s="20"/>
      <c r="JGC15" s="20"/>
      <c r="JGD15" s="20"/>
      <c r="JGE15" s="20"/>
      <c r="JGF15" s="20"/>
      <c r="JGG15" s="20"/>
      <c r="JGH15" s="20"/>
      <c r="JGI15" s="20"/>
      <c r="JGJ15" s="20"/>
      <c r="JGK15" s="20"/>
      <c r="JGL15" s="20"/>
      <c r="JGM15" s="20"/>
      <c r="JGN15" s="20"/>
      <c r="JGO15" s="20"/>
      <c r="JGP15" s="20"/>
      <c r="JGQ15" s="20"/>
      <c r="JGR15" s="20"/>
      <c r="JGS15" s="20"/>
      <c r="JGT15" s="20"/>
      <c r="JGU15" s="20"/>
      <c r="JGV15" s="20"/>
      <c r="JGW15" s="20"/>
      <c r="JGX15" s="20"/>
      <c r="JGY15" s="20"/>
      <c r="JGZ15" s="20"/>
      <c r="JHA15" s="20"/>
      <c r="JHB15" s="20"/>
      <c r="JHC15" s="20"/>
      <c r="JHD15" s="20"/>
      <c r="JHE15" s="20"/>
      <c r="JHF15" s="20"/>
      <c r="JHG15" s="20"/>
      <c r="JHH15" s="20"/>
      <c r="JHI15" s="20"/>
      <c r="JHJ15" s="20"/>
      <c r="JHK15" s="20"/>
      <c r="JHL15" s="20"/>
      <c r="JHM15" s="20"/>
      <c r="JHN15" s="20"/>
      <c r="JHO15" s="20"/>
      <c r="JHP15" s="20"/>
      <c r="JHQ15" s="20"/>
      <c r="JHR15" s="20"/>
      <c r="JHS15" s="20"/>
      <c r="JHT15" s="20"/>
      <c r="JHU15" s="20"/>
      <c r="JHV15" s="20"/>
      <c r="JHW15" s="20"/>
      <c r="JHX15" s="20"/>
      <c r="JHY15" s="20"/>
      <c r="JHZ15" s="20"/>
      <c r="JIA15" s="20"/>
      <c r="JIB15" s="20"/>
      <c r="JIC15" s="20"/>
      <c r="JID15" s="20"/>
      <c r="JIE15" s="20"/>
      <c r="JIF15" s="20"/>
      <c r="JIG15" s="20"/>
      <c r="JIH15" s="20"/>
      <c r="JII15" s="20"/>
      <c r="JIJ15" s="20"/>
      <c r="JIK15" s="20"/>
      <c r="JIL15" s="20"/>
      <c r="JIM15" s="20"/>
      <c r="JIN15" s="20"/>
      <c r="JIO15" s="20"/>
      <c r="JIP15" s="20"/>
      <c r="JIQ15" s="20"/>
      <c r="JIR15" s="20"/>
      <c r="JIS15" s="20"/>
      <c r="JIT15" s="20"/>
      <c r="JIU15" s="20"/>
      <c r="JIV15" s="20"/>
      <c r="JIW15" s="20"/>
      <c r="JIX15" s="20"/>
      <c r="JIY15" s="20"/>
      <c r="JIZ15" s="20"/>
      <c r="JJA15" s="20"/>
      <c r="JJB15" s="20"/>
      <c r="JJC15" s="20"/>
      <c r="JJD15" s="20"/>
      <c r="JJE15" s="20"/>
      <c r="JJF15" s="20"/>
      <c r="JJG15" s="20"/>
      <c r="JJH15" s="20"/>
      <c r="JJI15" s="20"/>
      <c r="JJJ15" s="20"/>
      <c r="JJK15" s="20"/>
      <c r="JJL15" s="20"/>
      <c r="JJM15" s="20"/>
      <c r="JJN15" s="20"/>
      <c r="JJO15" s="20"/>
      <c r="JJP15" s="20"/>
      <c r="JJQ15" s="20"/>
      <c r="JJR15" s="20"/>
      <c r="JJS15" s="20"/>
      <c r="JJT15" s="20"/>
      <c r="JJU15" s="20"/>
      <c r="JJV15" s="20"/>
      <c r="JJW15" s="20"/>
      <c r="JJX15" s="20"/>
      <c r="JJY15" s="20"/>
      <c r="JJZ15" s="20"/>
      <c r="JKA15" s="20"/>
      <c r="JKB15" s="20"/>
      <c r="JKC15" s="20"/>
      <c r="JKD15" s="20"/>
      <c r="JKE15" s="20"/>
      <c r="JKF15" s="20"/>
      <c r="JKG15" s="20"/>
      <c r="JKH15" s="20"/>
      <c r="JKI15" s="20"/>
      <c r="JKJ15" s="20"/>
      <c r="JKK15" s="20"/>
      <c r="JKL15" s="20"/>
      <c r="JKM15" s="20"/>
      <c r="JKN15" s="20"/>
      <c r="JKO15" s="20"/>
      <c r="JKP15" s="20"/>
      <c r="JKQ15" s="20"/>
      <c r="JKR15" s="20"/>
      <c r="JKS15" s="20"/>
      <c r="JKT15" s="20"/>
      <c r="JKU15" s="20"/>
      <c r="JKV15" s="20"/>
      <c r="JKW15" s="20"/>
      <c r="JKX15" s="20"/>
      <c r="JKY15" s="20"/>
      <c r="JKZ15" s="20"/>
      <c r="JLA15" s="20"/>
      <c r="JLB15" s="20"/>
      <c r="JLC15" s="20"/>
      <c r="JLD15" s="20"/>
      <c r="JLE15" s="20"/>
      <c r="JLF15" s="20"/>
      <c r="JLG15" s="20"/>
      <c r="JLH15" s="20"/>
      <c r="JLI15" s="20"/>
      <c r="JLJ15" s="20"/>
      <c r="JLK15" s="20"/>
      <c r="JLL15" s="20"/>
      <c r="JLM15" s="20"/>
      <c r="JLN15" s="20"/>
      <c r="JLO15" s="20"/>
      <c r="JLP15" s="20"/>
      <c r="JLQ15" s="20"/>
      <c r="JLR15" s="20"/>
      <c r="JLS15" s="20"/>
      <c r="JLT15" s="20"/>
      <c r="JLU15" s="20"/>
      <c r="JLV15" s="20"/>
      <c r="JLW15" s="20"/>
      <c r="JLX15" s="20"/>
      <c r="JLY15" s="20"/>
      <c r="JLZ15" s="20"/>
      <c r="JMA15" s="20"/>
      <c r="JMB15" s="20"/>
      <c r="JMC15" s="20"/>
      <c r="JMD15" s="20"/>
      <c r="JME15" s="20"/>
      <c r="JMF15" s="20"/>
      <c r="JMG15" s="20"/>
      <c r="JMH15" s="20"/>
      <c r="JMI15" s="20"/>
      <c r="JMJ15" s="20"/>
      <c r="JMK15" s="20"/>
      <c r="JML15" s="20"/>
      <c r="JMM15" s="20"/>
      <c r="JMN15" s="20"/>
      <c r="JMO15" s="20"/>
      <c r="JMP15" s="20"/>
      <c r="JMQ15" s="20"/>
      <c r="JMR15" s="20"/>
      <c r="JMS15" s="20"/>
      <c r="JMT15" s="20"/>
      <c r="JMU15" s="20"/>
      <c r="JMV15" s="20"/>
      <c r="JMW15" s="20"/>
      <c r="JMX15" s="20"/>
      <c r="JMY15" s="20"/>
      <c r="JMZ15" s="20"/>
      <c r="JNA15" s="20"/>
      <c r="JNB15" s="20"/>
      <c r="JNC15" s="20"/>
      <c r="JND15" s="20"/>
      <c r="JNE15" s="20"/>
      <c r="JNF15" s="20"/>
      <c r="JNG15" s="20"/>
      <c r="JNH15" s="20"/>
      <c r="JNI15" s="20"/>
      <c r="JNJ15" s="20"/>
      <c r="JNK15" s="20"/>
      <c r="JNL15" s="20"/>
      <c r="JNM15" s="20"/>
      <c r="JNN15" s="20"/>
      <c r="JNO15" s="20"/>
      <c r="JNP15" s="20"/>
      <c r="JNQ15" s="20"/>
      <c r="JNR15" s="20"/>
      <c r="JNS15" s="20"/>
      <c r="JNT15" s="20"/>
      <c r="JNU15" s="20"/>
      <c r="JNV15" s="20"/>
      <c r="JNW15" s="20"/>
      <c r="JNX15" s="20"/>
      <c r="JNY15" s="20"/>
      <c r="JNZ15" s="20"/>
      <c r="JOA15" s="20"/>
      <c r="JOB15" s="20"/>
      <c r="JOC15" s="20"/>
      <c r="JOD15" s="20"/>
      <c r="JOE15" s="20"/>
      <c r="JOF15" s="20"/>
      <c r="JOG15" s="20"/>
      <c r="JOH15" s="20"/>
      <c r="JOI15" s="20"/>
      <c r="JOJ15" s="20"/>
      <c r="JOK15" s="20"/>
      <c r="JOL15" s="20"/>
      <c r="JOM15" s="20"/>
      <c r="JON15" s="20"/>
      <c r="JOO15" s="20"/>
      <c r="JOP15" s="20"/>
      <c r="JOQ15" s="20"/>
      <c r="JOR15" s="20"/>
      <c r="JOS15" s="20"/>
      <c r="JOT15" s="20"/>
      <c r="JOU15" s="20"/>
      <c r="JOV15" s="20"/>
      <c r="JOW15" s="20"/>
      <c r="JOX15" s="20"/>
      <c r="JOY15" s="20"/>
      <c r="JOZ15" s="20"/>
      <c r="JPA15" s="20"/>
      <c r="JPB15" s="20"/>
      <c r="JPC15" s="20"/>
      <c r="JPD15" s="20"/>
      <c r="JPE15" s="20"/>
      <c r="JPF15" s="20"/>
      <c r="JPG15" s="20"/>
      <c r="JPH15" s="20"/>
      <c r="JPI15" s="20"/>
      <c r="JPJ15" s="20"/>
      <c r="JPK15" s="20"/>
      <c r="JPL15" s="20"/>
      <c r="JPM15" s="20"/>
      <c r="JPN15" s="20"/>
      <c r="JPO15" s="20"/>
      <c r="JPP15" s="20"/>
      <c r="JPQ15" s="20"/>
      <c r="JPR15" s="20"/>
      <c r="JPS15" s="20"/>
      <c r="JPT15" s="20"/>
      <c r="JPU15" s="20"/>
      <c r="JPV15" s="20"/>
      <c r="JPW15" s="20"/>
      <c r="JPX15" s="20"/>
      <c r="JPY15" s="20"/>
      <c r="JPZ15" s="20"/>
      <c r="JQA15" s="20"/>
      <c r="JQB15" s="20"/>
      <c r="JQC15" s="20"/>
      <c r="JQD15" s="20"/>
      <c r="JQE15" s="20"/>
      <c r="JQF15" s="20"/>
      <c r="JQG15" s="20"/>
      <c r="JQH15" s="20"/>
      <c r="JQI15" s="20"/>
      <c r="JQJ15" s="20"/>
      <c r="JQK15" s="20"/>
      <c r="JQL15" s="20"/>
      <c r="JQM15" s="20"/>
      <c r="JQN15" s="20"/>
      <c r="JQO15" s="20"/>
      <c r="JQP15" s="20"/>
      <c r="JQQ15" s="20"/>
      <c r="JQR15" s="20"/>
      <c r="JQS15" s="20"/>
      <c r="JQT15" s="20"/>
      <c r="JQU15" s="20"/>
      <c r="JQV15" s="20"/>
      <c r="JQW15" s="20"/>
      <c r="JQX15" s="20"/>
      <c r="JQY15" s="20"/>
      <c r="JQZ15" s="20"/>
      <c r="JRA15" s="20"/>
      <c r="JRB15" s="20"/>
      <c r="JRC15" s="20"/>
      <c r="JRD15" s="20"/>
      <c r="JRE15" s="20"/>
      <c r="JRF15" s="20"/>
      <c r="JRG15" s="20"/>
      <c r="JRH15" s="20"/>
      <c r="JRI15" s="20"/>
      <c r="JRJ15" s="20"/>
      <c r="JRK15" s="20"/>
      <c r="JRL15" s="20"/>
      <c r="JRM15" s="20"/>
      <c r="JRN15" s="20"/>
      <c r="JRO15" s="20"/>
      <c r="JRP15" s="20"/>
      <c r="JRQ15" s="20"/>
      <c r="JRR15" s="20"/>
      <c r="JRS15" s="20"/>
      <c r="JRT15" s="20"/>
      <c r="JRU15" s="20"/>
      <c r="JRV15" s="20"/>
      <c r="JRW15" s="20"/>
      <c r="JRX15" s="20"/>
      <c r="JRY15" s="20"/>
      <c r="JRZ15" s="20"/>
      <c r="JSA15" s="20"/>
      <c r="JSB15" s="20"/>
      <c r="JSC15" s="20"/>
      <c r="JSD15" s="20"/>
      <c r="JSE15" s="20"/>
      <c r="JSF15" s="20"/>
      <c r="JSG15" s="20"/>
      <c r="JSH15" s="20"/>
      <c r="JSI15" s="20"/>
      <c r="JSJ15" s="20"/>
      <c r="JSK15" s="20"/>
      <c r="JSL15" s="20"/>
      <c r="JSM15" s="20"/>
      <c r="JSN15" s="20"/>
      <c r="JSO15" s="20"/>
      <c r="JSP15" s="20"/>
      <c r="JSQ15" s="20"/>
      <c r="JSR15" s="20"/>
      <c r="JSS15" s="20"/>
      <c r="JST15" s="20"/>
      <c r="JSU15" s="20"/>
      <c r="JSV15" s="20"/>
      <c r="JSW15" s="20"/>
      <c r="JSX15" s="20"/>
      <c r="JSY15" s="20"/>
      <c r="JSZ15" s="20"/>
      <c r="JTA15" s="20"/>
      <c r="JTB15" s="20"/>
      <c r="JTC15" s="20"/>
      <c r="JTD15" s="20"/>
      <c r="JTE15" s="20"/>
      <c r="JTF15" s="20"/>
      <c r="JTG15" s="20"/>
      <c r="JTH15" s="20"/>
      <c r="JTI15" s="20"/>
      <c r="JTJ15" s="20"/>
      <c r="JTK15" s="20"/>
      <c r="JTL15" s="20"/>
      <c r="JTM15" s="20"/>
      <c r="JTN15" s="20"/>
      <c r="JTO15" s="20"/>
      <c r="JTP15" s="20"/>
      <c r="JTQ15" s="20"/>
      <c r="JTR15" s="20"/>
      <c r="JTS15" s="20"/>
      <c r="JTT15" s="20"/>
      <c r="JTU15" s="20"/>
      <c r="JTV15" s="20"/>
      <c r="JTW15" s="20"/>
      <c r="JTX15" s="20"/>
      <c r="JTY15" s="20"/>
      <c r="JTZ15" s="20"/>
      <c r="JUA15" s="20"/>
      <c r="JUB15" s="20"/>
      <c r="JUC15" s="20"/>
      <c r="JUD15" s="20"/>
      <c r="JUE15" s="20"/>
      <c r="JUF15" s="20"/>
      <c r="JUG15" s="20"/>
      <c r="JUH15" s="20"/>
      <c r="JUI15" s="20"/>
      <c r="JUJ15" s="20"/>
      <c r="JUK15" s="20"/>
      <c r="JUL15" s="20"/>
      <c r="JUM15" s="20"/>
      <c r="JUN15" s="20"/>
      <c r="JUO15" s="20"/>
      <c r="JUP15" s="20"/>
      <c r="JUQ15" s="20"/>
      <c r="JUR15" s="20"/>
      <c r="JUS15" s="20"/>
      <c r="JUT15" s="20"/>
      <c r="JUU15" s="20"/>
      <c r="JUV15" s="20"/>
      <c r="JUW15" s="20"/>
      <c r="JUX15" s="20"/>
      <c r="JUY15" s="20"/>
      <c r="JUZ15" s="20"/>
      <c r="JVA15" s="20"/>
      <c r="JVB15" s="20"/>
      <c r="JVC15" s="20"/>
      <c r="JVD15" s="20"/>
      <c r="JVE15" s="20"/>
      <c r="JVF15" s="20"/>
      <c r="JVG15" s="20"/>
      <c r="JVH15" s="20"/>
      <c r="JVI15" s="20"/>
      <c r="JVJ15" s="20"/>
      <c r="JVK15" s="20"/>
      <c r="JVL15" s="20"/>
      <c r="JVM15" s="20"/>
      <c r="JVN15" s="20"/>
      <c r="JVO15" s="20"/>
      <c r="JVP15" s="20"/>
      <c r="JVQ15" s="20"/>
      <c r="JVR15" s="20"/>
      <c r="JVS15" s="20"/>
      <c r="JVT15" s="20"/>
      <c r="JVU15" s="20"/>
      <c r="JVV15" s="20"/>
      <c r="JVW15" s="20"/>
      <c r="JVX15" s="20"/>
      <c r="JVY15" s="20"/>
      <c r="JVZ15" s="20"/>
      <c r="JWA15" s="20"/>
      <c r="JWB15" s="20"/>
      <c r="JWC15" s="20"/>
      <c r="JWD15" s="20"/>
      <c r="JWE15" s="20"/>
      <c r="JWF15" s="20"/>
      <c r="JWG15" s="20"/>
      <c r="JWH15" s="20"/>
      <c r="JWI15" s="20"/>
      <c r="JWJ15" s="20"/>
      <c r="JWK15" s="20"/>
      <c r="JWL15" s="20"/>
      <c r="JWM15" s="20"/>
      <c r="JWN15" s="20"/>
      <c r="JWO15" s="20"/>
      <c r="JWP15" s="20"/>
      <c r="JWQ15" s="20"/>
      <c r="JWR15" s="20"/>
      <c r="JWS15" s="20"/>
      <c r="JWT15" s="20"/>
      <c r="JWU15" s="20"/>
      <c r="JWV15" s="20"/>
      <c r="JWW15" s="20"/>
      <c r="JWX15" s="20"/>
      <c r="JWY15" s="20"/>
      <c r="JWZ15" s="20"/>
      <c r="JXA15" s="20"/>
      <c r="JXB15" s="20"/>
      <c r="JXC15" s="20"/>
      <c r="JXD15" s="20"/>
      <c r="JXE15" s="20"/>
      <c r="JXF15" s="20"/>
      <c r="JXG15" s="20"/>
      <c r="JXH15" s="20"/>
      <c r="JXI15" s="20"/>
      <c r="JXJ15" s="20"/>
      <c r="JXK15" s="20"/>
      <c r="JXL15" s="20"/>
      <c r="JXM15" s="20"/>
      <c r="JXN15" s="20"/>
      <c r="JXO15" s="20"/>
      <c r="JXP15" s="20"/>
      <c r="JXQ15" s="20"/>
      <c r="JXR15" s="20"/>
      <c r="JXS15" s="20"/>
      <c r="JXT15" s="20"/>
      <c r="JXU15" s="20"/>
      <c r="JXV15" s="20"/>
      <c r="JXW15" s="20"/>
      <c r="JXX15" s="20"/>
      <c r="JXY15" s="20"/>
      <c r="JXZ15" s="20"/>
      <c r="JYA15" s="20"/>
      <c r="JYB15" s="20"/>
      <c r="JYC15" s="20"/>
      <c r="JYD15" s="20"/>
      <c r="JYE15" s="20"/>
      <c r="JYF15" s="20"/>
      <c r="JYG15" s="20"/>
      <c r="JYH15" s="20"/>
      <c r="JYI15" s="20"/>
      <c r="JYJ15" s="20"/>
      <c r="JYK15" s="20"/>
      <c r="JYL15" s="20"/>
      <c r="JYM15" s="20"/>
      <c r="JYN15" s="20"/>
      <c r="JYO15" s="20"/>
      <c r="JYP15" s="20"/>
      <c r="JYQ15" s="20"/>
      <c r="JYR15" s="20"/>
      <c r="JYS15" s="20"/>
      <c r="JYT15" s="20"/>
      <c r="JYU15" s="20"/>
      <c r="JYV15" s="20"/>
      <c r="JYW15" s="20"/>
      <c r="JYX15" s="20"/>
      <c r="JYY15" s="20"/>
      <c r="JYZ15" s="20"/>
      <c r="JZA15" s="20"/>
      <c r="JZB15" s="20"/>
      <c r="JZC15" s="20"/>
      <c r="JZD15" s="20"/>
      <c r="JZE15" s="20"/>
      <c r="JZF15" s="20"/>
      <c r="JZG15" s="20"/>
      <c r="JZH15" s="20"/>
      <c r="JZI15" s="20"/>
      <c r="JZJ15" s="20"/>
      <c r="JZK15" s="20"/>
      <c r="JZL15" s="20"/>
      <c r="JZM15" s="20"/>
      <c r="JZN15" s="20"/>
      <c r="JZO15" s="20"/>
      <c r="JZP15" s="20"/>
      <c r="JZQ15" s="20"/>
      <c r="JZR15" s="20"/>
      <c r="JZS15" s="20"/>
      <c r="JZT15" s="20"/>
      <c r="JZU15" s="20"/>
      <c r="JZV15" s="20"/>
      <c r="JZW15" s="20"/>
      <c r="JZX15" s="20"/>
      <c r="JZY15" s="20"/>
      <c r="JZZ15" s="20"/>
      <c r="KAA15" s="20"/>
      <c r="KAB15" s="20"/>
      <c r="KAC15" s="20"/>
      <c r="KAD15" s="20"/>
      <c r="KAE15" s="20"/>
      <c r="KAF15" s="20"/>
      <c r="KAG15" s="20"/>
      <c r="KAH15" s="20"/>
      <c r="KAI15" s="20"/>
      <c r="KAJ15" s="20"/>
      <c r="KAK15" s="20"/>
      <c r="KAL15" s="20"/>
      <c r="KAM15" s="20"/>
      <c r="KAN15" s="20"/>
      <c r="KAO15" s="20"/>
      <c r="KAP15" s="20"/>
      <c r="KAQ15" s="20"/>
      <c r="KAR15" s="20"/>
      <c r="KAS15" s="20"/>
      <c r="KAT15" s="20"/>
      <c r="KAU15" s="20"/>
      <c r="KAV15" s="20"/>
      <c r="KAW15" s="20"/>
      <c r="KAX15" s="20"/>
      <c r="KAY15" s="20"/>
      <c r="KAZ15" s="20"/>
      <c r="KBA15" s="20"/>
      <c r="KBB15" s="20"/>
      <c r="KBC15" s="20"/>
      <c r="KBD15" s="20"/>
      <c r="KBE15" s="20"/>
      <c r="KBF15" s="20"/>
      <c r="KBG15" s="20"/>
      <c r="KBH15" s="20"/>
      <c r="KBI15" s="20"/>
      <c r="KBJ15" s="20"/>
      <c r="KBK15" s="20"/>
      <c r="KBL15" s="20"/>
      <c r="KBM15" s="20"/>
      <c r="KBN15" s="20"/>
      <c r="KBO15" s="20"/>
      <c r="KBP15" s="20"/>
      <c r="KBQ15" s="20"/>
      <c r="KBR15" s="20"/>
      <c r="KBS15" s="20"/>
      <c r="KBT15" s="20"/>
      <c r="KBU15" s="20"/>
      <c r="KBV15" s="20"/>
      <c r="KBW15" s="20"/>
      <c r="KBX15" s="20"/>
      <c r="KBY15" s="20"/>
      <c r="KBZ15" s="20"/>
      <c r="KCA15" s="20"/>
      <c r="KCB15" s="20"/>
      <c r="KCC15" s="20"/>
      <c r="KCD15" s="20"/>
      <c r="KCE15" s="20"/>
      <c r="KCF15" s="20"/>
      <c r="KCG15" s="20"/>
      <c r="KCH15" s="20"/>
      <c r="KCI15" s="20"/>
      <c r="KCJ15" s="20"/>
      <c r="KCK15" s="20"/>
      <c r="KCL15" s="20"/>
      <c r="KCM15" s="20"/>
      <c r="KCN15" s="20"/>
      <c r="KCO15" s="20"/>
      <c r="KCP15" s="20"/>
      <c r="KCQ15" s="20"/>
      <c r="KCR15" s="20"/>
      <c r="KCS15" s="20"/>
      <c r="KCT15" s="20"/>
      <c r="KCU15" s="20"/>
      <c r="KCV15" s="20"/>
      <c r="KCW15" s="20"/>
      <c r="KCX15" s="20"/>
      <c r="KCY15" s="20"/>
      <c r="KCZ15" s="20"/>
      <c r="KDA15" s="20"/>
      <c r="KDB15" s="20"/>
      <c r="KDC15" s="20"/>
      <c r="KDD15" s="20"/>
      <c r="KDE15" s="20"/>
      <c r="KDF15" s="20"/>
      <c r="KDG15" s="20"/>
      <c r="KDH15" s="20"/>
      <c r="KDI15" s="20"/>
      <c r="KDJ15" s="20"/>
      <c r="KDK15" s="20"/>
      <c r="KDL15" s="20"/>
      <c r="KDM15" s="20"/>
      <c r="KDN15" s="20"/>
      <c r="KDO15" s="20"/>
      <c r="KDP15" s="20"/>
      <c r="KDQ15" s="20"/>
      <c r="KDR15" s="20"/>
      <c r="KDS15" s="20"/>
      <c r="KDT15" s="20"/>
      <c r="KDU15" s="20"/>
      <c r="KDV15" s="20"/>
      <c r="KDW15" s="20"/>
      <c r="KDX15" s="20"/>
      <c r="KDY15" s="20"/>
      <c r="KDZ15" s="20"/>
      <c r="KEA15" s="20"/>
      <c r="KEB15" s="20"/>
      <c r="KEC15" s="20"/>
      <c r="KED15" s="20"/>
      <c r="KEE15" s="20"/>
      <c r="KEF15" s="20"/>
      <c r="KEG15" s="20"/>
      <c r="KEH15" s="20"/>
      <c r="KEI15" s="20"/>
      <c r="KEJ15" s="20"/>
      <c r="KEK15" s="20"/>
      <c r="KEL15" s="20"/>
      <c r="KEM15" s="20"/>
      <c r="KEN15" s="20"/>
      <c r="KEO15" s="20"/>
      <c r="KEP15" s="20"/>
      <c r="KEQ15" s="20"/>
      <c r="KER15" s="20"/>
      <c r="KES15" s="20"/>
      <c r="KET15" s="20"/>
      <c r="KEU15" s="20"/>
      <c r="KEV15" s="20"/>
      <c r="KEW15" s="20"/>
      <c r="KEX15" s="20"/>
      <c r="KEY15" s="20"/>
      <c r="KEZ15" s="20"/>
      <c r="KFA15" s="20"/>
      <c r="KFB15" s="20"/>
      <c r="KFC15" s="20"/>
      <c r="KFD15" s="20"/>
      <c r="KFE15" s="20"/>
      <c r="KFF15" s="20"/>
      <c r="KFG15" s="20"/>
      <c r="KFH15" s="20"/>
      <c r="KFI15" s="20"/>
      <c r="KFJ15" s="20"/>
      <c r="KFK15" s="20"/>
      <c r="KFL15" s="20"/>
      <c r="KFM15" s="20"/>
      <c r="KFN15" s="20"/>
      <c r="KFO15" s="20"/>
      <c r="KFP15" s="20"/>
      <c r="KFQ15" s="20"/>
      <c r="KFR15" s="20"/>
      <c r="KFS15" s="20"/>
      <c r="KFT15" s="20"/>
      <c r="KFU15" s="20"/>
      <c r="KFV15" s="20"/>
      <c r="KFW15" s="20"/>
      <c r="KFX15" s="20"/>
      <c r="KFY15" s="20"/>
      <c r="KFZ15" s="20"/>
      <c r="KGA15" s="20"/>
      <c r="KGB15" s="20"/>
      <c r="KGC15" s="20"/>
      <c r="KGD15" s="20"/>
      <c r="KGE15" s="20"/>
      <c r="KGF15" s="20"/>
      <c r="KGG15" s="20"/>
      <c r="KGH15" s="20"/>
      <c r="KGI15" s="20"/>
      <c r="KGJ15" s="20"/>
      <c r="KGK15" s="20"/>
      <c r="KGL15" s="20"/>
      <c r="KGM15" s="20"/>
      <c r="KGN15" s="20"/>
      <c r="KGO15" s="20"/>
      <c r="KGP15" s="20"/>
      <c r="KGQ15" s="20"/>
      <c r="KGR15" s="20"/>
      <c r="KGS15" s="20"/>
      <c r="KGT15" s="20"/>
      <c r="KGU15" s="20"/>
      <c r="KGV15" s="20"/>
      <c r="KGW15" s="20"/>
      <c r="KGX15" s="20"/>
      <c r="KGY15" s="20"/>
      <c r="KGZ15" s="20"/>
      <c r="KHA15" s="20"/>
      <c r="KHB15" s="20"/>
      <c r="KHC15" s="20"/>
      <c r="KHD15" s="20"/>
      <c r="KHE15" s="20"/>
      <c r="KHF15" s="20"/>
      <c r="KHG15" s="20"/>
      <c r="KHH15" s="20"/>
      <c r="KHI15" s="20"/>
      <c r="KHJ15" s="20"/>
      <c r="KHK15" s="20"/>
      <c r="KHL15" s="20"/>
      <c r="KHM15" s="20"/>
      <c r="KHN15" s="20"/>
      <c r="KHO15" s="20"/>
      <c r="KHP15" s="20"/>
      <c r="KHQ15" s="20"/>
      <c r="KHR15" s="20"/>
      <c r="KHS15" s="20"/>
      <c r="KHT15" s="20"/>
      <c r="KHU15" s="20"/>
      <c r="KHV15" s="20"/>
      <c r="KHW15" s="20"/>
      <c r="KHX15" s="20"/>
      <c r="KHY15" s="20"/>
      <c r="KHZ15" s="20"/>
      <c r="KIA15" s="20"/>
      <c r="KIB15" s="20"/>
      <c r="KIC15" s="20"/>
      <c r="KID15" s="20"/>
      <c r="KIE15" s="20"/>
      <c r="KIF15" s="20"/>
      <c r="KIG15" s="20"/>
      <c r="KIH15" s="20"/>
      <c r="KII15" s="20"/>
      <c r="KIJ15" s="20"/>
      <c r="KIK15" s="20"/>
      <c r="KIL15" s="20"/>
      <c r="KIM15" s="20"/>
      <c r="KIN15" s="20"/>
      <c r="KIO15" s="20"/>
      <c r="KIP15" s="20"/>
      <c r="KIQ15" s="20"/>
      <c r="KIR15" s="20"/>
      <c r="KIS15" s="20"/>
      <c r="KIT15" s="20"/>
      <c r="KIU15" s="20"/>
      <c r="KIV15" s="20"/>
      <c r="KIW15" s="20"/>
      <c r="KIX15" s="20"/>
      <c r="KIY15" s="20"/>
      <c r="KIZ15" s="20"/>
      <c r="KJA15" s="20"/>
      <c r="KJB15" s="20"/>
      <c r="KJC15" s="20"/>
      <c r="KJD15" s="20"/>
      <c r="KJE15" s="20"/>
      <c r="KJF15" s="20"/>
      <c r="KJG15" s="20"/>
      <c r="KJH15" s="20"/>
      <c r="KJI15" s="20"/>
      <c r="KJJ15" s="20"/>
      <c r="KJK15" s="20"/>
      <c r="KJL15" s="20"/>
      <c r="KJM15" s="20"/>
      <c r="KJN15" s="20"/>
      <c r="KJO15" s="20"/>
      <c r="KJP15" s="20"/>
      <c r="KJQ15" s="20"/>
      <c r="KJR15" s="20"/>
      <c r="KJS15" s="20"/>
      <c r="KJT15" s="20"/>
      <c r="KJU15" s="20"/>
      <c r="KJV15" s="20"/>
      <c r="KJW15" s="20"/>
      <c r="KJX15" s="20"/>
      <c r="KJY15" s="20"/>
      <c r="KJZ15" s="20"/>
      <c r="KKA15" s="20"/>
      <c r="KKB15" s="20"/>
      <c r="KKC15" s="20"/>
      <c r="KKD15" s="20"/>
      <c r="KKE15" s="20"/>
      <c r="KKF15" s="20"/>
      <c r="KKG15" s="20"/>
      <c r="KKH15" s="20"/>
      <c r="KKI15" s="20"/>
      <c r="KKJ15" s="20"/>
      <c r="KKK15" s="20"/>
      <c r="KKL15" s="20"/>
      <c r="KKM15" s="20"/>
      <c r="KKN15" s="20"/>
      <c r="KKO15" s="20"/>
      <c r="KKP15" s="20"/>
      <c r="KKQ15" s="20"/>
      <c r="KKR15" s="20"/>
      <c r="KKS15" s="20"/>
      <c r="KKT15" s="20"/>
      <c r="KKU15" s="20"/>
      <c r="KKV15" s="20"/>
      <c r="KKW15" s="20"/>
      <c r="KKX15" s="20"/>
      <c r="KKY15" s="20"/>
      <c r="KKZ15" s="20"/>
      <c r="KLA15" s="20"/>
      <c r="KLB15" s="20"/>
      <c r="KLC15" s="20"/>
      <c r="KLD15" s="20"/>
      <c r="KLE15" s="20"/>
      <c r="KLF15" s="20"/>
      <c r="KLG15" s="20"/>
      <c r="KLH15" s="20"/>
      <c r="KLI15" s="20"/>
      <c r="KLJ15" s="20"/>
      <c r="KLK15" s="20"/>
      <c r="KLL15" s="20"/>
      <c r="KLM15" s="20"/>
      <c r="KLN15" s="20"/>
      <c r="KLO15" s="20"/>
      <c r="KLP15" s="20"/>
      <c r="KLQ15" s="20"/>
      <c r="KLR15" s="20"/>
      <c r="KLS15" s="20"/>
      <c r="KLT15" s="20"/>
      <c r="KLU15" s="20"/>
      <c r="KLV15" s="20"/>
      <c r="KLW15" s="20"/>
      <c r="KLX15" s="20"/>
      <c r="KLY15" s="20"/>
      <c r="KLZ15" s="20"/>
      <c r="KMA15" s="20"/>
      <c r="KMB15" s="20"/>
      <c r="KMC15" s="20"/>
      <c r="KMD15" s="20"/>
      <c r="KME15" s="20"/>
      <c r="KMF15" s="20"/>
      <c r="KMG15" s="20"/>
      <c r="KMH15" s="20"/>
      <c r="KMI15" s="20"/>
      <c r="KMJ15" s="20"/>
      <c r="KMK15" s="20"/>
      <c r="KML15" s="20"/>
      <c r="KMM15" s="20"/>
      <c r="KMN15" s="20"/>
      <c r="KMO15" s="20"/>
      <c r="KMP15" s="20"/>
      <c r="KMQ15" s="20"/>
      <c r="KMR15" s="20"/>
      <c r="KMS15" s="20"/>
      <c r="KMT15" s="20"/>
      <c r="KMU15" s="20"/>
      <c r="KMV15" s="20"/>
      <c r="KMW15" s="20"/>
      <c r="KMX15" s="20"/>
      <c r="KMY15" s="20"/>
      <c r="KMZ15" s="20"/>
      <c r="KNA15" s="20"/>
      <c r="KNB15" s="20"/>
      <c r="KNC15" s="20"/>
      <c r="KND15" s="20"/>
      <c r="KNE15" s="20"/>
      <c r="KNF15" s="20"/>
      <c r="KNG15" s="20"/>
      <c r="KNH15" s="20"/>
      <c r="KNI15" s="20"/>
      <c r="KNJ15" s="20"/>
      <c r="KNK15" s="20"/>
      <c r="KNL15" s="20"/>
      <c r="KNM15" s="20"/>
      <c r="KNN15" s="20"/>
      <c r="KNO15" s="20"/>
      <c r="KNP15" s="20"/>
      <c r="KNQ15" s="20"/>
      <c r="KNR15" s="20"/>
      <c r="KNS15" s="20"/>
      <c r="KNT15" s="20"/>
      <c r="KNU15" s="20"/>
      <c r="KNV15" s="20"/>
      <c r="KNW15" s="20"/>
      <c r="KNX15" s="20"/>
      <c r="KNY15" s="20"/>
      <c r="KNZ15" s="20"/>
      <c r="KOA15" s="20"/>
      <c r="KOB15" s="20"/>
      <c r="KOC15" s="20"/>
      <c r="KOD15" s="20"/>
      <c r="KOE15" s="20"/>
      <c r="KOF15" s="20"/>
      <c r="KOG15" s="20"/>
      <c r="KOH15" s="20"/>
      <c r="KOI15" s="20"/>
      <c r="KOJ15" s="20"/>
      <c r="KOK15" s="20"/>
      <c r="KOL15" s="20"/>
      <c r="KOM15" s="20"/>
      <c r="KON15" s="20"/>
      <c r="KOO15" s="20"/>
      <c r="KOP15" s="20"/>
      <c r="KOQ15" s="20"/>
      <c r="KOR15" s="20"/>
      <c r="KOS15" s="20"/>
      <c r="KOT15" s="20"/>
      <c r="KOU15" s="20"/>
      <c r="KOV15" s="20"/>
      <c r="KOW15" s="20"/>
      <c r="KOX15" s="20"/>
      <c r="KOY15" s="20"/>
      <c r="KOZ15" s="20"/>
      <c r="KPA15" s="20"/>
      <c r="KPB15" s="20"/>
      <c r="KPC15" s="20"/>
      <c r="KPD15" s="20"/>
      <c r="KPE15" s="20"/>
      <c r="KPF15" s="20"/>
      <c r="KPG15" s="20"/>
      <c r="KPH15" s="20"/>
      <c r="KPI15" s="20"/>
      <c r="KPJ15" s="20"/>
      <c r="KPK15" s="20"/>
      <c r="KPL15" s="20"/>
      <c r="KPM15" s="20"/>
      <c r="KPN15" s="20"/>
      <c r="KPO15" s="20"/>
      <c r="KPP15" s="20"/>
      <c r="KPQ15" s="20"/>
      <c r="KPR15" s="20"/>
      <c r="KPS15" s="20"/>
      <c r="KPT15" s="20"/>
      <c r="KPU15" s="20"/>
      <c r="KPV15" s="20"/>
      <c r="KPW15" s="20"/>
      <c r="KPX15" s="20"/>
      <c r="KPY15" s="20"/>
      <c r="KPZ15" s="20"/>
      <c r="KQA15" s="20"/>
      <c r="KQB15" s="20"/>
      <c r="KQC15" s="20"/>
      <c r="KQD15" s="20"/>
      <c r="KQE15" s="20"/>
      <c r="KQF15" s="20"/>
      <c r="KQG15" s="20"/>
      <c r="KQH15" s="20"/>
      <c r="KQI15" s="20"/>
      <c r="KQJ15" s="20"/>
      <c r="KQK15" s="20"/>
      <c r="KQL15" s="20"/>
      <c r="KQM15" s="20"/>
      <c r="KQN15" s="20"/>
      <c r="KQO15" s="20"/>
      <c r="KQP15" s="20"/>
      <c r="KQQ15" s="20"/>
      <c r="KQR15" s="20"/>
      <c r="KQS15" s="20"/>
      <c r="KQT15" s="20"/>
      <c r="KQU15" s="20"/>
      <c r="KQV15" s="20"/>
      <c r="KQW15" s="20"/>
      <c r="KQX15" s="20"/>
      <c r="KQY15" s="20"/>
      <c r="KQZ15" s="20"/>
      <c r="KRA15" s="20"/>
      <c r="KRB15" s="20"/>
      <c r="KRC15" s="20"/>
      <c r="KRD15" s="20"/>
      <c r="KRE15" s="20"/>
      <c r="KRF15" s="20"/>
      <c r="KRG15" s="20"/>
      <c r="KRH15" s="20"/>
      <c r="KRI15" s="20"/>
      <c r="KRJ15" s="20"/>
      <c r="KRK15" s="20"/>
      <c r="KRL15" s="20"/>
      <c r="KRM15" s="20"/>
      <c r="KRN15" s="20"/>
      <c r="KRO15" s="20"/>
      <c r="KRP15" s="20"/>
      <c r="KRQ15" s="20"/>
      <c r="KRR15" s="20"/>
      <c r="KRS15" s="20"/>
      <c r="KRT15" s="20"/>
      <c r="KRU15" s="20"/>
      <c r="KRV15" s="20"/>
      <c r="KRW15" s="20"/>
      <c r="KRX15" s="20"/>
      <c r="KRY15" s="20"/>
      <c r="KRZ15" s="20"/>
      <c r="KSA15" s="20"/>
      <c r="KSB15" s="20"/>
      <c r="KSC15" s="20"/>
      <c r="KSD15" s="20"/>
      <c r="KSE15" s="20"/>
      <c r="KSF15" s="20"/>
      <c r="KSG15" s="20"/>
      <c r="KSH15" s="20"/>
      <c r="KSI15" s="20"/>
      <c r="KSJ15" s="20"/>
      <c r="KSK15" s="20"/>
      <c r="KSL15" s="20"/>
      <c r="KSM15" s="20"/>
      <c r="KSN15" s="20"/>
      <c r="KSO15" s="20"/>
      <c r="KSP15" s="20"/>
      <c r="KSQ15" s="20"/>
      <c r="KSR15" s="20"/>
      <c r="KSS15" s="20"/>
      <c r="KST15" s="20"/>
      <c r="KSU15" s="20"/>
      <c r="KSV15" s="20"/>
      <c r="KSW15" s="20"/>
      <c r="KSX15" s="20"/>
      <c r="KSY15" s="20"/>
      <c r="KSZ15" s="20"/>
      <c r="KTA15" s="20"/>
      <c r="KTB15" s="20"/>
      <c r="KTC15" s="20"/>
      <c r="KTD15" s="20"/>
      <c r="KTE15" s="20"/>
      <c r="KTF15" s="20"/>
      <c r="KTG15" s="20"/>
      <c r="KTH15" s="20"/>
      <c r="KTI15" s="20"/>
      <c r="KTJ15" s="20"/>
      <c r="KTK15" s="20"/>
      <c r="KTL15" s="20"/>
      <c r="KTM15" s="20"/>
      <c r="KTN15" s="20"/>
      <c r="KTO15" s="20"/>
      <c r="KTP15" s="20"/>
      <c r="KTQ15" s="20"/>
      <c r="KTR15" s="20"/>
      <c r="KTS15" s="20"/>
      <c r="KTT15" s="20"/>
      <c r="KTU15" s="20"/>
      <c r="KTV15" s="20"/>
      <c r="KTW15" s="20"/>
      <c r="KTX15" s="20"/>
      <c r="KTY15" s="20"/>
      <c r="KTZ15" s="20"/>
      <c r="KUA15" s="20"/>
      <c r="KUB15" s="20"/>
      <c r="KUC15" s="20"/>
      <c r="KUD15" s="20"/>
      <c r="KUE15" s="20"/>
      <c r="KUF15" s="20"/>
      <c r="KUG15" s="20"/>
      <c r="KUH15" s="20"/>
      <c r="KUI15" s="20"/>
      <c r="KUJ15" s="20"/>
      <c r="KUK15" s="20"/>
      <c r="KUL15" s="20"/>
      <c r="KUM15" s="20"/>
      <c r="KUN15" s="20"/>
      <c r="KUO15" s="20"/>
      <c r="KUP15" s="20"/>
      <c r="KUQ15" s="20"/>
      <c r="KUR15" s="20"/>
      <c r="KUS15" s="20"/>
      <c r="KUT15" s="20"/>
      <c r="KUU15" s="20"/>
      <c r="KUV15" s="20"/>
      <c r="KUW15" s="20"/>
      <c r="KUX15" s="20"/>
      <c r="KUY15" s="20"/>
      <c r="KUZ15" s="20"/>
      <c r="KVA15" s="20"/>
      <c r="KVB15" s="20"/>
      <c r="KVC15" s="20"/>
      <c r="KVD15" s="20"/>
      <c r="KVE15" s="20"/>
      <c r="KVF15" s="20"/>
      <c r="KVG15" s="20"/>
      <c r="KVH15" s="20"/>
      <c r="KVI15" s="20"/>
      <c r="KVJ15" s="20"/>
      <c r="KVK15" s="20"/>
      <c r="KVL15" s="20"/>
      <c r="KVM15" s="20"/>
      <c r="KVN15" s="20"/>
      <c r="KVO15" s="20"/>
      <c r="KVP15" s="20"/>
      <c r="KVQ15" s="20"/>
      <c r="KVR15" s="20"/>
      <c r="KVS15" s="20"/>
      <c r="KVT15" s="20"/>
      <c r="KVU15" s="20"/>
      <c r="KVV15" s="20"/>
      <c r="KVW15" s="20"/>
      <c r="KVX15" s="20"/>
      <c r="KVY15" s="20"/>
      <c r="KVZ15" s="20"/>
      <c r="KWA15" s="20"/>
      <c r="KWB15" s="20"/>
      <c r="KWC15" s="20"/>
      <c r="KWD15" s="20"/>
      <c r="KWE15" s="20"/>
      <c r="KWF15" s="20"/>
      <c r="KWG15" s="20"/>
      <c r="KWH15" s="20"/>
      <c r="KWI15" s="20"/>
      <c r="KWJ15" s="20"/>
      <c r="KWK15" s="20"/>
      <c r="KWL15" s="20"/>
      <c r="KWM15" s="20"/>
      <c r="KWN15" s="20"/>
      <c r="KWO15" s="20"/>
      <c r="KWP15" s="20"/>
      <c r="KWQ15" s="20"/>
      <c r="KWR15" s="20"/>
      <c r="KWS15" s="20"/>
      <c r="KWT15" s="20"/>
      <c r="KWU15" s="20"/>
      <c r="KWV15" s="20"/>
      <c r="KWW15" s="20"/>
      <c r="KWX15" s="20"/>
      <c r="KWY15" s="20"/>
      <c r="KWZ15" s="20"/>
      <c r="KXA15" s="20"/>
      <c r="KXB15" s="20"/>
      <c r="KXC15" s="20"/>
      <c r="KXD15" s="20"/>
      <c r="KXE15" s="20"/>
      <c r="KXF15" s="20"/>
      <c r="KXG15" s="20"/>
      <c r="KXH15" s="20"/>
      <c r="KXI15" s="20"/>
      <c r="KXJ15" s="20"/>
      <c r="KXK15" s="20"/>
      <c r="KXL15" s="20"/>
      <c r="KXM15" s="20"/>
      <c r="KXN15" s="20"/>
      <c r="KXO15" s="20"/>
      <c r="KXP15" s="20"/>
      <c r="KXQ15" s="20"/>
      <c r="KXR15" s="20"/>
      <c r="KXS15" s="20"/>
      <c r="KXT15" s="20"/>
      <c r="KXU15" s="20"/>
      <c r="KXV15" s="20"/>
      <c r="KXW15" s="20"/>
      <c r="KXX15" s="20"/>
      <c r="KXY15" s="20"/>
      <c r="KXZ15" s="20"/>
      <c r="KYA15" s="20"/>
      <c r="KYB15" s="20"/>
      <c r="KYC15" s="20"/>
      <c r="KYD15" s="20"/>
      <c r="KYE15" s="20"/>
      <c r="KYF15" s="20"/>
      <c r="KYG15" s="20"/>
      <c r="KYH15" s="20"/>
      <c r="KYI15" s="20"/>
      <c r="KYJ15" s="20"/>
      <c r="KYK15" s="20"/>
      <c r="KYL15" s="20"/>
      <c r="KYM15" s="20"/>
      <c r="KYN15" s="20"/>
      <c r="KYO15" s="20"/>
      <c r="KYP15" s="20"/>
      <c r="KYQ15" s="20"/>
      <c r="KYR15" s="20"/>
      <c r="KYS15" s="20"/>
      <c r="KYT15" s="20"/>
      <c r="KYU15" s="20"/>
      <c r="KYV15" s="20"/>
      <c r="KYW15" s="20"/>
      <c r="KYX15" s="20"/>
      <c r="KYY15" s="20"/>
      <c r="KYZ15" s="20"/>
      <c r="KZA15" s="20"/>
      <c r="KZB15" s="20"/>
      <c r="KZC15" s="20"/>
      <c r="KZD15" s="20"/>
      <c r="KZE15" s="20"/>
      <c r="KZF15" s="20"/>
      <c r="KZG15" s="20"/>
      <c r="KZH15" s="20"/>
      <c r="KZI15" s="20"/>
      <c r="KZJ15" s="20"/>
      <c r="KZK15" s="20"/>
      <c r="KZL15" s="20"/>
      <c r="KZM15" s="20"/>
      <c r="KZN15" s="20"/>
      <c r="KZO15" s="20"/>
      <c r="KZP15" s="20"/>
      <c r="KZQ15" s="20"/>
      <c r="KZR15" s="20"/>
      <c r="KZS15" s="20"/>
      <c r="KZT15" s="20"/>
      <c r="KZU15" s="20"/>
      <c r="KZV15" s="20"/>
      <c r="KZW15" s="20"/>
      <c r="KZX15" s="20"/>
      <c r="KZY15" s="20"/>
      <c r="KZZ15" s="20"/>
      <c r="LAA15" s="20"/>
      <c r="LAB15" s="20"/>
      <c r="LAC15" s="20"/>
      <c r="LAD15" s="20"/>
      <c r="LAE15" s="20"/>
      <c r="LAF15" s="20"/>
      <c r="LAG15" s="20"/>
      <c r="LAH15" s="20"/>
      <c r="LAI15" s="20"/>
      <c r="LAJ15" s="20"/>
      <c r="LAK15" s="20"/>
      <c r="LAL15" s="20"/>
      <c r="LAM15" s="20"/>
      <c r="LAN15" s="20"/>
      <c r="LAO15" s="20"/>
      <c r="LAP15" s="20"/>
      <c r="LAQ15" s="20"/>
      <c r="LAR15" s="20"/>
      <c r="LAS15" s="20"/>
      <c r="LAT15" s="20"/>
      <c r="LAU15" s="20"/>
      <c r="LAV15" s="20"/>
      <c r="LAW15" s="20"/>
      <c r="LAX15" s="20"/>
      <c r="LAY15" s="20"/>
      <c r="LAZ15" s="20"/>
      <c r="LBA15" s="20"/>
      <c r="LBB15" s="20"/>
      <c r="LBC15" s="20"/>
      <c r="LBD15" s="20"/>
      <c r="LBE15" s="20"/>
      <c r="LBF15" s="20"/>
      <c r="LBG15" s="20"/>
      <c r="LBH15" s="20"/>
      <c r="LBI15" s="20"/>
      <c r="LBJ15" s="20"/>
      <c r="LBK15" s="20"/>
      <c r="LBL15" s="20"/>
      <c r="LBM15" s="20"/>
      <c r="LBN15" s="20"/>
      <c r="LBO15" s="20"/>
      <c r="LBP15" s="20"/>
      <c r="LBQ15" s="20"/>
      <c r="LBR15" s="20"/>
      <c r="LBS15" s="20"/>
      <c r="LBT15" s="20"/>
      <c r="LBU15" s="20"/>
      <c r="LBV15" s="20"/>
      <c r="LBW15" s="20"/>
      <c r="LBX15" s="20"/>
      <c r="LBY15" s="20"/>
      <c r="LBZ15" s="20"/>
      <c r="LCA15" s="20"/>
      <c r="LCB15" s="20"/>
      <c r="LCC15" s="20"/>
      <c r="LCD15" s="20"/>
      <c r="LCE15" s="20"/>
      <c r="LCF15" s="20"/>
      <c r="LCG15" s="20"/>
      <c r="LCH15" s="20"/>
      <c r="LCI15" s="20"/>
      <c r="LCJ15" s="20"/>
      <c r="LCK15" s="20"/>
      <c r="LCL15" s="20"/>
      <c r="LCM15" s="20"/>
      <c r="LCN15" s="20"/>
      <c r="LCO15" s="20"/>
      <c r="LCP15" s="20"/>
      <c r="LCQ15" s="20"/>
      <c r="LCR15" s="20"/>
      <c r="LCS15" s="20"/>
      <c r="LCT15" s="20"/>
      <c r="LCU15" s="20"/>
      <c r="LCV15" s="20"/>
      <c r="LCW15" s="20"/>
      <c r="LCX15" s="20"/>
      <c r="LCY15" s="20"/>
      <c r="LCZ15" s="20"/>
      <c r="LDA15" s="20"/>
      <c r="LDB15" s="20"/>
      <c r="LDC15" s="20"/>
      <c r="LDD15" s="20"/>
      <c r="LDE15" s="20"/>
      <c r="LDF15" s="20"/>
      <c r="LDG15" s="20"/>
      <c r="LDH15" s="20"/>
      <c r="LDI15" s="20"/>
      <c r="LDJ15" s="20"/>
      <c r="LDK15" s="20"/>
      <c r="LDL15" s="20"/>
      <c r="LDM15" s="20"/>
      <c r="LDN15" s="20"/>
      <c r="LDO15" s="20"/>
      <c r="LDP15" s="20"/>
      <c r="LDQ15" s="20"/>
      <c r="LDR15" s="20"/>
      <c r="LDS15" s="20"/>
      <c r="LDT15" s="20"/>
      <c r="LDU15" s="20"/>
      <c r="LDV15" s="20"/>
      <c r="LDW15" s="20"/>
      <c r="LDX15" s="20"/>
      <c r="LDY15" s="20"/>
      <c r="LDZ15" s="20"/>
      <c r="LEA15" s="20"/>
      <c r="LEB15" s="20"/>
      <c r="LEC15" s="20"/>
      <c r="LED15" s="20"/>
      <c r="LEE15" s="20"/>
      <c r="LEF15" s="20"/>
      <c r="LEG15" s="20"/>
      <c r="LEH15" s="20"/>
      <c r="LEI15" s="20"/>
      <c r="LEJ15" s="20"/>
      <c r="LEK15" s="20"/>
      <c r="LEL15" s="20"/>
      <c r="LEM15" s="20"/>
      <c r="LEN15" s="20"/>
      <c r="LEO15" s="20"/>
      <c r="LEP15" s="20"/>
      <c r="LEQ15" s="20"/>
      <c r="LER15" s="20"/>
      <c r="LES15" s="20"/>
      <c r="LET15" s="20"/>
      <c r="LEU15" s="20"/>
      <c r="LEV15" s="20"/>
      <c r="LEW15" s="20"/>
      <c r="LEX15" s="20"/>
      <c r="LEY15" s="20"/>
      <c r="LEZ15" s="20"/>
      <c r="LFA15" s="20"/>
      <c r="LFB15" s="20"/>
      <c r="LFC15" s="20"/>
      <c r="LFD15" s="20"/>
      <c r="LFE15" s="20"/>
      <c r="LFF15" s="20"/>
      <c r="LFG15" s="20"/>
      <c r="LFH15" s="20"/>
      <c r="LFI15" s="20"/>
      <c r="LFJ15" s="20"/>
      <c r="LFK15" s="20"/>
      <c r="LFL15" s="20"/>
      <c r="LFM15" s="20"/>
      <c r="LFN15" s="20"/>
      <c r="LFO15" s="20"/>
      <c r="LFP15" s="20"/>
      <c r="LFQ15" s="20"/>
      <c r="LFR15" s="20"/>
      <c r="LFS15" s="20"/>
      <c r="LFT15" s="20"/>
      <c r="LFU15" s="20"/>
      <c r="LFV15" s="20"/>
      <c r="LFW15" s="20"/>
      <c r="LFX15" s="20"/>
      <c r="LFY15" s="20"/>
      <c r="LFZ15" s="20"/>
      <c r="LGA15" s="20"/>
      <c r="LGB15" s="20"/>
      <c r="LGC15" s="20"/>
      <c r="LGD15" s="20"/>
      <c r="LGE15" s="20"/>
      <c r="LGF15" s="20"/>
      <c r="LGG15" s="20"/>
      <c r="LGH15" s="20"/>
      <c r="LGI15" s="20"/>
      <c r="LGJ15" s="20"/>
      <c r="LGK15" s="20"/>
      <c r="LGL15" s="20"/>
      <c r="LGM15" s="20"/>
      <c r="LGN15" s="20"/>
      <c r="LGO15" s="20"/>
      <c r="LGP15" s="20"/>
      <c r="LGQ15" s="20"/>
      <c r="LGR15" s="20"/>
      <c r="LGS15" s="20"/>
      <c r="LGT15" s="20"/>
      <c r="LGU15" s="20"/>
      <c r="LGV15" s="20"/>
      <c r="LGW15" s="20"/>
      <c r="LGX15" s="20"/>
      <c r="LGY15" s="20"/>
      <c r="LGZ15" s="20"/>
      <c r="LHA15" s="20"/>
      <c r="LHB15" s="20"/>
      <c r="LHC15" s="20"/>
      <c r="LHD15" s="20"/>
      <c r="LHE15" s="20"/>
      <c r="LHF15" s="20"/>
      <c r="LHG15" s="20"/>
      <c r="LHH15" s="20"/>
      <c r="LHI15" s="20"/>
      <c r="LHJ15" s="20"/>
      <c r="LHK15" s="20"/>
      <c r="LHL15" s="20"/>
      <c r="LHM15" s="20"/>
      <c r="LHN15" s="20"/>
      <c r="LHO15" s="20"/>
      <c r="LHP15" s="20"/>
      <c r="LHQ15" s="20"/>
      <c r="LHR15" s="20"/>
      <c r="LHS15" s="20"/>
      <c r="LHT15" s="20"/>
      <c r="LHU15" s="20"/>
      <c r="LHV15" s="20"/>
      <c r="LHW15" s="20"/>
      <c r="LHX15" s="20"/>
      <c r="LHY15" s="20"/>
      <c r="LHZ15" s="20"/>
      <c r="LIA15" s="20"/>
      <c r="LIB15" s="20"/>
      <c r="LIC15" s="20"/>
      <c r="LID15" s="20"/>
      <c r="LIE15" s="20"/>
      <c r="LIF15" s="20"/>
      <c r="LIG15" s="20"/>
      <c r="LIH15" s="20"/>
      <c r="LII15" s="20"/>
      <c r="LIJ15" s="20"/>
      <c r="LIK15" s="20"/>
      <c r="LIL15" s="20"/>
      <c r="LIM15" s="20"/>
      <c r="LIN15" s="20"/>
      <c r="LIO15" s="20"/>
      <c r="LIP15" s="20"/>
      <c r="LIQ15" s="20"/>
      <c r="LIR15" s="20"/>
      <c r="LIS15" s="20"/>
      <c r="LIT15" s="20"/>
      <c r="LIU15" s="20"/>
      <c r="LIV15" s="20"/>
      <c r="LIW15" s="20"/>
      <c r="LIX15" s="20"/>
      <c r="LIY15" s="20"/>
      <c r="LIZ15" s="20"/>
      <c r="LJA15" s="20"/>
      <c r="LJB15" s="20"/>
      <c r="LJC15" s="20"/>
      <c r="LJD15" s="20"/>
      <c r="LJE15" s="20"/>
      <c r="LJF15" s="20"/>
      <c r="LJG15" s="20"/>
      <c r="LJH15" s="20"/>
      <c r="LJI15" s="20"/>
      <c r="LJJ15" s="20"/>
      <c r="LJK15" s="20"/>
      <c r="LJL15" s="20"/>
      <c r="LJM15" s="20"/>
      <c r="LJN15" s="20"/>
      <c r="LJO15" s="20"/>
      <c r="LJP15" s="20"/>
      <c r="LJQ15" s="20"/>
      <c r="LJR15" s="20"/>
      <c r="LJS15" s="20"/>
      <c r="LJT15" s="20"/>
      <c r="LJU15" s="20"/>
      <c r="LJV15" s="20"/>
      <c r="LJW15" s="20"/>
      <c r="LJX15" s="20"/>
      <c r="LJY15" s="20"/>
      <c r="LJZ15" s="20"/>
      <c r="LKA15" s="20"/>
      <c r="LKB15" s="20"/>
      <c r="LKC15" s="20"/>
      <c r="LKD15" s="20"/>
      <c r="LKE15" s="20"/>
      <c r="LKF15" s="20"/>
      <c r="LKG15" s="20"/>
      <c r="LKH15" s="20"/>
      <c r="LKI15" s="20"/>
      <c r="LKJ15" s="20"/>
      <c r="LKK15" s="20"/>
      <c r="LKL15" s="20"/>
      <c r="LKM15" s="20"/>
      <c r="LKN15" s="20"/>
      <c r="LKO15" s="20"/>
      <c r="LKP15" s="20"/>
      <c r="LKQ15" s="20"/>
      <c r="LKR15" s="20"/>
      <c r="LKS15" s="20"/>
      <c r="LKT15" s="20"/>
      <c r="LKU15" s="20"/>
      <c r="LKV15" s="20"/>
      <c r="LKW15" s="20"/>
      <c r="LKX15" s="20"/>
      <c r="LKY15" s="20"/>
      <c r="LKZ15" s="20"/>
      <c r="LLA15" s="20"/>
      <c r="LLB15" s="20"/>
      <c r="LLC15" s="20"/>
      <c r="LLD15" s="20"/>
      <c r="LLE15" s="20"/>
      <c r="LLF15" s="20"/>
      <c r="LLG15" s="20"/>
      <c r="LLH15" s="20"/>
      <c r="LLI15" s="20"/>
      <c r="LLJ15" s="20"/>
      <c r="LLK15" s="20"/>
      <c r="LLL15" s="20"/>
      <c r="LLM15" s="20"/>
      <c r="LLN15" s="20"/>
      <c r="LLO15" s="20"/>
      <c r="LLP15" s="20"/>
      <c r="LLQ15" s="20"/>
      <c r="LLR15" s="20"/>
      <c r="LLS15" s="20"/>
      <c r="LLT15" s="20"/>
      <c r="LLU15" s="20"/>
      <c r="LLV15" s="20"/>
      <c r="LLW15" s="20"/>
      <c r="LLX15" s="20"/>
      <c r="LLY15" s="20"/>
      <c r="LLZ15" s="20"/>
      <c r="LMA15" s="20"/>
      <c r="LMB15" s="20"/>
      <c r="LMC15" s="20"/>
      <c r="LMD15" s="20"/>
      <c r="LME15" s="20"/>
      <c r="LMF15" s="20"/>
      <c r="LMG15" s="20"/>
      <c r="LMH15" s="20"/>
      <c r="LMI15" s="20"/>
      <c r="LMJ15" s="20"/>
      <c r="LMK15" s="20"/>
      <c r="LML15" s="20"/>
      <c r="LMM15" s="20"/>
      <c r="LMN15" s="20"/>
      <c r="LMO15" s="20"/>
      <c r="LMP15" s="20"/>
      <c r="LMQ15" s="20"/>
      <c r="LMR15" s="20"/>
      <c r="LMS15" s="20"/>
      <c r="LMT15" s="20"/>
      <c r="LMU15" s="20"/>
      <c r="LMV15" s="20"/>
      <c r="LMW15" s="20"/>
      <c r="LMX15" s="20"/>
      <c r="LMY15" s="20"/>
      <c r="LMZ15" s="20"/>
      <c r="LNA15" s="20"/>
      <c r="LNB15" s="20"/>
      <c r="LNC15" s="20"/>
      <c r="LND15" s="20"/>
      <c r="LNE15" s="20"/>
      <c r="LNF15" s="20"/>
      <c r="LNG15" s="20"/>
      <c r="LNH15" s="20"/>
      <c r="LNI15" s="20"/>
      <c r="LNJ15" s="20"/>
      <c r="LNK15" s="20"/>
      <c r="LNL15" s="20"/>
      <c r="LNM15" s="20"/>
      <c r="LNN15" s="20"/>
      <c r="LNO15" s="20"/>
      <c r="LNP15" s="20"/>
      <c r="LNQ15" s="20"/>
      <c r="LNR15" s="20"/>
      <c r="LNS15" s="20"/>
      <c r="LNT15" s="20"/>
      <c r="LNU15" s="20"/>
      <c r="LNV15" s="20"/>
      <c r="LNW15" s="20"/>
      <c r="LNX15" s="20"/>
      <c r="LNY15" s="20"/>
      <c r="LNZ15" s="20"/>
      <c r="LOA15" s="20"/>
      <c r="LOB15" s="20"/>
      <c r="LOC15" s="20"/>
      <c r="LOD15" s="20"/>
      <c r="LOE15" s="20"/>
      <c r="LOF15" s="20"/>
      <c r="LOG15" s="20"/>
      <c r="LOH15" s="20"/>
      <c r="LOI15" s="20"/>
      <c r="LOJ15" s="20"/>
      <c r="LOK15" s="20"/>
      <c r="LOL15" s="20"/>
      <c r="LOM15" s="20"/>
      <c r="LON15" s="20"/>
      <c r="LOO15" s="20"/>
      <c r="LOP15" s="20"/>
      <c r="LOQ15" s="20"/>
      <c r="LOR15" s="20"/>
      <c r="LOS15" s="20"/>
      <c r="LOT15" s="20"/>
      <c r="LOU15" s="20"/>
      <c r="LOV15" s="20"/>
      <c r="LOW15" s="20"/>
      <c r="LOX15" s="20"/>
      <c r="LOY15" s="20"/>
      <c r="LOZ15" s="20"/>
      <c r="LPA15" s="20"/>
      <c r="LPB15" s="20"/>
      <c r="LPC15" s="20"/>
      <c r="LPD15" s="20"/>
      <c r="LPE15" s="20"/>
      <c r="LPF15" s="20"/>
      <c r="LPG15" s="20"/>
      <c r="LPH15" s="20"/>
      <c r="LPI15" s="20"/>
      <c r="LPJ15" s="20"/>
      <c r="LPK15" s="20"/>
      <c r="LPL15" s="20"/>
      <c r="LPM15" s="20"/>
      <c r="LPN15" s="20"/>
      <c r="LPO15" s="20"/>
      <c r="LPP15" s="20"/>
      <c r="LPQ15" s="20"/>
      <c r="LPR15" s="20"/>
      <c r="LPS15" s="20"/>
      <c r="LPT15" s="20"/>
      <c r="LPU15" s="20"/>
      <c r="LPV15" s="20"/>
      <c r="LPW15" s="20"/>
      <c r="LPX15" s="20"/>
      <c r="LPY15" s="20"/>
      <c r="LPZ15" s="20"/>
      <c r="LQA15" s="20"/>
      <c r="LQB15" s="20"/>
      <c r="LQC15" s="20"/>
      <c r="LQD15" s="20"/>
      <c r="LQE15" s="20"/>
      <c r="LQF15" s="20"/>
      <c r="LQG15" s="20"/>
      <c r="LQH15" s="20"/>
      <c r="LQI15" s="20"/>
      <c r="LQJ15" s="20"/>
      <c r="LQK15" s="20"/>
      <c r="LQL15" s="20"/>
      <c r="LQM15" s="20"/>
      <c r="LQN15" s="20"/>
      <c r="LQO15" s="20"/>
      <c r="LQP15" s="20"/>
      <c r="LQQ15" s="20"/>
      <c r="LQR15" s="20"/>
      <c r="LQS15" s="20"/>
      <c r="LQT15" s="20"/>
      <c r="LQU15" s="20"/>
      <c r="LQV15" s="20"/>
      <c r="LQW15" s="20"/>
      <c r="LQX15" s="20"/>
      <c r="LQY15" s="20"/>
      <c r="LQZ15" s="20"/>
      <c r="LRA15" s="20"/>
      <c r="LRB15" s="20"/>
      <c r="LRC15" s="20"/>
      <c r="LRD15" s="20"/>
      <c r="LRE15" s="20"/>
      <c r="LRF15" s="20"/>
      <c r="LRG15" s="20"/>
      <c r="LRH15" s="20"/>
      <c r="LRI15" s="20"/>
      <c r="LRJ15" s="20"/>
      <c r="LRK15" s="20"/>
      <c r="LRL15" s="20"/>
      <c r="LRM15" s="20"/>
      <c r="LRN15" s="20"/>
      <c r="LRO15" s="20"/>
      <c r="LRP15" s="20"/>
      <c r="LRQ15" s="20"/>
      <c r="LRR15" s="20"/>
      <c r="LRS15" s="20"/>
      <c r="LRT15" s="20"/>
      <c r="LRU15" s="20"/>
      <c r="LRV15" s="20"/>
      <c r="LRW15" s="20"/>
      <c r="LRX15" s="20"/>
      <c r="LRY15" s="20"/>
      <c r="LRZ15" s="20"/>
      <c r="LSA15" s="20"/>
      <c r="LSB15" s="20"/>
      <c r="LSC15" s="20"/>
      <c r="LSD15" s="20"/>
      <c r="LSE15" s="20"/>
      <c r="LSF15" s="20"/>
      <c r="LSG15" s="20"/>
      <c r="LSH15" s="20"/>
      <c r="LSI15" s="20"/>
      <c r="LSJ15" s="20"/>
      <c r="LSK15" s="20"/>
      <c r="LSL15" s="20"/>
      <c r="LSM15" s="20"/>
      <c r="LSN15" s="20"/>
      <c r="LSO15" s="20"/>
      <c r="LSP15" s="20"/>
      <c r="LSQ15" s="20"/>
      <c r="LSR15" s="20"/>
      <c r="LSS15" s="20"/>
      <c r="LST15" s="20"/>
      <c r="LSU15" s="20"/>
      <c r="LSV15" s="20"/>
      <c r="LSW15" s="20"/>
      <c r="LSX15" s="20"/>
      <c r="LSY15" s="20"/>
      <c r="LSZ15" s="20"/>
      <c r="LTA15" s="20"/>
      <c r="LTB15" s="20"/>
      <c r="LTC15" s="20"/>
      <c r="LTD15" s="20"/>
      <c r="LTE15" s="20"/>
      <c r="LTF15" s="20"/>
      <c r="LTG15" s="20"/>
      <c r="LTH15" s="20"/>
      <c r="LTI15" s="20"/>
      <c r="LTJ15" s="20"/>
      <c r="LTK15" s="20"/>
      <c r="LTL15" s="20"/>
      <c r="LTM15" s="20"/>
      <c r="LTN15" s="20"/>
      <c r="LTO15" s="20"/>
      <c r="LTP15" s="20"/>
      <c r="LTQ15" s="20"/>
      <c r="LTR15" s="20"/>
      <c r="LTS15" s="20"/>
      <c r="LTT15" s="20"/>
      <c r="LTU15" s="20"/>
      <c r="LTV15" s="20"/>
      <c r="LTW15" s="20"/>
      <c r="LTX15" s="20"/>
      <c r="LTY15" s="20"/>
      <c r="LTZ15" s="20"/>
      <c r="LUA15" s="20"/>
      <c r="LUB15" s="20"/>
      <c r="LUC15" s="20"/>
      <c r="LUD15" s="20"/>
      <c r="LUE15" s="20"/>
      <c r="LUF15" s="20"/>
      <c r="LUG15" s="20"/>
      <c r="LUH15" s="20"/>
      <c r="LUI15" s="20"/>
      <c r="LUJ15" s="20"/>
      <c r="LUK15" s="20"/>
      <c r="LUL15" s="20"/>
      <c r="LUM15" s="20"/>
      <c r="LUN15" s="20"/>
      <c r="LUO15" s="20"/>
      <c r="LUP15" s="20"/>
      <c r="LUQ15" s="20"/>
      <c r="LUR15" s="20"/>
      <c r="LUS15" s="20"/>
      <c r="LUT15" s="20"/>
      <c r="LUU15" s="20"/>
      <c r="LUV15" s="20"/>
      <c r="LUW15" s="20"/>
      <c r="LUX15" s="20"/>
      <c r="LUY15" s="20"/>
      <c r="LUZ15" s="20"/>
      <c r="LVA15" s="20"/>
      <c r="LVB15" s="20"/>
      <c r="LVC15" s="20"/>
      <c r="LVD15" s="20"/>
      <c r="LVE15" s="20"/>
      <c r="LVF15" s="20"/>
      <c r="LVG15" s="20"/>
      <c r="LVH15" s="20"/>
      <c r="LVI15" s="20"/>
      <c r="LVJ15" s="20"/>
      <c r="LVK15" s="20"/>
      <c r="LVL15" s="20"/>
      <c r="LVM15" s="20"/>
      <c r="LVN15" s="20"/>
      <c r="LVO15" s="20"/>
      <c r="LVP15" s="20"/>
      <c r="LVQ15" s="20"/>
      <c r="LVR15" s="20"/>
      <c r="LVS15" s="20"/>
      <c r="LVT15" s="20"/>
      <c r="LVU15" s="20"/>
      <c r="LVV15" s="20"/>
      <c r="LVW15" s="20"/>
      <c r="LVX15" s="20"/>
      <c r="LVY15" s="20"/>
      <c r="LVZ15" s="20"/>
      <c r="LWA15" s="20"/>
      <c r="LWB15" s="20"/>
      <c r="LWC15" s="20"/>
      <c r="LWD15" s="20"/>
      <c r="LWE15" s="20"/>
      <c r="LWF15" s="20"/>
      <c r="LWG15" s="20"/>
      <c r="LWH15" s="20"/>
      <c r="LWI15" s="20"/>
      <c r="LWJ15" s="20"/>
      <c r="LWK15" s="20"/>
      <c r="LWL15" s="20"/>
      <c r="LWM15" s="20"/>
      <c r="LWN15" s="20"/>
      <c r="LWO15" s="20"/>
      <c r="LWP15" s="20"/>
      <c r="LWQ15" s="20"/>
      <c r="LWR15" s="20"/>
      <c r="LWS15" s="20"/>
      <c r="LWT15" s="20"/>
      <c r="LWU15" s="20"/>
      <c r="LWV15" s="20"/>
      <c r="LWW15" s="20"/>
      <c r="LWX15" s="20"/>
      <c r="LWY15" s="20"/>
      <c r="LWZ15" s="20"/>
      <c r="LXA15" s="20"/>
      <c r="LXB15" s="20"/>
      <c r="LXC15" s="20"/>
      <c r="LXD15" s="20"/>
      <c r="LXE15" s="20"/>
      <c r="LXF15" s="20"/>
      <c r="LXG15" s="20"/>
      <c r="LXH15" s="20"/>
      <c r="LXI15" s="20"/>
      <c r="LXJ15" s="20"/>
      <c r="LXK15" s="20"/>
      <c r="LXL15" s="20"/>
      <c r="LXM15" s="20"/>
      <c r="LXN15" s="20"/>
      <c r="LXO15" s="20"/>
      <c r="LXP15" s="20"/>
      <c r="LXQ15" s="20"/>
      <c r="LXR15" s="20"/>
      <c r="LXS15" s="20"/>
      <c r="LXT15" s="20"/>
      <c r="LXU15" s="20"/>
      <c r="LXV15" s="20"/>
      <c r="LXW15" s="20"/>
      <c r="LXX15" s="20"/>
      <c r="LXY15" s="20"/>
      <c r="LXZ15" s="20"/>
      <c r="LYA15" s="20"/>
      <c r="LYB15" s="20"/>
      <c r="LYC15" s="20"/>
      <c r="LYD15" s="20"/>
      <c r="LYE15" s="20"/>
      <c r="LYF15" s="20"/>
      <c r="LYG15" s="20"/>
      <c r="LYH15" s="20"/>
      <c r="LYI15" s="20"/>
      <c r="LYJ15" s="20"/>
      <c r="LYK15" s="20"/>
      <c r="LYL15" s="20"/>
      <c r="LYM15" s="20"/>
      <c r="LYN15" s="20"/>
      <c r="LYO15" s="20"/>
      <c r="LYP15" s="20"/>
      <c r="LYQ15" s="20"/>
      <c r="LYR15" s="20"/>
      <c r="LYS15" s="20"/>
      <c r="LYT15" s="20"/>
      <c r="LYU15" s="20"/>
      <c r="LYV15" s="20"/>
      <c r="LYW15" s="20"/>
      <c r="LYX15" s="20"/>
      <c r="LYY15" s="20"/>
      <c r="LYZ15" s="20"/>
      <c r="LZA15" s="20"/>
      <c r="LZB15" s="20"/>
      <c r="LZC15" s="20"/>
      <c r="LZD15" s="20"/>
      <c r="LZE15" s="20"/>
      <c r="LZF15" s="20"/>
      <c r="LZG15" s="20"/>
      <c r="LZH15" s="20"/>
      <c r="LZI15" s="20"/>
      <c r="LZJ15" s="20"/>
      <c r="LZK15" s="20"/>
      <c r="LZL15" s="20"/>
      <c r="LZM15" s="20"/>
      <c r="LZN15" s="20"/>
      <c r="LZO15" s="20"/>
      <c r="LZP15" s="20"/>
      <c r="LZQ15" s="20"/>
      <c r="LZR15" s="20"/>
      <c r="LZS15" s="20"/>
      <c r="LZT15" s="20"/>
      <c r="LZU15" s="20"/>
      <c r="LZV15" s="20"/>
      <c r="LZW15" s="20"/>
      <c r="LZX15" s="20"/>
      <c r="LZY15" s="20"/>
      <c r="LZZ15" s="20"/>
      <c r="MAA15" s="20"/>
      <c r="MAB15" s="20"/>
      <c r="MAC15" s="20"/>
      <c r="MAD15" s="20"/>
      <c r="MAE15" s="20"/>
      <c r="MAF15" s="20"/>
      <c r="MAG15" s="20"/>
      <c r="MAH15" s="20"/>
      <c r="MAI15" s="20"/>
      <c r="MAJ15" s="20"/>
      <c r="MAK15" s="20"/>
      <c r="MAL15" s="20"/>
      <c r="MAM15" s="20"/>
      <c r="MAN15" s="20"/>
      <c r="MAO15" s="20"/>
      <c r="MAP15" s="20"/>
      <c r="MAQ15" s="20"/>
      <c r="MAR15" s="20"/>
      <c r="MAS15" s="20"/>
      <c r="MAT15" s="20"/>
      <c r="MAU15" s="20"/>
      <c r="MAV15" s="20"/>
      <c r="MAW15" s="20"/>
      <c r="MAX15" s="20"/>
      <c r="MAY15" s="20"/>
      <c r="MAZ15" s="20"/>
      <c r="MBA15" s="20"/>
      <c r="MBB15" s="20"/>
      <c r="MBC15" s="20"/>
      <c r="MBD15" s="20"/>
      <c r="MBE15" s="20"/>
      <c r="MBF15" s="20"/>
      <c r="MBG15" s="20"/>
      <c r="MBH15" s="20"/>
      <c r="MBI15" s="20"/>
      <c r="MBJ15" s="20"/>
      <c r="MBK15" s="20"/>
      <c r="MBL15" s="20"/>
      <c r="MBM15" s="20"/>
      <c r="MBN15" s="20"/>
      <c r="MBO15" s="20"/>
      <c r="MBP15" s="20"/>
      <c r="MBQ15" s="20"/>
      <c r="MBR15" s="20"/>
      <c r="MBS15" s="20"/>
      <c r="MBT15" s="20"/>
      <c r="MBU15" s="20"/>
      <c r="MBV15" s="20"/>
      <c r="MBW15" s="20"/>
      <c r="MBX15" s="20"/>
      <c r="MBY15" s="20"/>
      <c r="MBZ15" s="20"/>
      <c r="MCA15" s="20"/>
      <c r="MCB15" s="20"/>
      <c r="MCC15" s="20"/>
      <c r="MCD15" s="20"/>
      <c r="MCE15" s="20"/>
      <c r="MCF15" s="20"/>
      <c r="MCG15" s="20"/>
      <c r="MCH15" s="20"/>
      <c r="MCI15" s="20"/>
      <c r="MCJ15" s="20"/>
      <c r="MCK15" s="20"/>
      <c r="MCL15" s="20"/>
      <c r="MCM15" s="20"/>
      <c r="MCN15" s="20"/>
      <c r="MCO15" s="20"/>
      <c r="MCP15" s="20"/>
      <c r="MCQ15" s="20"/>
      <c r="MCR15" s="20"/>
      <c r="MCS15" s="20"/>
      <c r="MCT15" s="20"/>
      <c r="MCU15" s="20"/>
      <c r="MCV15" s="20"/>
      <c r="MCW15" s="20"/>
      <c r="MCX15" s="20"/>
      <c r="MCY15" s="20"/>
      <c r="MCZ15" s="20"/>
      <c r="MDA15" s="20"/>
      <c r="MDB15" s="20"/>
      <c r="MDC15" s="20"/>
      <c r="MDD15" s="20"/>
      <c r="MDE15" s="20"/>
      <c r="MDF15" s="20"/>
      <c r="MDG15" s="20"/>
      <c r="MDH15" s="20"/>
      <c r="MDI15" s="20"/>
      <c r="MDJ15" s="20"/>
      <c r="MDK15" s="20"/>
      <c r="MDL15" s="20"/>
      <c r="MDM15" s="20"/>
      <c r="MDN15" s="20"/>
      <c r="MDO15" s="20"/>
      <c r="MDP15" s="20"/>
      <c r="MDQ15" s="20"/>
      <c r="MDR15" s="20"/>
      <c r="MDS15" s="20"/>
      <c r="MDT15" s="20"/>
      <c r="MDU15" s="20"/>
      <c r="MDV15" s="20"/>
      <c r="MDW15" s="20"/>
      <c r="MDX15" s="20"/>
      <c r="MDY15" s="20"/>
      <c r="MDZ15" s="20"/>
      <c r="MEA15" s="20"/>
      <c r="MEB15" s="20"/>
      <c r="MEC15" s="20"/>
      <c r="MED15" s="20"/>
      <c r="MEE15" s="20"/>
      <c r="MEF15" s="20"/>
      <c r="MEG15" s="20"/>
      <c r="MEH15" s="20"/>
      <c r="MEI15" s="20"/>
      <c r="MEJ15" s="20"/>
      <c r="MEK15" s="20"/>
      <c r="MEL15" s="20"/>
      <c r="MEM15" s="20"/>
      <c r="MEN15" s="20"/>
      <c r="MEO15" s="20"/>
      <c r="MEP15" s="20"/>
      <c r="MEQ15" s="20"/>
      <c r="MER15" s="20"/>
      <c r="MES15" s="20"/>
      <c r="MET15" s="20"/>
      <c r="MEU15" s="20"/>
      <c r="MEV15" s="20"/>
      <c r="MEW15" s="20"/>
      <c r="MEX15" s="20"/>
      <c r="MEY15" s="20"/>
      <c r="MEZ15" s="20"/>
      <c r="MFA15" s="20"/>
      <c r="MFB15" s="20"/>
      <c r="MFC15" s="20"/>
      <c r="MFD15" s="20"/>
      <c r="MFE15" s="20"/>
      <c r="MFF15" s="20"/>
      <c r="MFG15" s="20"/>
      <c r="MFH15" s="20"/>
      <c r="MFI15" s="20"/>
      <c r="MFJ15" s="20"/>
      <c r="MFK15" s="20"/>
      <c r="MFL15" s="20"/>
      <c r="MFM15" s="20"/>
      <c r="MFN15" s="20"/>
      <c r="MFO15" s="20"/>
      <c r="MFP15" s="20"/>
      <c r="MFQ15" s="20"/>
      <c r="MFR15" s="20"/>
      <c r="MFS15" s="20"/>
      <c r="MFT15" s="20"/>
      <c r="MFU15" s="20"/>
      <c r="MFV15" s="20"/>
      <c r="MFW15" s="20"/>
      <c r="MFX15" s="20"/>
      <c r="MFY15" s="20"/>
      <c r="MFZ15" s="20"/>
      <c r="MGA15" s="20"/>
      <c r="MGB15" s="20"/>
      <c r="MGC15" s="20"/>
      <c r="MGD15" s="20"/>
      <c r="MGE15" s="20"/>
      <c r="MGF15" s="20"/>
      <c r="MGG15" s="20"/>
      <c r="MGH15" s="20"/>
      <c r="MGI15" s="20"/>
      <c r="MGJ15" s="20"/>
      <c r="MGK15" s="20"/>
      <c r="MGL15" s="20"/>
      <c r="MGM15" s="20"/>
      <c r="MGN15" s="20"/>
      <c r="MGO15" s="20"/>
      <c r="MGP15" s="20"/>
      <c r="MGQ15" s="20"/>
      <c r="MGR15" s="20"/>
      <c r="MGS15" s="20"/>
      <c r="MGT15" s="20"/>
      <c r="MGU15" s="20"/>
      <c r="MGV15" s="20"/>
      <c r="MGW15" s="20"/>
      <c r="MGX15" s="20"/>
      <c r="MGY15" s="20"/>
      <c r="MGZ15" s="20"/>
      <c r="MHA15" s="20"/>
      <c r="MHB15" s="20"/>
      <c r="MHC15" s="20"/>
      <c r="MHD15" s="20"/>
      <c r="MHE15" s="20"/>
      <c r="MHF15" s="20"/>
      <c r="MHG15" s="20"/>
      <c r="MHH15" s="20"/>
      <c r="MHI15" s="20"/>
      <c r="MHJ15" s="20"/>
      <c r="MHK15" s="20"/>
      <c r="MHL15" s="20"/>
      <c r="MHM15" s="20"/>
      <c r="MHN15" s="20"/>
      <c r="MHO15" s="20"/>
      <c r="MHP15" s="20"/>
      <c r="MHQ15" s="20"/>
      <c r="MHR15" s="20"/>
      <c r="MHS15" s="20"/>
      <c r="MHT15" s="20"/>
      <c r="MHU15" s="20"/>
      <c r="MHV15" s="20"/>
      <c r="MHW15" s="20"/>
      <c r="MHX15" s="20"/>
      <c r="MHY15" s="20"/>
      <c r="MHZ15" s="20"/>
      <c r="MIA15" s="20"/>
      <c r="MIB15" s="20"/>
      <c r="MIC15" s="20"/>
      <c r="MID15" s="20"/>
      <c r="MIE15" s="20"/>
      <c r="MIF15" s="20"/>
      <c r="MIG15" s="20"/>
      <c r="MIH15" s="20"/>
      <c r="MII15" s="20"/>
      <c r="MIJ15" s="20"/>
      <c r="MIK15" s="20"/>
      <c r="MIL15" s="20"/>
      <c r="MIM15" s="20"/>
      <c r="MIN15" s="20"/>
      <c r="MIO15" s="20"/>
      <c r="MIP15" s="20"/>
      <c r="MIQ15" s="20"/>
      <c r="MIR15" s="20"/>
      <c r="MIS15" s="20"/>
      <c r="MIT15" s="20"/>
      <c r="MIU15" s="20"/>
      <c r="MIV15" s="20"/>
      <c r="MIW15" s="20"/>
      <c r="MIX15" s="20"/>
      <c r="MIY15" s="20"/>
      <c r="MIZ15" s="20"/>
      <c r="MJA15" s="20"/>
      <c r="MJB15" s="20"/>
      <c r="MJC15" s="20"/>
      <c r="MJD15" s="20"/>
      <c r="MJE15" s="20"/>
      <c r="MJF15" s="20"/>
      <c r="MJG15" s="20"/>
      <c r="MJH15" s="20"/>
      <c r="MJI15" s="20"/>
      <c r="MJJ15" s="20"/>
      <c r="MJK15" s="20"/>
      <c r="MJL15" s="20"/>
      <c r="MJM15" s="20"/>
      <c r="MJN15" s="20"/>
      <c r="MJO15" s="20"/>
      <c r="MJP15" s="20"/>
      <c r="MJQ15" s="20"/>
      <c r="MJR15" s="20"/>
      <c r="MJS15" s="20"/>
      <c r="MJT15" s="20"/>
      <c r="MJU15" s="20"/>
      <c r="MJV15" s="20"/>
      <c r="MJW15" s="20"/>
      <c r="MJX15" s="20"/>
      <c r="MJY15" s="20"/>
      <c r="MJZ15" s="20"/>
      <c r="MKA15" s="20"/>
      <c r="MKB15" s="20"/>
      <c r="MKC15" s="20"/>
      <c r="MKD15" s="20"/>
      <c r="MKE15" s="20"/>
      <c r="MKF15" s="20"/>
      <c r="MKG15" s="20"/>
      <c r="MKH15" s="20"/>
      <c r="MKI15" s="20"/>
      <c r="MKJ15" s="20"/>
      <c r="MKK15" s="20"/>
      <c r="MKL15" s="20"/>
      <c r="MKM15" s="20"/>
      <c r="MKN15" s="20"/>
      <c r="MKO15" s="20"/>
      <c r="MKP15" s="20"/>
      <c r="MKQ15" s="20"/>
      <c r="MKR15" s="20"/>
      <c r="MKS15" s="20"/>
      <c r="MKT15" s="20"/>
      <c r="MKU15" s="20"/>
      <c r="MKV15" s="20"/>
      <c r="MKW15" s="20"/>
      <c r="MKX15" s="20"/>
      <c r="MKY15" s="20"/>
      <c r="MKZ15" s="20"/>
      <c r="MLA15" s="20"/>
      <c r="MLB15" s="20"/>
      <c r="MLC15" s="20"/>
      <c r="MLD15" s="20"/>
      <c r="MLE15" s="20"/>
      <c r="MLF15" s="20"/>
      <c r="MLG15" s="20"/>
      <c r="MLH15" s="20"/>
      <c r="MLI15" s="20"/>
      <c r="MLJ15" s="20"/>
      <c r="MLK15" s="20"/>
      <c r="MLL15" s="20"/>
      <c r="MLM15" s="20"/>
      <c r="MLN15" s="20"/>
      <c r="MLO15" s="20"/>
      <c r="MLP15" s="20"/>
      <c r="MLQ15" s="20"/>
      <c r="MLR15" s="20"/>
      <c r="MLS15" s="20"/>
      <c r="MLT15" s="20"/>
      <c r="MLU15" s="20"/>
      <c r="MLV15" s="20"/>
      <c r="MLW15" s="20"/>
      <c r="MLX15" s="20"/>
      <c r="MLY15" s="20"/>
      <c r="MLZ15" s="20"/>
      <c r="MMA15" s="20"/>
      <c r="MMB15" s="20"/>
      <c r="MMC15" s="20"/>
      <c r="MMD15" s="20"/>
      <c r="MME15" s="20"/>
      <c r="MMF15" s="20"/>
      <c r="MMG15" s="20"/>
      <c r="MMH15" s="20"/>
      <c r="MMI15" s="20"/>
      <c r="MMJ15" s="20"/>
      <c r="MMK15" s="20"/>
      <c r="MML15" s="20"/>
      <c r="MMM15" s="20"/>
      <c r="MMN15" s="20"/>
      <c r="MMO15" s="20"/>
      <c r="MMP15" s="20"/>
      <c r="MMQ15" s="20"/>
      <c r="MMR15" s="20"/>
      <c r="MMS15" s="20"/>
      <c r="MMT15" s="20"/>
      <c r="MMU15" s="20"/>
      <c r="MMV15" s="20"/>
      <c r="MMW15" s="20"/>
      <c r="MMX15" s="20"/>
      <c r="MMY15" s="20"/>
      <c r="MMZ15" s="20"/>
      <c r="MNA15" s="20"/>
      <c r="MNB15" s="20"/>
      <c r="MNC15" s="20"/>
      <c r="MND15" s="20"/>
      <c r="MNE15" s="20"/>
      <c r="MNF15" s="20"/>
      <c r="MNG15" s="20"/>
      <c r="MNH15" s="20"/>
      <c r="MNI15" s="20"/>
      <c r="MNJ15" s="20"/>
      <c r="MNK15" s="20"/>
      <c r="MNL15" s="20"/>
      <c r="MNM15" s="20"/>
      <c r="MNN15" s="20"/>
      <c r="MNO15" s="20"/>
      <c r="MNP15" s="20"/>
      <c r="MNQ15" s="20"/>
      <c r="MNR15" s="20"/>
      <c r="MNS15" s="20"/>
      <c r="MNT15" s="20"/>
      <c r="MNU15" s="20"/>
      <c r="MNV15" s="20"/>
      <c r="MNW15" s="20"/>
      <c r="MNX15" s="20"/>
      <c r="MNY15" s="20"/>
      <c r="MNZ15" s="20"/>
      <c r="MOA15" s="20"/>
      <c r="MOB15" s="20"/>
      <c r="MOC15" s="20"/>
      <c r="MOD15" s="20"/>
      <c r="MOE15" s="20"/>
      <c r="MOF15" s="20"/>
      <c r="MOG15" s="20"/>
      <c r="MOH15" s="20"/>
      <c r="MOI15" s="20"/>
      <c r="MOJ15" s="20"/>
      <c r="MOK15" s="20"/>
      <c r="MOL15" s="20"/>
      <c r="MOM15" s="20"/>
      <c r="MON15" s="20"/>
      <c r="MOO15" s="20"/>
      <c r="MOP15" s="20"/>
      <c r="MOQ15" s="20"/>
      <c r="MOR15" s="20"/>
      <c r="MOS15" s="20"/>
      <c r="MOT15" s="20"/>
      <c r="MOU15" s="20"/>
      <c r="MOV15" s="20"/>
      <c r="MOW15" s="20"/>
      <c r="MOX15" s="20"/>
      <c r="MOY15" s="20"/>
      <c r="MOZ15" s="20"/>
      <c r="MPA15" s="20"/>
      <c r="MPB15" s="20"/>
      <c r="MPC15" s="20"/>
      <c r="MPD15" s="20"/>
      <c r="MPE15" s="20"/>
      <c r="MPF15" s="20"/>
      <c r="MPG15" s="20"/>
      <c r="MPH15" s="20"/>
      <c r="MPI15" s="20"/>
      <c r="MPJ15" s="20"/>
      <c r="MPK15" s="20"/>
      <c r="MPL15" s="20"/>
      <c r="MPM15" s="20"/>
      <c r="MPN15" s="20"/>
      <c r="MPO15" s="20"/>
      <c r="MPP15" s="20"/>
      <c r="MPQ15" s="20"/>
      <c r="MPR15" s="20"/>
      <c r="MPS15" s="20"/>
      <c r="MPT15" s="20"/>
      <c r="MPU15" s="20"/>
      <c r="MPV15" s="20"/>
      <c r="MPW15" s="20"/>
      <c r="MPX15" s="20"/>
      <c r="MPY15" s="20"/>
      <c r="MPZ15" s="20"/>
      <c r="MQA15" s="20"/>
      <c r="MQB15" s="20"/>
      <c r="MQC15" s="20"/>
      <c r="MQD15" s="20"/>
      <c r="MQE15" s="20"/>
      <c r="MQF15" s="20"/>
      <c r="MQG15" s="20"/>
      <c r="MQH15" s="20"/>
      <c r="MQI15" s="20"/>
      <c r="MQJ15" s="20"/>
      <c r="MQK15" s="20"/>
      <c r="MQL15" s="20"/>
      <c r="MQM15" s="20"/>
      <c r="MQN15" s="20"/>
      <c r="MQO15" s="20"/>
      <c r="MQP15" s="20"/>
      <c r="MQQ15" s="20"/>
      <c r="MQR15" s="20"/>
      <c r="MQS15" s="20"/>
      <c r="MQT15" s="20"/>
      <c r="MQU15" s="20"/>
      <c r="MQV15" s="20"/>
      <c r="MQW15" s="20"/>
      <c r="MQX15" s="20"/>
      <c r="MQY15" s="20"/>
      <c r="MQZ15" s="20"/>
      <c r="MRA15" s="20"/>
      <c r="MRB15" s="20"/>
      <c r="MRC15" s="20"/>
      <c r="MRD15" s="20"/>
      <c r="MRE15" s="20"/>
      <c r="MRF15" s="20"/>
      <c r="MRG15" s="20"/>
      <c r="MRH15" s="20"/>
      <c r="MRI15" s="20"/>
      <c r="MRJ15" s="20"/>
      <c r="MRK15" s="20"/>
      <c r="MRL15" s="20"/>
      <c r="MRM15" s="20"/>
      <c r="MRN15" s="20"/>
      <c r="MRO15" s="20"/>
      <c r="MRP15" s="20"/>
      <c r="MRQ15" s="20"/>
      <c r="MRR15" s="20"/>
      <c r="MRS15" s="20"/>
      <c r="MRT15" s="20"/>
      <c r="MRU15" s="20"/>
      <c r="MRV15" s="20"/>
      <c r="MRW15" s="20"/>
      <c r="MRX15" s="20"/>
      <c r="MRY15" s="20"/>
      <c r="MRZ15" s="20"/>
      <c r="MSA15" s="20"/>
      <c r="MSB15" s="20"/>
      <c r="MSC15" s="20"/>
      <c r="MSD15" s="20"/>
      <c r="MSE15" s="20"/>
      <c r="MSF15" s="20"/>
      <c r="MSG15" s="20"/>
      <c r="MSH15" s="20"/>
      <c r="MSI15" s="20"/>
      <c r="MSJ15" s="20"/>
      <c r="MSK15" s="20"/>
      <c r="MSL15" s="20"/>
      <c r="MSM15" s="20"/>
      <c r="MSN15" s="20"/>
      <c r="MSO15" s="20"/>
      <c r="MSP15" s="20"/>
      <c r="MSQ15" s="20"/>
      <c r="MSR15" s="20"/>
      <c r="MSS15" s="20"/>
      <c r="MST15" s="20"/>
      <c r="MSU15" s="20"/>
      <c r="MSV15" s="20"/>
      <c r="MSW15" s="20"/>
      <c r="MSX15" s="20"/>
      <c r="MSY15" s="20"/>
      <c r="MSZ15" s="20"/>
      <c r="MTA15" s="20"/>
      <c r="MTB15" s="20"/>
      <c r="MTC15" s="20"/>
      <c r="MTD15" s="20"/>
      <c r="MTE15" s="20"/>
      <c r="MTF15" s="20"/>
      <c r="MTG15" s="20"/>
      <c r="MTH15" s="20"/>
      <c r="MTI15" s="20"/>
      <c r="MTJ15" s="20"/>
      <c r="MTK15" s="20"/>
      <c r="MTL15" s="20"/>
      <c r="MTM15" s="20"/>
      <c r="MTN15" s="20"/>
      <c r="MTO15" s="20"/>
      <c r="MTP15" s="20"/>
      <c r="MTQ15" s="20"/>
      <c r="MTR15" s="20"/>
      <c r="MTS15" s="20"/>
      <c r="MTT15" s="20"/>
      <c r="MTU15" s="20"/>
      <c r="MTV15" s="20"/>
      <c r="MTW15" s="20"/>
      <c r="MTX15" s="20"/>
      <c r="MTY15" s="20"/>
      <c r="MTZ15" s="20"/>
      <c r="MUA15" s="20"/>
      <c r="MUB15" s="20"/>
      <c r="MUC15" s="20"/>
      <c r="MUD15" s="20"/>
      <c r="MUE15" s="20"/>
      <c r="MUF15" s="20"/>
      <c r="MUG15" s="20"/>
      <c r="MUH15" s="20"/>
      <c r="MUI15" s="20"/>
      <c r="MUJ15" s="20"/>
      <c r="MUK15" s="20"/>
      <c r="MUL15" s="20"/>
      <c r="MUM15" s="20"/>
      <c r="MUN15" s="20"/>
      <c r="MUO15" s="20"/>
      <c r="MUP15" s="20"/>
      <c r="MUQ15" s="20"/>
      <c r="MUR15" s="20"/>
      <c r="MUS15" s="20"/>
      <c r="MUT15" s="20"/>
      <c r="MUU15" s="20"/>
      <c r="MUV15" s="20"/>
      <c r="MUW15" s="20"/>
      <c r="MUX15" s="20"/>
      <c r="MUY15" s="20"/>
      <c r="MUZ15" s="20"/>
      <c r="MVA15" s="20"/>
      <c r="MVB15" s="20"/>
      <c r="MVC15" s="20"/>
      <c r="MVD15" s="20"/>
      <c r="MVE15" s="20"/>
      <c r="MVF15" s="20"/>
      <c r="MVG15" s="20"/>
      <c r="MVH15" s="20"/>
      <c r="MVI15" s="20"/>
      <c r="MVJ15" s="20"/>
      <c r="MVK15" s="20"/>
      <c r="MVL15" s="20"/>
      <c r="MVM15" s="20"/>
      <c r="MVN15" s="20"/>
      <c r="MVO15" s="20"/>
      <c r="MVP15" s="20"/>
      <c r="MVQ15" s="20"/>
      <c r="MVR15" s="20"/>
      <c r="MVS15" s="20"/>
      <c r="MVT15" s="20"/>
      <c r="MVU15" s="20"/>
      <c r="MVV15" s="20"/>
      <c r="MVW15" s="20"/>
      <c r="MVX15" s="20"/>
      <c r="MVY15" s="20"/>
      <c r="MVZ15" s="20"/>
      <c r="MWA15" s="20"/>
      <c r="MWB15" s="20"/>
      <c r="MWC15" s="20"/>
      <c r="MWD15" s="20"/>
      <c r="MWE15" s="20"/>
      <c r="MWF15" s="20"/>
      <c r="MWG15" s="20"/>
      <c r="MWH15" s="20"/>
      <c r="MWI15" s="20"/>
      <c r="MWJ15" s="20"/>
      <c r="MWK15" s="20"/>
      <c r="MWL15" s="20"/>
      <c r="MWM15" s="20"/>
      <c r="MWN15" s="20"/>
      <c r="MWO15" s="20"/>
      <c r="MWP15" s="20"/>
      <c r="MWQ15" s="20"/>
      <c r="MWR15" s="20"/>
      <c r="MWS15" s="20"/>
      <c r="MWT15" s="20"/>
      <c r="MWU15" s="20"/>
      <c r="MWV15" s="20"/>
      <c r="MWW15" s="20"/>
      <c r="MWX15" s="20"/>
      <c r="MWY15" s="20"/>
      <c r="MWZ15" s="20"/>
      <c r="MXA15" s="20"/>
      <c r="MXB15" s="20"/>
      <c r="MXC15" s="20"/>
      <c r="MXD15" s="20"/>
      <c r="MXE15" s="20"/>
      <c r="MXF15" s="20"/>
      <c r="MXG15" s="20"/>
      <c r="MXH15" s="20"/>
      <c r="MXI15" s="20"/>
      <c r="MXJ15" s="20"/>
      <c r="MXK15" s="20"/>
      <c r="MXL15" s="20"/>
      <c r="MXM15" s="20"/>
      <c r="MXN15" s="20"/>
      <c r="MXO15" s="20"/>
      <c r="MXP15" s="20"/>
      <c r="MXQ15" s="20"/>
      <c r="MXR15" s="20"/>
      <c r="MXS15" s="20"/>
      <c r="MXT15" s="20"/>
      <c r="MXU15" s="20"/>
      <c r="MXV15" s="20"/>
      <c r="MXW15" s="20"/>
      <c r="MXX15" s="20"/>
      <c r="MXY15" s="20"/>
      <c r="MXZ15" s="20"/>
      <c r="MYA15" s="20"/>
      <c r="MYB15" s="20"/>
      <c r="MYC15" s="20"/>
      <c r="MYD15" s="20"/>
      <c r="MYE15" s="20"/>
      <c r="MYF15" s="20"/>
      <c r="MYG15" s="20"/>
      <c r="MYH15" s="20"/>
      <c r="MYI15" s="20"/>
      <c r="MYJ15" s="20"/>
      <c r="MYK15" s="20"/>
      <c r="MYL15" s="20"/>
      <c r="MYM15" s="20"/>
      <c r="MYN15" s="20"/>
      <c r="MYO15" s="20"/>
      <c r="MYP15" s="20"/>
      <c r="MYQ15" s="20"/>
      <c r="MYR15" s="20"/>
      <c r="MYS15" s="20"/>
      <c r="MYT15" s="20"/>
      <c r="MYU15" s="20"/>
      <c r="MYV15" s="20"/>
      <c r="MYW15" s="20"/>
      <c r="MYX15" s="20"/>
      <c r="MYY15" s="20"/>
      <c r="MYZ15" s="20"/>
      <c r="MZA15" s="20"/>
      <c r="MZB15" s="20"/>
      <c r="MZC15" s="20"/>
      <c r="MZD15" s="20"/>
      <c r="MZE15" s="20"/>
      <c r="MZF15" s="20"/>
      <c r="MZG15" s="20"/>
      <c r="MZH15" s="20"/>
      <c r="MZI15" s="20"/>
      <c r="MZJ15" s="20"/>
      <c r="MZK15" s="20"/>
      <c r="MZL15" s="20"/>
      <c r="MZM15" s="20"/>
      <c r="MZN15" s="20"/>
      <c r="MZO15" s="20"/>
      <c r="MZP15" s="20"/>
      <c r="MZQ15" s="20"/>
      <c r="MZR15" s="20"/>
      <c r="MZS15" s="20"/>
      <c r="MZT15" s="20"/>
      <c r="MZU15" s="20"/>
      <c r="MZV15" s="20"/>
      <c r="MZW15" s="20"/>
      <c r="MZX15" s="20"/>
      <c r="MZY15" s="20"/>
      <c r="MZZ15" s="20"/>
      <c r="NAA15" s="20"/>
      <c r="NAB15" s="20"/>
      <c r="NAC15" s="20"/>
      <c r="NAD15" s="20"/>
      <c r="NAE15" s="20"/>
      <c r="NAF15" s="20"/>
      <c r="NAG15" s="20"/>
      <c r="NAH15" s="20"/>
      <c r="NAI15" s="20"/>
      <c r="NAJ15" s="20"/>
      <c r="NAK15" s="20"/>
      <c r="NAL15" s="20"/>
      <c r="NAM15" s="20"/>
      <c r="NAN15" s="20"/>
      <c r="NAO15" s="20"/>
      <c r="NAP15" s="20"/>
      <c r="NAQ15" s="20"/>
      <c r="NAR15" s="20"/>
      <c r="NAS15" s="20"/>
      <c r="NAT15" s="20"/>
      <c r="NAU15" s="20"/>
      <c r="NAV15" s="20"/>
      <c r="NAW15" s="20"/>
      <c r="NAX15" s="20"/>
      <c r="NAY15" s="20"/>
      <c r="NAZ15" s="20"/>
      <c r="NBA15" s="20"/>
      <c r="NBB15" s="20"/>
      <c r="NBC15" s="20"/>
      <c r="NBD15" s="20"/>
      <c r="NBE15" s="20"/>
      <c r="NBF15" s="20"/>
      <c r="NBG15" s="20"/>
      <c r="NBH15" s="20"/>
      <c r="NBI15" s="20"/>
      <c r="NBJ15" s="20"/>
      <c r="NBK15" s="20"/>
      <c r="NBL15" s="20"/>
      <c r="NBM15" s="20"/>
      <c r="NBN15" s="20"/>
      <c r="NBO15" s="20"/>
      <c r="NBP15" s="20"/>
      <c r="NBQ15" s="20"/>
      <c r="NBR15" s="20"/>
      <c r="NBS15" s="20"/>
      <c r="NBT15" s="20"/>
      <c r="NBU15" s="20"/>
      <c r="NBV15" s="20"/>
      <c r="NBW15" s="20"/>
      <c r="NBX15" s="20"/>
      <c r="NBY15" s="20"/>
      <c r="NBZ15" s="20"/>
      <c r="NCA15" s="20"/>
      <c r="NCB15" s="20"/>
      <c r="NCC15" s="20"/>
      <c r="NCD15" s="20"/>
      <c r="NCE15" s="20"/>
      <c r="NCF15" s="20"/>
      <c r="NCG15" s="20"/>
      <c r="NCH15" s="20"/>
      <c r="NCI15" s="20"/>
      <c r="NCJ15" s="20"/>
      <c r="NCK15" s="20"/>
      <c r="NCL15" s="20"/>
      <c r="NCM15" s="20"/>
      <c r="NCN15" s="20"/>
      <c r="NCO15" s="20"/>
      <c r="NCP15" s="20"/>
      <c r="NCQ15" s="20"/>
      <c r="NCR15" s="20"/>
      <c r="NCS15" s="20"/>
      <c r="NCT15" s="20"/>
      <c r="NCU15" s="20"/>
      <c r="NCV15" s="20"/>
      <c r="NCW15" s="20"/>
      <c r="NCX15" s="20"/>
      <c r="NCY15" s="20"/>
      <c r="NCZ15" s="20"/>
      <c r="NDA15" s="20"/>
      <c r="NDB15" s="20"/>
      <c r="NDC15" s="20"/>
      <c r="NDD15" s="20"/>
      <c r="NDE15" s="20"/>
      <c r="NDF15" s="20"/>
      <c r="NDG15" s="20"/>
      <c r="NDH15" s="20"/>
      <c r="NDI15" s="20"/>
      <c r="NDJ15" s="20"/>
      <c r="NDK15" s="20"/>
      <c r="NDL15" s="20"/>
      <c r="NDM15" s="20"/>
      <c r="NDN15" s="20"/>
      <c r="NDO15" s="20"/>
      <c r="NDP15" s="20"/>
      <c r="NDQ15" s="20"/>
      <c r="NDR15" s="20"/>
      <c r="NDS15" s="20"/>
      <c r="NDT15" s="20"/>
      <c r="NDU15" s="20"/>
      <c r="NDV15" s="20"/>
      <c r="NDW15" s="20"/>
      <c r="NDX15" s="20"/>
      <c r="NDY15" s="20"/>
      <c r="NDZ15" s="20"/>
      <c r="NEA15" s="20"/>
      <c r="NEB15" s="20"/>
      <c r="NEC15" s="20"/>
      <c r="NED15" s="20"/>
      <c r="NEE15" s="20"/>
      <c r="NEF15" s="20"/>
      <c r="NEG15" s="20"/>
      <c r="NEH15" s="20"/>
      <c r="NEI15" s="20"/>
      <c r="NEJ15" s="20"/>
      <c r="NEK15" s="20"/>
      <c r="NEL15" s="20"/>
      <c r="NEM15" s="20"/>
      <c r="NEN15" s="20"/>
      <c r="NEO15" s="20"/>
      <c r="NEP15" s="20"/>
      <c r="NEQ15" s="20"/>
      <c r="NER15" s="20"/>
      <c r="NES15" s="20"/>
      <c r="NET15" s="20"/>
      <c r="NEU15" s="20"/>
      <c r="NEV15" s="20"/>
      <c r="NEW15" s="20"/>
      <c r="NEX15" s="20"/>
      <c r="NEY15" s="20"/>
      <c r="NEZ15" s="20"/>
      <c r="NFA15" s="20"/>
      <c r="NFB15" s="20"/>
      <c r="NFC15" s="20"/>
      <c r="NFD15" s="20"/>
      <c r="NFE15" s="20"/>
      <c r="NFF15" s="20"/>
      <c r="NFG15" s="20"/>
      <c r="NFH15" s="20"/>
      <c r="NFI15" s="20"/>
      <c r="NFJ15" s="20"/>
      <c r="NFK15" s="20"/>
      <c r="NFL15" s="20"/>
      <c r="NFM15" s="20"/>
      <c r="NFN15" s="20"/>
      <c r="NFO15" s="20"/>
      <c r="NFP15" s="20"/>
      <c r="NFQ15" s="20"/>
      <c r="NFR15" s="20"/>
      <c r="NFS15" s="20"/>
      <c r="NFT15" s="20"/>
      <c r="NFU15" s="20"/>
      <c r="NFV15" s="20"/>
      <c r="NFW15" s="20"/>
      <c r="NFX15" s="20"/>
      <c r="NFY15" s="20"/>
      <c r="NFZ15" s="20"/>
      <c r="NGA15" s="20"/>
      <c r="NGB15" s="20"/>
      <c r="NGC15" s="20"/>
      <c r="NGD15" s="20"/>
      <c r="NGE15" s="20"/>
      <c r="NGF15" s="20"/>
      <c r="NGG15" s="20"/>
      <c r="NGH15" s="20"/>
      <c r="NGI15" s="20"/>
      <c r="NGJ15" s="20"/>
      <c r="NGK15" s="20"/>
      <c r="NGL15" s="20"/>
      <c r="NGM15" s="20"/>
      <c r="NGN15" s="20"/>
      <c r="NGO15" s="20"/>
      <c r="NGP15" s="20"/>
      <c r="NGQ15" s="20"/>
      <c r="NGR15" s="20"/>
      <c r="NGS15" s="20"/>
      <c r="NGT15" s="20"/>
      <c r="NGU15" s="20"/>
      <c r="NGV15" s="20"/>
      <c r="NGW15" s="20"/>
      <c r="NGX15" s="20"/>
      <c r="NGY15" s="20"/>
      <c r="NGZ15" s="20"/>
      <c r="NHA15" s="20"/>
      <c r="NHB15" s="20"/>
      <c r="NHC15" s="20"/>
      <c r="NHD15" s="20"/>
      <c r="NHE15" s="20"/>
      <c r="NHF15" s="20"/>
      <c r="NHG15" s="20"/>
      <c r="NHH15" s="20"/>
      <c r="NHI15" s="20"/>
      <c r="NHJ15" s="20"/>
      <c r="NHK15" s="20"/>
      <c r="NHL15" s="20"/>
      <c r="NHM15" s="20"/>
      <c r="NHN15" s="20"/>
      <c r="NHO15" s="20"/>
      <c r="NHP15" s="20"/>
      <c r="NHQ15" s="20"/>
      <c r="NHR15" s="20"/>
      <c r="NHS15" s="20"/>
      <c r="NHT15" s="20"/>
      <c r="NHU15" s="20"/>
      <c r="NHV15" s="20"/>
      <c r="NHW15" s="20"/>
      <c r="NHX15" s="20"/>
      <c r="NHY15" s="20"/>
      <c r="NHZ15" s="20"/>
      <c r="NIA15" s="20"/>
      <c r="NIB15" s="20"/>
      <c r="NIC15" s="20"/>
      <c r="NID15" s="20"/>
      <c r="NIE15" s="20"/>
      <c r="NIF15" s="20"/>
      <c r="NIG15" s="20"/>
      <c r="NIH15" s="20"/>
      <c r="NII15" s="20"/>
      <c r="NIJ15" s="20"/>
      <c r="NIK15" s="20"/>
      <c r="NIL15" s="20"/>
      <c r="NIM15" s="20"/>
      <c r="NIN15" s="20"/>
      <c r="NIO15" s="20"/>
      <c r="NIP15" s="20"/>
      <c r="NIQ15" s="20"/>
      <c r="NIR15" s="20"/>
      <c r="NIS15" s="20"/>
      <c r="NIT15" s="20"/>
      <c r="NIU15" s="20"/>
      <c r="NIV15" s="20"/>
      <c r="NIW15" s="20"/>
      <c r="NIX15" s="20"/>
      <c r="NIY15" s="20"/>
      <c r="NIZ15" s="20"/>
      <c r="NJA15" s="20"/>
      <c r="NJB15" s="20"/>
      <c r="NJC15" s="20"/>
      <c r="NJD15" s="20"/>
      <c r="NJE15" s="20"/>
      <c r="NJF15" s="20"/>
      <c r="NJG15" s="20"/>
      <c r="NJH15" s="20"/>
      <c r="NJI15" s="20"/>
      <c r="NJJ15" s="20"/>
      <c r="NJK15" s="20"/>
      <c r="NJL15" s="20"/>
      <c r="NJM15" s="20"/>
      <c r="NJN15" s="20"/>
      <c r="NJO15" s="20"/>
      <c r="NJP15" s="20"/>
      <c r="NJQ15" s="20"/>
      <c r="NJR15" s="20"/>
      <c r="NJS15" s="20"/>
      <c r="NJT15" s="20"/>
      <c r="NJU15" s="20"/>
      <c r="NJV15" s="20"/>
      <c r="NJW15" s="20"/>
      <c r="NJX15" s="20"/>
      <c r="NJY15" s="20"/>
      <c r="NJZ15" s="20"/>
      <c r="NKA15" s="20"/>
      <c r="NKB15" s="20"/>
      <c r="NKC15" s="20"/>
      <c r="NKD15" s="20"/>
      <c r="NKE15" s="20"/>
      <c r="NKF15" s="20"/>
      <c r="NKG15" s="20"/>
      <c r="NKH15" s="20"/>
      <c r="NKI15" s="20"/>
      <c r="NKJ15" s="20"/>
      <c r="NKK15" s="20"/>
      <c r="NKL15" s="20"/>
      <c r="NKM15" s="20"/>
      <c r="NKN15" s="20"/>
      <c r="NKO15" s="20"/>
      <c r="NKP15" s="20"/>
      <c r="NKQ15" s="20"/>
      <c r="NKR15" s="20"/>
      <c r="NKS15" s="20"/>
      <c r="NKT15" s="20"/>
      <c r="NKU15" s="20"/>
      <c r="NKV15" s="20"/>
      <c r="NKW15" s="20"/>
      <c r="NKX15" s="20"/>
      <c r="NKY15" s="20"/>
      <c r="NKZ15" s="20"/>
      <c r="NLA15" s="20"/>
      <c r="NLB15" s="20"/>
      <c r="NLC15" s="20"/>
      <c r="NLD15" s="20"/>
      <c r="NLE15" s="20"/>
      <c r="NLF15" s="20"/>
      <c r="NLG15" s="20"/>
      <c r="NLH15" s="20"/>
      <c r="NLI15" s="20"/>
      <c r="NLJ15" s="20"/>
      <c r="NLK15" s="20"/>
      <c r="NLL15" s="20"/>
      <c r="NLM15" s="20"/>
      <c r="NLN15" s="20"/>
      <c r="NLO15" s="20"/>
      <c r="NLP15" s="20"/>
      <c r="NLQ15" s="20"/>
      <c r="NLR15" s="20"/>
      <c r="NLS15" s="20"/>
      <c r="NLT15" s="20"/>
      <c r="NLU15" s="20"/>
      <c r="NLV15" s="20"/>
      <c r="NLW15" s="20"/>
      <c r="NLX15" s="20"/>
      <c r="NLY15" s="20"/>
      <c r="NLZ15" s="20"/>
      <c r="NMA15" s="20"/>
      <c r="NMB15" s="20"/>
      <c r="NMC15" s="20"/>
      <c r="NMD15" s="20"/>
      <c r="NME15" s="20"/>
      <c r="NMF15" s="20"/>
      <c r="NMG15" s="20"/>
      <c r="NMH15" s="20"/>
      <c r="NMI15" s="20"/>
      <c r="NMJ15" s="20"/>
      <c r="NMK15" s="20"/>
      <c r="NML15" s="20"/>
      <c r="NMM15" s="20"/>
      <c r="NMN15" s="20"/>
      <c r="NMO15" s="20"/>
      <c r="NMP15" s="20"/>
      <c r="NMQ15" s="20"/>
      <c r="NMR15" s="20"/>
      <c r="NMS15" s="20"/>
      <c r="NMT15" s="20"/>
      <c r="NMU15" s="20"/>
      <c r="NMV15" s="20"/>
      <c r="NMW15" s="20"/>
      <c r="NMX15" s="20"/>
      <c r="NMY15" s="20"/>
      <c r="NMZ15" s="20"/>
      <c r="NNA15" s="20"/>
      <c r="NNB15" s="20"/>
      <c r="NNC15" s="20"/>
      <c r="NND15" s="20"/>
      <c r="NNE15" s="20"/>
      <c r="NNF15" s="20"/>
      <c r="NNG15" s="20"/>
      <c r="NNH15" s="20"/>
      <c r="NNI15" s="20"/>
      <c r="NNJ15" s="20"/>
      <c r="NNK15" s="20"/>
      <c r="NNL15" s="20"/>
      <c r="NNM15" s="20"/>
      <c r="NNN15" s="20"/>
      <c r="NNO15" s="20"/>
      <c r="NNP15" s="20"/>
      <c r="NNQ15" s="20"/>
      <c r="NNR15" s="20"/>
      <c r="NNS15" s="20"/>
      <c r="NNT15" s="20"/>
      <c r="NNU15" s="20"/>
      <c r="NNV15" s="20"/>
      <c r="NNW15" s="20"/>
      <c r="NNX15" s="20"/>
      <c r="NNY15" s="20"/>
      <c r="NNZ15" s="20"/>
      <c r="NOA15" s="20"/>
      <c r="NOB15" s="20"/>
      <c r="NOC15" s="20"/>
      <c r="NOD15" s="20"/>
      <c r="NOE15" s="20"/>
      <c r="NOF15" s="20"/>
      <c r="NOG15" s="20"/>
      <c r="NOH15" s="20"/>
      <c r="NOI15" s="20"/>
      <c r="NOJ15" s="20"/>
      <c r="NOK15" s="20"/>
      <c r="NOL15" s="20"/>
      <c r="NOM15" s="20"/>
      <c r="NON15" s="20"/>
      <c r="NOO15" s="20"/>
      <c r="NOP15" s="20"/>
      <c r="NOQ15" s="20"/>
      <c r="NOR15" s="20"/>
      <c r="NOS15" s="20"/>
      <c r="NOT15" s="20"/>
      <c r="NOU15" s="20"/>
      <c r="NOV15" s="20"/>
      <c r="NOW15" s="20"/>
      <c r="NOX15" s="20"/>
      <c r="NOY15" s="20"/>
      <c r="NOZ15" s="20"/>
      <c r="NPA15" s="20"/>
      <c r="NPB15" s="20"/>
      <c r="NPC15" s="20"/>
      <c r="NPD15" s="20"/>
      <c r="NPE15" s="20"/>
      <c r="NPF15" s="20"/>
      <c r="NPG15" s="20"/>
      <c r="NPH15" s="20"/>
      <c r="NPI15" s="20"/>
      <c r="NPJ15" s="20"/>
      <c r="NPK15" s="20"/>
      <c r="NPL15" s="20"/>
      <c r="NPM15" s="20"/>
      <c r="NPN15" s="20"/>
      <c r="NPO15" s="20"/>
      <c r="NPP15" s="20"/>
      <c r="NPQ15" s="20"/>
      <c r="NPR15" s="20"/>
      <c r="NPS15" s="20"/>
      <c r="NPT15" s="20"/>
      <c r="NPU15" s="20"/>
      <c r="NPV15" s="20"/>
      <c r="NPW15" s="20"/>
      <c r="NPX15" s="20"/>
      <c r="NPY15" s="20"/>
      <c r="NPZ15" s="20"/>
      <c r="NQA15" s="20"/>
      <c r="NQB15" s="20"/>
      <c r="NQC15" s="20"/>
      <c r="NQD15" s="20"/>
      <c r="NQE15" s="20"/>
      <c r="NQF15" s="20"/>
      <c r="NQG15" s="20"/>
      <c r="NQH15" s="20"/>
      <c r="NQI15" s="20"/>
      <c r="NQJ15" s="20"/>
      <c r="NQK15" s="20"/>
      <c r="NQL15" s="20"/>
      <c r="NQM15" s="20"/>
      <c r="NQN15" s="20"/>
      <c r="NQO15" s="20"/>
      <c r="NQP15" s="20"/>
      <c r="NQQ15" s="20"/>
      <c r="NQR15" s="20"/>
      <c r="NQS15" s="20"/>
      <c r="NQT15" s="20"/>
      <c r="NQU15" s="20"/>
      <c r="NQV15" s="20"/>
      <c r="NQW15" s="20"/>
      <c r="NQX15" s="20"/>
      <c r="NQY15" s="20"/>
      <c r="NQZ15" s="20"/>
      <c r="NRA15" s="20"/>
      <c r="NRB15" s="20"/>
      <c r="NRC15" s="20"/>
      <c r="NRD15" s="20"/>
      <c r="NRE15" s="20"/>
      <c r="NRF15" s="20"/>
      <c r="NRG15" s="20"/>
      <c r="NRH15" s="20"/>
      <c r="NRI15" s="20"/>
      <c r="NRJ15" s="20"/>
      <c r="NRK15" s="20"/>
      <c r="NRL15" s="20"/>
      <c r="NRM15" s="20"/>
      <c r="NRN15" s="20"/>
      <c r="NRO15" s="20"/>
      <c r="NRP15" s="20"/>
      <c r="NRQ15" s="20"/>
      <c r="NRR15" s="20"/>
      <c r="NRS15" s="20"/>
      <c r="NRT15" s="20"/>
      <c r="NRU15" s="20"/>
      <c r="NRV15" s="20"/>
      <c r="NRW15" s="20"/>
      <c r="NRX15" s="20"/>
      <c r="NRY15" s="20"/>
      <c r="NRZ15" s="20"/>
      <c r="NSA15" s="20"/>
      <c r="NSB15" s="20"/>
      <c r="NSC15" s="20"/>
      <c r="NSD15" s="20"/>
      <c r="NSE15" s="20"/>
      <c r="NSF15" s="20"/>
      <c r="NSG15" s="20"/>
      <c r="NSH15" s="20"/>
      <c r="NSI15" s="20"/>
      <c r="NSJ15" s="20"/>
      <c r="NSK15" s="20"/>
      <c r="NSL15" s="20"/>
      <c r="NSM15" s="20"/>
      <c r="NSN15" s="20"/>
      <c r="NSO15" s="20"/>
      <c r="NSP15" s="20"/>
      <c r="NSQ15" s="20"/>
      <c r="NSR15" s="20"/>
      <c r="NSS15" s="20"/>
      <c r="NST15" s="20"/>
      <c r="NSU15" s="20"/>
      <c r="NSV15" s="20"/>
      <c r="NSW15" s="20"/>
      <c r="NSX15" s="20"/>
      <c r="NSY15" s="20"/>
      <c r="NSZ15" s="20"/>
      <c r="NTA15" s="20"/>
      <c r="NTB15" s="20"/>
      <c r="NTC15" s="20"/>
      <c r="NTD15" s="20"/>
      <c r="NTE15" s="20"/>
      <c r="NTF15" s="20"/>
      <c r="NTG15" s="20"/>
      <c r="NTH15" s="20"/>
      <c r="NTI15" s="20"/>
      <c r="NTJ15" s="20"/>
      <c r="NTK15" s="20"/>
      <c r="NTL15" s="20"/>
      <c r="NTM15" s="20"/>
      <c r="NTN15" s="20"/>
      <c r="NTO15" s="20"/>
      <c r="NTP15" s="20"/>
      <c r="NTQ15" s="20"/>
      <c r="NTR15" s="20"/>
      <c r="NTS15" s="20"/>
      <c r="NTT15" s="20"/>
      <c r="NTU15" s="20"/>
      <c r="NTV15" s="20"/>
      <c r="NTW15" s="20"/>
      <c r="NTX15" s="20"/>
      <c r="NTY15" s="20"/>
      <c r="NTZ15" s="20"/>
      <c r="NUA15" s="20"/>
      <c r="NUB15" s="20"/>
      <c r="NUC15" s="20"/>
      <c r="NUD15" s="20"/>
      <c r="NUE15" s="20"/>
      <c r="NUF15" s="20"/>
      <c r="NUG15" s="20"/>
      <c r="NUH15" s="20"/>
      <c r="NUI15" s="20"/>
      <c r="NUJ15" s="20"/>
      <c r="NUK15" s="20"/>
      <c r="NUL15" s="20"/>
      <c r="NUM15" s="20"/>
      <c r="NUN15" s="20"/>
      <c r="NUO15" s="20"/>
      <c r="NUP15" s="20"/>
      <c r="NUQ15" s="20"/>
      <c r="NUR15" s="20"/>
      <c r="NUS15" s="20"/>
      <c r="NUT15" s="20"/>
      <c r="NUU15" s="20"/>
      <c r="NUV15" s="20"/>
      <c r="NUW15" s="20"/>
      <c r="NUX15" s="20"/>
      <c r="NUY15" s="20"/>
      <c r="NUZ15" s="20"/>
      <c r="NVA15" s="20"/>
      <c r="NVB15" s="20"/>
      <c r="NVC15" s="20"/>
      <c r="NVD15" s="20"/>
      <c r="NVE15" s="20"/>
      <c r="NVF15" s="20"/>
      <c r="NVG15" s="20"/>
      <c r="NVH15" s="20"/>
      <c r="NVI15" s="20"/>
      <c r="NVJ15" s="20"/>
      <c r="NVK15" s="20"/>
      <c r="NVL15" s="20"/>
      <c r="NVM15" s="20"/>
      <c r="NVN15" s="20"/>
      <c r="NVO15" s="20"/>
      <c r="NVP15" s="20"/>
      <c r="NVQ15" s="20"/>
      <c r="NVR15" s="20"/>
      <c r="NVS15" s="20"/>
      <c r="NVT15" s="20"/>
      <c r="NVU15" s="20"/>
      <c r="NVV15" s="20"/>
      <c r="NVW15" s="20"/>
      <c r="NVX15" s="20"/>
      <c r="NVY15" s="20"/>
      <c r="NVZ15" s="20"/>
      <c r="NWA15" s="20"/>
      <c r="NWB15" s="20"/>
      <c r="NWC15" s="20"/>
      <c r="NWD15" s="20"/>
      <c r="NWE15" s="20"/>
      <c r="NWF15" s="20"/>
      <c r="NWG15" s="20"/>
      <c r="NWH15" s="20"/>
      <c r="NWI15" s="20"/>
      <c r="NWJ15" s="20"/>
      <c r="NWK15" s="20"/>
      <c r="NWL15" s="20"/>
      <c r="NWM15" s="20"/>
      <c r="NWN15" s="20"/>
      <c r="NWO15" s="20"/>
      <c r="NWP15" s="20"/>
      <c r="NWQ15" s="20"/>
      <c r="NWR15" s="20"/>
      <c r="NWS15" s="20"/>
      <c r="NWT15" s="20"/>
      <c r="NWU15" s="20"/>
      <c r="NWV15" s="20"/>
      <c r="NWW15" s="20"/>
      <c r="NWX15" s="20"/>
      <c r="NWY15" s="20"/>
      <c r="NWZ15" s="20"/>
      <c r="NXA15" s="20"/>
      <c r="NXB15" s="20"/>
      <c r="NXC15" s="20"/>
      <c r="NXD15" s="20"/>
      <c r="NXE15" s="20"/>
      <c r="NXF15" s="20"/>
      <c r="NXG15" s="20"/>
      <c r="NXH15" s="20"/>
      <c r="NXI15" s="20"/>
      <c r="NXJ15" s="20"/>
      <c r="NXK15" s="20"/>
      <c r="NXL15" s="20"/>
      <c r="NXM15" s="20"/>
      <c r="NXN15" s="20"/>
      <c r="NXO15" s="20"/>
      <c r="NXP15" s="20"/>
      <c r="NXQ15" s="20"/>
      <c r="NXR15" s="20"/>
      <c r="NXS15" s="20"/>
      <c r="NXT15" s="20"/>
      <c r="NXU15" s="20"/>
      <c r="NXV15" s="20"/>
      <c r="NXW15" s="20"/>
      <c r="NXX15" s="20"/>
      <c r="NXY15" s="20"/>
      <c r="NXZ15" s="20"/>
      <c r="NYA15" s="20"/>
      <c r="NYB15" s="20"/>
      <c r="NYC15" s="20"/>
      <c r="NYD15" s="20"/>
      <c r="NYE15" s="20"/>
      <c r="NYF15" s="20"/>
      <c r="NYG15" s="20"/>
      <c r="NYH15" s="20"/>
      <c r="NYI15" s="20"/>
      <c r="NYJ15" s="20"/>
      <c r="NYK15" s="20"/>
      <c r="NYL15" s="20"/>
      <c r="NYM15" s="20"/>
      <c r="NYN15" s="20"/>
      <c r="NYO15" s="20"/>
      <c r="NYP15" s="20"/>
      <c r="NYQ15" s="20"/>
      <c r="NYR15" s="20"/>
      <c r="NYS15" s="20"/>
      <c r="NYT15" s="20"/>
      <c r="NYU15" s="20"/>
      <c r="NYV15" s="20"/>
      <c r="NYW15" s="20"/>
      <c r="NYX15" s="20"/>
      <c r="NYY15" s="20"/>
      <c r="NYZ15" s="20"/>
      <c r="NZA15" s="20"/>
      <c r="NZB15" s="20"/>
      <c r="NZC15" s="20"/>
      <c r="NZD15" s="20"/>
      <c r="NZE15" s="20"/>
      <c r="NZF15" s="20"/>
      <c r="NZG15" s="20"/>
      <c r="NZH15" s="20"/>
      <c r="NZI15" s="20"/>
      <c r="NZJ15" s="20"/>
      <c r="NZK15" s="20"/>
      <c r="NZL15" s="20"/>
      <c r="NZM15" s="20"/>
      <c r="NZN15" s="20"/>
      <c r="NZO15" s="20"/>
      <c r="NZP15" s="20"/>
      <c r="NZQ15" s="20"/>
      <c r="NZR15" s="20"/>
      <c r="NZS15" s="20"/>
      <c r="NZT15" s="20"/>
      <c r="NZU15" s="20"/>
      <c r="NZV15" s="20"/>
      <c r="NZW15" s="20"/>
      <c r="NZX15" s="20"/>
      <c r="NZY15" s="20"/>
      <c r="NZZ15" s="20"/>
      <c r="OAA15" s="20"/>
      <c r="OAB15" s="20"/>
      <c r="OAC15" s="20"/>
      <c r="OAD15" s="20"/>
      <c r="OAE15" s="20"/>
      <c r="OAF15" s="20"/>
      <c r="OAG15" s="20"/>
      <c r="OAH15" s="20"/>
      <c r="OAI15" s="20"/>
      <c r="OAJ15" s="20"/>
      <c r="OAK15" s="20"/>
      <c r="OAL15" s="20"/>
      <c r="OAM15" s="20"/>
      <c r="OAN15" s="20"/>
      <c r="OAO15" s="20"/>
      <c r="OAP15" s="20"/>
      <c r="OAQ15" s="20"/>
      <c r="OAR15" s="20"/>
      <c r="OAS15" s="20"/>
      <c r="OAT15" s="20"/>
      <c r="OAU15" s="20"/>
      <c r="OAV15" s="20"/>
      <c r="OAW15" s="20"/>
      <c r="OAX15" s="20"/>
      <c r="OAY15" s="20"/>
      <c r="OAZ15" s="20"/>
      <c r="OBA15" s="20"/>
      <c r="OBB15" s="20"/>
      <c r="OBC15" s="20"/>
      <c r="OBD15" s="20"/>
      <c r="OBE15" s="20"/>
      <c r="OBF15" s="20"/>
      <c r="OBG15" s="20"/>
      <c r="OBH15" s="20"/>
      <c r="OBI15" s="20"/>
      <c r="OBJ15" s="20"/>
      <c r="OBK15" s="20"/>
      <c r="OBL15" s="20"/>
      <c r="OBM15" s="20"/>
      <c r="OBN15" s="20"/>
      <c r="OBO15" s="20"/>
      <c r="OBP15" s="20"/>
      <c r="OBQ15" s="20"/>
      <c r="OBR15" s="20"/>
      <c r="OBS15" s="20"/>
      <c r="OBT15" s="20"/>
      <c r="OBU15" s="20"/>
      <c r="OBV15" s="20"/>
      <c r="OBW15" s="20"/>
      <c r="OBX15" s="20"/>
      <c r="OBY15" s="20"/>
      <c r="OBZ15" s="20"/>
      <c r="OCA15" s="20"/>
      <c r="OCB15" s="20"/>
      <c r="OCC15" s="20"/>
      <c r="OCD15" s="20"/>
      <c r="OCE15" s="20"/>
      <c r="OCF15" s="20"/>
      <c r="OCG15" s="20"/>
      <c r="OCH15" s="20"/>
      <c r="OCI15" s="20"/>
      <c r="OCJ15" s="20"/>
      <c r="OCK15" s="20"/>
      <c r="OCL15" s="20"/>
      <c r="OCM15" s="20"/>
      <c r="OCN15" s="20"/>
      <c r="OCO15" s="20"/>
      <c r="OCP15" s="20"/>
      <c r="OCQ15" s="20"/>
      <c r="OCR15" s="20"/>
      <c r="OCS15" s="20"/>
      <c r="OCT15" s="20"/>
      <c r="OCU15" s="20"/>
      <c r="OCV15" s="20"/>
      <c r="OCW15" s="20"/>
      <c r="OCX15" s="20"/>
      <c r="OCY15" s="20"/>
      <c r="OCZ15" s="20"/>
      <c r="ODA15" s="20"/>
      <c r="ODB15" s="20"/>
      <c r="ODC15" s="20"/>
      <c r="ODD15" s="20"/>
      <c r="ODE15" s="20"/>
      <c r="ODF15" s="20"/>
      <c r="ODG15" s="20"/>
      <c r="ODH15" s="20"/>
      <c r="ODI15" s="20"/>
      <c r="ODJ15" s="20"/>
      <c r="ODK15" s="20"/>
      <c r="ODL15" s="20"/>
      <c r="ODM15" s="20"/>
      <c r="ODN15" s="20"/>
      <c r="ODO15" s="20"/>
      <c r="ODP15" s="20"/>
      <c r="ODQ15" s="20"/>
      <c r="ODR15" s="20"/>
      <c r="ODS15" s="20"/>
      <c r="ODT15" s="20"/>
      <c r="ODU15" s="20"/>
      <c r="ODV15" s="20"/>
      <c r="ODW15" s="20"/>
      <c r="ODX15" s="20"/>
      <c r="ODY15" s="20"/>
      <c r="ODZ15" s="20"/>
      <c r="OEA15" s="20"/>
      <c r="OEB15" s="20"/>
      <c r="OEC15" s="20"/>
      <c r="OED15" s="20"/>
      <c r="OEE15" s="20"/>
      <c r="OEF15" s="20"/>
      <c r="OEG15" s="20"/>
      <c r="OEH15" s="20"/>
      <c r="OEI15" s="20"/>
      <c r="OEJ15" s="20"/>
      <c r="OEK15" s="20"/>
      <c r="OEL15" s="20"/>
      <c r="OEM15" s="20"/>
      <c r="OEN15" s="20"/>
      <c r="OEO15" s="20"/>
      <c r="OEP15" s="20"/>
      <c r="OEQ15" s="20"/>
      <c r="OER15" s="20"/>
      <c r="OES15" s="20"/>
      <c r="OET15" s="20"/>
      <c r="OEU15" s="20"/>
      <c r="OEV15" s="20"/>
      <c r="OEW15" s="20"/>
      <c r="OEX15" s="20"/>
      <c r="OEY15" s="20"/>
      <c r="OEZ15" s="20"/>
      <c r="OFA15" s="20"/>
      <c r="OFB15" s="20"/>
      <c r="OFC15" s="20"/>
      <c r="OFD15" s="20"/>
      <c r="OFE15" s="20"/>
      <c r="OFF15" s="20"/>
      <c r="OFG15" s="20"/>
      <c r="OFH15" s="20"/>
      <c r="OFI15" s="20"/>
      <c r="OFJ15" s="20"/>
      <c r="OFK15" s="20"/>
      <c r="OFL15" s="20"/>
      <c r="OFM15" s="20"/>
      <c r="OFN15" s="20"/>
      <c r="OFO15" s="20"/>
      <c r="OFP15" s="20"/>
      <c r="OFQ15" s="20"/>
      <c r="OFR15" s="20"/>
      <c r="OFS15" s="20"/>
      <c r="OFT15" s="20"/>
      <c r="OFU15" s="20"/>
      <c r="OFV15" s="20"/>
      <c r="OFW15" s="20"/>
      <c r="OFX15" s="20"/>
      <c r="OFY15" s="20"/>
      <c r="OFZ15" s="20"/>
      <c r="OGA15" s="20"/>
      <c r="OGB15" s="20"/>
      <c r="OGC15" s="20"/>
      <c r="OGD15" s="20"/>
      <c r="OGE15" s="20"/>
      <c r="OGF15" s="20"/>
      <c r="OGG15" s="20"/>
      <c r="OGH15" s="20"/>
      <c r="OGI15" s="20"/>
      <c r="OGJ15" s="20"/>
      <c r="OGK15" s="20"/>
      <c r="OGL15" s="20"/>
      <c r="OGM15" s="20"/>
      <c r="OGN15" s="20"/>
      <c r="OGO15" s="20"/>
      <c r="OGP15" s="20"/>
      <c r="OGQ15" s="20"/>
      <c r="OGR15" s="20"/>
      <c r="OGS15" s="20"/>
      <c r="OGT15" s="20"/>
      <c r="OGU15" s="20"/>
      <c r="OGV15" s="20"/>
      <c r="OGW15" s="20"/>
      <c r="OGX15" s="20"/>
      <c r="OGY15" s="20"/>
      <c r="OGZ15" s="20"/>
      <c r="OHA15" s="20"/>
      <c r="OHB15" s="20"/>
      <c r="OHC15" s="20"/>
      <c r="OHD15" s="20"/>
      <c r="OHE15" s="20"/>
      <c r="OHF15" s="20"/>
      <c r="OHG15" s="20"/>
      <c r="OHH15" s="20"/>
      <c r="OHI15" s="20"/>
      <c r="OHJ15" s="20"/>
      <c r="OHK15" s="20"/>
      <c r="OHL15" s="20"/>
      <c r="OHM15" s="20"/>
      <c r="OHN15" s="20"/>
      <c r="OHO15" s="20"/>
      <c r="OHP15" s="20"/>
      <c r="OHQ15" s="20"/>
      <c r="OHR15" s="20"/>
      <c r="OHS15" s="20"/>
      <c r="OHT15" s="20"/>
      <c r="OHU15" s="20"/>
      <c r="OHV15" s="20"/>
      <c r="OHW15" s="20"/>
      <c r="OHX15" s="20"/>
      <c r="OHY15" s="20"/>
      <c r="OHZ15" s="20"/>
      <c r="OIA15" s="20"/>
      <c r="OIB15" s="20"/>
      <c r="OIC15" s="20"/>
      <c r="OID15" s="20"/>
      <c r="OIE15" s="20"/>
      <c r="OIF15" s="20"/>
      <c r="OIG15" s="20"/>
      <c r="OIH15" s="20"/>
      <c r="OII15" s="20"/>
      <c r="OIJ15" s="20"/>
      <c r="OIK15" s="20"/>
      <c r="OIL15" s="20"/>
      <c r="OIM15" s="20"/>
      <c r="OIN15" s="20"/>
      <c r="OIO15" s="20"/>
      <c r="OIP15" s="20"/>
      <c r="OIQ15" s="20"/>
      <c r="OIR15" s="20"/>
      <c r="OIS15" s="20"/>
      <c r="OIT15" s="20"/>
      <c r="OIU15" s="20"/>
      <c r="OIV15" s="20"/>
      <c r="OIW15" s="20"/>
      <c r="OIX15" s="20"/>
      <c r="OIY15" s="20"/>
      <c r="OIZ15" s="20"/>
      <c r="OJA15" s="20"/>
      <c r="OJB15" s="20"/>
      <c r="OJC15" s="20"/>
      <c r="OJD15" s="20"/>
      <c r="OJE15" s="20"/>
      <c r="OJF15" s="20"/>
      <c r="OJG15" s="20"/>
      <c r="OJH15" s="20"/>
      <c r="OJI15" s="20"/>
      <c r="OJJ15" s="20"/>
      <c r="OJK15" s="20"/>
      <c r="OJL15" s="20"/>
      <c r="OJM15" s="20"/>
      <c r="OJN15" s="20"/>
      <c r="OJO15" s="20"/>
      <c r="OJP15" s="20"/>
      <c r="OJQ15" s="20"/>
      <c r="OJR15" s="20"/>
      <c r="OJS15" s="20"/>
      <c r="OJT15" s="20"/>
      <c r="OJU15" s="20"/>
      <c r="OJV15" s="20"/>
      <c r="OJW15" s="20"/>
      <c r="OJX15" s="20"/>
      <c r="OJY15" s="20"/>
      <c r="OJZ15" s="20"/>
      <c r="OKA15" s="20"/>
      <c r="OKB15" s="20"/>
      <c r="OKC15" s="20"/>
      <c r="OKD15" s="20"/>
      <c r="OKE15" s="20"/>
      <c r="OKF15" s="20"/>
      <c r="OKG15" s="20"/>
      <c r="OKH15" s="20"/>
      <c r="OKI15" s="20"/>
      <c r="OKJ15" s="20"/>
      <c r="OKK15" s="20"/>
      <c r="OKL15" s="20"/>
      <c r="OKM15" s="20"/>
      <c r="OKN15" s="20"/>
      <c r="OKO15" s="20"/>
      <c r="OKP15" s="20"/>
      <c r="OKQ15" s="20"/>
      <c r="OKR15" s="20"/>
      <c r="OKS15" s="20"/>
      <c r="OKT15" s="20"/>
      <c r="OKU15" s="20"/>
      <c r="OKV15" s="20"/>
      <c r="OKW15" s="20"/>
      <c r="OKX15" s="20"/>
      <c r="OKY15" s="20"/>
      <c r="OKZ15" s="20"/>
      <c r="OLA15" s="20"/>
      <c r="OLB15" s="20"/>
      <c r="OLC15" s="20"/>
      <c r="OLD15" s="20"/>
      <c r="OLE15" s="20"/>
      <c r="OLF15" s="20"/>
      <c r="OLG15" s="20"/>
      <c r="OLH15" s="20"/>
      <c r="OLI15" s="20"/>
      <c r="OLJ15" s="20"/>
      <c r="OLK15" s="20"/>
      <c r="OLL15" s="20"/>
      <c r="OLM15" s="20"/>
      <c r="OLN15" s="20"/>
      <c r="OLO15" s="20"/>
      <c r="OLP15" s="20"/>
      <c r="OLQ15" s="20"/>
      <c r="OLR15" s="20"/>
      <c r="OLS15" s="20"/>
      <c r="OLT15" s="20"/>
      <c r="OLU15" s="20"/>
      <c r="OLV15" s="20"/>
      <c r="OLW15" s="20"/>
      <c r="OLX15" s="20"/>
      <c r="OLY15" s="20"/>
      <c r="OLZ15" s="20"/>
      <c r="OMA15" s="20"/>
      <c r="OMB15" s="20"/>
      <c r="OMC15" s="20"/>
      <c r="OMD15" s="20"/>
      <c r="OME15" s="20"/>
      <c r="OMF15" s="20"/>
      <c r="OMG15" s="20"/>
      <c r="OMH15" s="20"/>
      <c r="OMI15" s="20"/>
      <c r="OMJ15" s="20"/>
      <c r="OMK15" s="20"/>
      <c r="OML15" s="20"/>
      <c r="OMM15" s="20"/>
      <c r="OMN15" s="20"/>
      <c r="OMO15" s="20"/>
      <c r="OMP15" s="20"/>
      <c r="OMQ15" s="20"/>
      <c r="OMR15" s="20"/>
      <c r="OMS15" s="20"/>
      <c r="OMT15" s="20"/>
      <c r="OMU15" s="20"/>
      <c r="OMV15" s="20"/>
      <c r="OMW15" s="20"/>
      <c r="OMX15" s="20"/>
      <c r="OMY15" s="20"/>
      <c r="OMZ15" s="20"/>
      <c r="ONA15" s="20"/>
      <c r="ONB15" s="20"/>
      <c r="ONC15" s="20"/>
      <c r="OND15" s="20"/>
      <c r="ONE15" s="20"/>
      <c r="ONF15" s="20"/>
      <c r="ONG15" s="20"/>
      <c r="ONH15" s="20"/>
      <c r="ONI15" s="20"/>
      <c r="ONJ15" s="20"/>
      <c r="ONK15" s="20"/>
      <c r="ONL15" s="20"/>
      <c r="ONM15" s="20"/>
      <c r="ONN15" s="20"/>
      <c r="ONO15" s="20"/>
      <c r="ONP15" s="20"/>
      <c r="ONQ15" s="20"/>
      <c r="ONR15" s="20"/>
      <c r="ONS15" s="20"/>
      <c r="ONT15" s="20"/>
      <c r="ONU15" s="20"/>
      <c r="ONV15" s="20"/>
      <c r="ONW15" s="20"/>
      <c r="ONX15" s="20"/>
      <c r="ONY15" s="20"/>
      <c r="ONZ15" s="20"/>
      <c r="OOA15" s="20"/>
      <c r="OOB15" s="20"/>
      <c r="OOC15" s="20"/>
      <c r="OOD15" s="20"/>
      <c r="OOE15" s="20"/>
      <c r="OOF15" s="20"/>
      <c r="OOG15" s="20"/>
      <c r="OOH15" s="20"/>
      <c r="OOI15" s="20"/>
      <c r="OOJ15" s="20"/>
      <c r="OOK15" s="20"/>
      <c r="OOL15" s="20"/>
      <c r="OOM15" s="20"/>
      <c r="OON15" s="20"/>
      <c r="OOO15" s="20"/>
      <c r="OOP15" s="20"/>
      <c r="OOQ15" s="20"/>
      <c r="OOR15" s="20"/>
      <c r="OOS15" s="20"/>
      <c r="OOT15" s="20"/>
      <c r="OOU15" s="20"/>
      <c r="OOV15" s="20"/>
      <c r="OOW15" s="20"/>
      <c r="OOX15" s="20"/>
      <c r="OOY15" s="20"/>
      <c r="OOZ15" s="20"/>
      <c r="OPA15" s="20"/>
      <c r="OPB15" s="20"/>
      <c r="OPC15" s="20"/>
      <c r="OPD15" s="20"/>
      <c r="OPE15" s="20"/>
      <c r="OPF15" s="20"/>
      <c r="OPG15" s="20"/>
      <c r="OPH15" s="20"/>
      <c r="OPI15" s="20"/>
      <c r="OPJ15" s="20"/>
      <c r="OPK15" s="20"/>
      <c r="OPL15" s="20"/>
      <c r="OPM15" s="20"/>
      <c r="OPN15" s="20"/>
      <c r="OPO15" s="20"/>
      <c r="OPP15" s="20"/>
      <c r="OPQ15" s="20"/>
      <c r="OPR15" s="20"/>
      <c r="OPS15" s="20"/>
      <c r="OPT15" s="20"/>
      <c r="OPU15" s="20"/>
      <c r="OPV15" s="20"/>
      <c r="OPW15" s="20"/>
      <c r="OPX15" s="20"/>
      <c r="OPY15" s="20"/>
      <c r="OPZ15" s="20"/>
      <c r="OQA15" s="20"/>
      <c r="OQB15" s="20"/>
      <c r="OQC15" s="20"/>
      <c r="OQD15" s="20"/>
      <c r="OQE15" s="20"/>
      <c r="OQF15" s="20"/>
      <c r="OQG15" s="20"/>
      <c r="OQH15" s="20"/>
      <c r="OQI15" s="20"/>
      <c r="OQJ15" s="20"/>
      <c r="OQK15" s="20"/>
      <c r="OQL15" s="20"/>
      <c r="OQM15" s="20"/>
      <c r="OQN15" s="20"/>
      <c r="OQO15" s="20"/>
      <c r="OQP15" s="20"/>
      <c r="OQQ15" s="20"/>
      <c r="OQR15" s="20"/>
      <c r="OQS15" s="20"/>
      <c r="OQT15" s="20"/>
      <c r="OQU15" s="20"/>
      <c r="OQV15" s="20"/>
      <c r="OQW15" s="20"/>
      <c r="OQX15" s="20"/>
      <c r="OQY15" s="20"/>
      <c r="OQZ15" s="20"/>
      <c r="ORA15" s="20"/>
      <c r="ORB15" s="20"/>
      <c r="ORC15" s="20"/>
      <c r="ORD15" s="20"/>
      <c r="ORE15" s="20"/>
      <c r="ORF15" s="20"/>
      <c r="ORG15" s="20"/>
      <c r="ORH15" s="20"/>
      <c r="ORI15" s="20"/>
      <c r="ORJ15" s="20"/>
      <c r="ORK15" s="20"/>
      <c r="ORL15" s="20"/>
      <c r="ORM15" s="20"/>
      <c r="ORN15" s="20"/>
      <c r="ORO15" s="20"/>
      <c r="ORP15" s="20"/>
      <c r="ORQ15" s="20"/>
      <c r="ORR15" s="20"/>
      <c r="ORS15" s="20"/>
      <c r="ORT15" s="20"/>
      <c r="ORU15" s="20"/>
      <c r="ORV15" s="20"/>
      <c r="ORW15" s="20"/>
      <c r="ORX15" s="20"/>
      <c r="ORY15" s="20"/>
      <c r="ORZ15" s="20"/>
      <c r="OSA15" s="20"/>
      <c r="OSB15" s="20"/>
      <c r="OSC15" s="20"/>
      <c r="OSD15" s="20"/>
      <c r="OSE15" s="20"/>
      <c r="OSF15" s="20"/>
      <c r="OSG15" s="20"/>
      <c r="OSH15" s="20"/>
      <c r="OSI15" s="20"/>
      <c r="OSJ15" s="20"/>
      <c r="OSK15" s="20"/>
      <c r="OSL15" s="20"/>
      <c r="OSM15" s="20"/>
      <c r="OSN15" s="20"/>
      <c r="OSO15" s="20"/>
      <c r="OSP15" s="20"/>
      <c r="OSQ15" s="20"/>
      <c r="OSR15" s="20"/>
      <c r="OSS15" s="20"/>
      <c r="OST15" s="20"/>
      <c r="OSU15" s="20"/>
      <c r="OSV15" s="20"/>
      <c r="OSW15" s="20"/>
      <c r="OSX15" s="20"/>
      <c r="OSY15" s="20"/>
      <c r="OSZ15" s="20"/>
      <c r="OTA15" s="20"/>
      <c r="OTB15" s="20"/>
      <c r="OTC15" s="20"/>
      <c r="OTD15" s="20"/>
      <c r="OTE15" s="20"/>
      <c r="OTF15" s="20"/>
      <c r="OTG15" s="20"/>
      <c r="OTH15" s="20"/>
      <c r="OTI15" s="20"/>
      <c r="OTJ15" s="20"/>
      <c r="OTK15" s="20"/>
      <c r="OTL15" s="20"/>
      <c r="OTM15" s="20"/>
      <c r="OTN15" s="20"/>
      <c r="OTO15" s="20"/>
      <c r="OTP15" s="20"/>
      <c r="OTQ15" s="20"/>
      <c r="OTR15" s="20"/>
      <c r="OTS15" s="20"/>
      <c r="OTT15" s="20"/>
      <c r="OTU15" s="20"/>
      <c r="OTV15" s="20"/>
      <c r="OTW15" s="20"/>
      <c r="OTX15" s="20"/>
      <c r="OTY15" s="20"/>
      <c r="OTZ15" s="20"/>
      <c r="OUA15" s="20"/>
      <c r="OUB15" s="20"/>
      <c r="OUC15" s="20"/>
      <c r="OUD15" s="20"/>
      <c r="OUE15" s="20"/>
      <c r="OUF15" s="20"/>
      <c r="OUG15" s="20"/>
      <c r="OUH15" s="20"/>
      <c r="OUI15" s="20"/>
      <c r="OUJ15" s="20"/>
      <c r="OUK15" s="20"/>
      <c r="OUL15" s="20"/>
      <c r="OUM15" s="20"/>
      <c r="OUN15" s="20"/>
      <c r="OUO15" s="20"/>
      <c r="OUP15" s="20"/>
      <c r="OUQ15" s="20"/>
      <c r="OUR15" s="20"/>
      <c r="OUS15" s="20"/>
      <c r="OUT15" s="20"/>
      <c r="OUU15" s="20"/>
      <c r="OUV15" s="20"/>
      <c r="OUW15" s="20"/>
      <c r="OUX15" s="20"/>
      <c r="OUY15" s="20"/>
      <c r="OUZ15" s="20"/>
      <c r="OVA15" s="20"/>
      <c r="OVB15" s="20"/>
      <c r="OVC15" s="20"/>
      <c r="OVD15" s="20"/>
      <c r="OVE15" s="20"/>
      <c r="OVF15" s="20"/>
      <c r="OVG15" s="20"/>
      <c r="OVH15" s="20"/>
      <c r="OVI15" s="20"/>
      <c r="OVJ15" s="20"/>
      <c r="OVK15" s="20"/>
      <c r="OVL15" s="20"/>
      <c r="OVM15" s="20"/>
      <c r="OVN15" s="20"/>
      <c r="OVO15" s="20"/>
      <c r="OVP15" s="20"/>
      <c r="OVQ15" s="20"/>
      <c r="OVR15" s="20"/>
      <c r="OVS15" s="20"/>
      <c r="OVT15" s="20"/>
      <c r="OVU15" s="20"/>
      <c r="OVV15" s="20"/>
      <c r="OVW15" s="20"/>
      <c r="OVX15" s="20"/>
      <c r="OVY15" s="20"/>
      <c r="OVZ15" s="20"/>
      <c r="OWA15" s="20"/>
      <c r="OWB15" s="20"/>
      <c r="OWC15" s="20"/>
      <c r="OWD15" s="20"/>
      <c r="OWE15" s="20"/>
      <c r="OWF15" s="20"/>
      <c r="OWG15" s="20"/>
      <c r="OWH15" s="20"/>
      <c r="OWI15" s="20"/>
      <c r="OWJ15" s="20"/>
      <c r="OWK15" s="20"/>
      <c r="OWL15" s="20"/>
      <c r="OWM15" s="20"/>
      <c r="OWN15" s="20"/>
      <c r="OWO15" s="20"/>
      <c r="OWP15" s="20"/>
      <c r="OWQ15" s="20"/>
      <c r="OWR15" s="20"/>
      <c r="OWS15" s="20"/>
      <c r="OWT15" s="20"/>
      <c r="OWU15" s="20"/>
      <c r="OWV15" s="20"/>
      <c r="OWW15" s="20"/>
      <c r="OWX15" s="20"/>
      <c r="OWY15" s="20"/>
      <c r="OWZ15" s="20"/>
      <c r="OXA15" s="20"/>
      <c r="OXB15" s="20"/>
      <c r="OXC15" s="20"/>
      <c r="OXD15" s="20"/>
      <c r="OXE15" s="20"/>
      <c r="OXF15" s="20"/>
      <c r="OXG15" s="20"/>
      <c r="OXH15" s="20"/>
      <c r="OXI15" s="20"/>
      <c r="OXJ15" s="20"/>
      <c r="OXK15" s="20"/>
      <c r="OXL15" s="20"/>
      <c r="OXM15" s="20"/>
      <c r="OXN15" s="20"/>
      <c r="OXO15" s="20"/>
      <c r="OXP15" s="20"/>
      <c r="OXQ15" s="20"/>
      <c r="OXR15" s="20"/>
      <c r="OXS15" s="20"/>
      <c r="OXT15" s="20"/>
      <c r="OXU15" s="20"/>
      <c r="OXV15" s="20"/>
      <c r="OXW15" s="20"/>
      <c r="OXX15" s="20"/>
      <c r="OXY15" s="20"/>
      <c r="OXZ15" s="20"/>
      <c r="OYA15" s="20"/>
      <c r="OYB15" s="20"/>
      <c r="OYC15" s="20"/>
      <c r="OYD15" s="20"/>
      <c r="OYE15" s="20"/>
      <c r="OYF15" s="20"/>
      <c r="OYG15" s="20"/>
      <c r="OYH15" s="20"/>
      <c r="OYI15" s="20"/>
      <c r="OYJ15" s="20"/>
      <c r="OYK15" s="20"/>
      <c r="OYL15" s="20"/>
      <c r="OYM15" s="20"/>
      <c r="OYN15" s="20"/>
      <c r="OYO15" s="20"/>
      <c r="OYP15" s="20"/>
      <c r="OYQ15" s="20"/>
      <c r="OYR15" s="20"/>
      <c r="OYS15" s="20"/>
      <c r="OYT15" s="20"/>
      <c r="OYU15" s="20"/>
      <c r="OYV15" s="20"/>
      <c r="OYW15" s="20"/>
      <c r="OYX15" s="20"/>
      <c r="OYY15" s="20"/>
      <c r="OYZ15" s="20"/>
      <c r="OZA15" s="20"/>
      <c r="OZB15" s="20"/>
      <c r="OZC15" s="20"/>
      <c r="OZD15" s="20"/>
      <c r="OZE15" s="20"/>
      <c r="OZF15" s="20"/>
      <c r="OZG15" s="20"/>
      <c r="OZH15" s="20"/>
      <c r="OZI15" s="20"/>
      <c r="OZJ15" s="20"/>
      <c r="OZK15" s="20"/>
      <c r="OZL15" s="20"/>
      <c r="OZM15" s="20"/>
      <c r="OZN15" s="20"/>
      <c r="OZO15" s="20"/>
      <c r="OZP15" s="20"/>
      <c r="OZQ15" s="20"/>
      <c r="OZR15" s="20"/>
      <c r="OZS15" s="20"/>
      <c r="OZT15" s="20"/>
      <c r="OZU15" s="20"/>
      <c r="OZV15" s="20"/>
      <c r="OZW15" s="20"/>
      <c r="OZX15" s="20"/>
      <c r="OZY15" s="20"/>
      <c r="OZZ15" s="20"/>
      <c r="PAA15" s="20"/>
      <c r="PAB15" s="20"/>
      <c r="PAC15" s="20"/>
      <c r="PAD15" s="20"/>
      <c r="PAE15" s="20"/>
      <c r="PAF15" s="20"/>
      <c r="PAG15" s="20"/>
      <c r="PAH15" s="20"/>
      <c r="PAI15" s="20"/>
      <c r="PAJ15" s="20"/>
      <c r="PAK15" s="20"/>
      <c r="PAL15" s="20"/>
      <c r="PAM15" s="20"/>
      <c r="PAN15" s="20"/>
      <c r="PAO15" s="20"/>
      <c r="PAP15" s="20"/>
      <c r="PAQ15" s="20"/>
      <c r="PAR15" s="20"/>
      <c r="PAS15" s="20"/>
      <c r="PAT15" s="20"/>
      <c r="PAU15" s="20"/>
      <c r="PAV15" s="20"/>
      <c r="PAW15" s="20"/>
      <c r="PAX15" s="20"/>
      <c r="PAY15" s="20"/>
      <c r="PAZ15" s="20"/>
      <c r="PBA15" s="20"/>
      <c r="PBB15" s="20"/>
      <c r="PBC15" s="20"/>
      <c r="PBD15" s="20"/>
      <c r="PBE15" s="20"/>
      <c r="PBF15" s="20"/>
      <c r="PBG15" s="20"/>
      <c r="PBH15" s="20"/>
      <c r="PBI15" s="20"/>
      <c r="PBJ15" s="20"/>
      <c r="PBK15" s="20"/>
      <c r="PBL15" s="20"/>
      <c r="PBM15" s="20"/>
      <c r="PBN15" s="20"/>
      <c r="PBO15" s="20"/>
      <c r="PBP15" s="20"/>
      <c r="PBQ15" s="20"/>
      <c r="PBR15" s="20"/>
      <c r="PBS15" s="20"/>
      <c r="PBT15" s="20"/>
      <c r="PBU15" s="20"/>
      <c r="PBV15" s="20"/>
      <c r="PBW15" s="20"/>
      <c r="PBX15" s="20"/>
      <c r="PBY15" s="20"/>
      <c r="PBZ15" s="20"/>
      <c r="PCA15" s="20"/>
      <c r="PCB15" s="20"/>
      <c r="PCC15" s="20"/>
      <c r="PCD15" s="20"/>
      <c r="PCE15" s="20"/>
      <c r="PCF15" s="20"/>
      <c r="PCG15" s="20"/>
      <c r="PCH15" s="20"/>
      <c r="PCI15" s="20"/>
      <c r="PCJ15" s="20"/>
      <c r="PCK15" s="20"/>
      <c r="PCL15" s="20"/>
      <c r="PCM15" s="20"/>
      <c r="PCN15" s="20"/>
      <c r="PCO15" s="20"/>
      <c r="PCP15" s="20"/>
      <c r="PCQ15" s="20"/>
      <c r="PCR15" s="20"/>
      <c r="PCS15" s="20"/>
      <c r="PCT15" s="20"/>
      <c r="PCU15" s="20"/>
      <c r="PCV15" s="20"/>
      <c r="PCW15" s="20"/>
      <c r="PCX15" s="20"/>
      <c r="PCY15" s="20"/>
      <c r="PCZ15" s="20"/>
      <c r="PDA15" s="20"/>
      <c r="PDB15" s="20"/>
      <c r="PDC15" s="20"/>
      <c r="PDD15" s="20"/>
      <c r="PDE15" s="20"/>
      <c r="PDF15" s="20"/>
      <c r="PDG15" s="20"/>
      <c r="PDH15" s="20"/>
      <c r="PDI15" s="20"/>
      <c r="PDJ15" s="20"/>
      <c r="PDK15" s="20"/>
      <c r="PDL15" s="20"/>
      <c r="PDM15" s="20"/>
      <c r="PDN15" s="20"/>
      <c r="PDO15" s="20"/>
      <c r="PDP15" s="20"/>
      <c r="PDQ15" s="20"/>
      <c r="PDR15" s="20"/>
      <c r="PDS15" s="20"/>
      <c r="PDT15" s="20"/>
      <c r="PDU15" s="20"/>
      <c r="PDV15" s="20"/>
      <c r="PDW15" s="20"/>
      <c r="PDX15" s="20"/>
      <c r="PDY15" s="20"/>
      <c r="PDZ15" s="20"/>
      <c r="PEA15" s="20"/>
      <c r="PEB15" s="20"/>
      <c r="PEC15" s="20"/>
      <c r="PED15" s="20"/>
      <c r="PEE15" s="20"/>
      <c r="PEF15" s="20"/>
      <c r="PEG15" s="20"/>
      <c r="PEH15" s="20"/>
      <c r="PEI15" s="20"/>
      <c r="PEJ15" s="20"/>
      <c r="PEK15" s="20"/>
      <c r="PEL15" s="20"/>
      <c r="PEM15" s="20"/>
      <c r="PEN15" s="20"/>
      <c r="PEO15" s="20"/>
      <c r="PEP15" s="20"/>
      <c r="PEQ15" s="20"/>
      <c r="PER15" s="20"/>
      <c r="PES15" s="20"/>
      <c r="PET15" s="20"/>
      <c r="PEU15" s="20"/>
      <c r="PEV15" s="20"/>
      <c r="PEW15" s="20"/>
      <c r="PEX15" s="20"/>
      <c r="PEY15" s="20"/>
      <c r="PEZ15" s="20"/>
      <c r="PFA15" s="20"/>
      <c r="PFB15" s="20"/>
      <c r="PFC15" s="20"/>
      <c r="PFD15" s="20"/>
      <c r="PFE15" s="20"/>
      <c r="PFF15" s="20"/>
      <c r="PFG15" s="20"/>
      <c r="PFH15" s="20"/>
      <c r="PFI15" s="20"/>
      <c r="PFJ15" s="20"/>
      <c r="PFK15" s="20"/>
      <c r="PFL15" s="20"/>
      <c r="PFM15" s="20"/>
      <c r="PFN15" s="20"/>
      <c r="PFO15" s="20"/>
      <c r="PFP15" s="20"/>
      <c r="PFQ15" s="20"/>
      <c r="PFR15" s="20"/>
      <c r="PFS15" s="20"/>
      <c r="PFT15" s="20"/>
      <c r="PFU15" s="20"/>
      <c r="PFV15" s="20"/>
      <c r="PFW15" s="20"/>
      <c r="PFX15" s="20"/>
      <c r="PFY15" s="20"/>
      <c r="PFZ15" s="20"/>
      <c r="PGA15" s="20"/>
      <c r="PGB15" s="20"/>
      <c r="PGC15" s="20"/>
      <c r="PGD15" s="20"/>
      <c r="PGE15" s="20"/>
      <c r="PGF15" s="20"/>
      <c r="PGG15" s="20"/>
      <c r="PGH15" s="20"/>
      <c r="PGI15" s="20"/>
      <c r="PGJ15" s="20"/>
      <c r="PGK15" s="20"/>
      <c r="PGL15" s="20"/>
      <c r="PGM15" s="20"/>
      <c r="PGN15" s="20"/>
      <c r="PGO15" s="20"/>
      <c r="PGP15" s="20"/>
      <c r="PGQ15" s="20"/>
      <c r="PGR15" s="20"/>
      <c r="PGS15" s="20"/>
      <c r="PGT15" s="20"/>
      <c r="PGU15" s="20"/>
      <c r="PGV15" s="20"/>
      <c r="PGW15" s="20"/>
      <c r="PGX15" s="20"/>
      <c r="PGY15" s="20"/>
      <c r="PGZ15" s="20"/>
      <c r="PHA15" s="20"/>
      <c r="PHB15" s="20"/>
      <c r="PHC15" s="20"/>
      <c r="PHD15" s="20"/>
      <c r="PHE15" s="20"/>
      <c r="PHF15" s="20"/>
      <c r="PHG15" s="20"/>
      <c r="PHH15" s="20"/>
      <c r="PHI15" s="20"/>
      <c r="PHJ15" s="20"/>
      <c r="PHK15" s="20"/>
      <c r="PHL15" s="20"/>
      <c r="PHM15" s="20"/>
      <c r="PHN15" s="20"/>
      <c r="PHO15" s="20"/>
      <c r="PHP15" s="20"/>
      <c r="PHQ15" s="20"/>
      <c r="PHR15" s="20"/>
      <c r="PHS15" s="20"/>
      <c r="PHT15" s="20"/>
      <c r="PHU15" s="20"/>
      <c r="PHV15" s="20"/>
      <c r="PHW15" s="20"/>
      <c r="PHX15" s="20"/>
      <c r="PHY15" s="20"/>
      <c r="PHZ15" s="20"/>
      <c r="PIA15" s="20"/>
      <c r="PIB15" s="20"/>
      <c r="PIC15" s="20"/>
      <c r="PID15" s="20"/>
      <c r="PIE15" s="20"/>
      <c r="PIF15" s="20"/>
      <c r="PIG15" s="20"/>
      <c r="PIH15" s="20"/>
      <c r="PII15" s="20"/>
      <c r="PIJ15" s="20"/>
      <c r="PIK15" s="20"/>
      <c r="PIL15" s="20"/>
      <c r="PIM15" s="20"/>
      <c r="PIN15" s="20"/>
      <c r="PIO15" s="20"/>
      <c r="PIP15" s="20"/>
      <c r="PIQ15" s="20"/>
      <c r="PIR15" s="20"/>
      <c r="PIS15" s="20"/>
      <c r="PIT15" s="20"/>
      <c r="PIU15" s="20"/>
      <c r="PIV15" s="20"/>
      <c r="PIW15" s="20"/>
      <c r="PIX15" s="20"/>
      <c r="PIY15" s="20"/>
      <c r="PIZ15" s="20"/>
      <c r="PJA15" s="20"/>
      <c r="PJB15" s="20"/>
      <c r="PJC15" s="20"/>
      <c r="PJD15" s="20"/>
      <c r="PJE15" s="20"/>
      <c r="PJF15" s="20"/>
      <c r="PJG15" s="20"/>
      <c r="PJH15" s="20"/>
      <c r="PJI15" s="20"/>
      <c r="PJJ15" s="20"/>
      <c r="PJK15" s="20"/>
      <c r="PJL15" s="20"/>
      <c r="PJM15" s="20"/>
      <c r="PJN15" s="20"/>
      <c r="PJO15" s="20"/>
      <c r="PJP15" s="20"/>
      <c r="PJQ15" s="20"/>
      <c r="PJR15" s="20"/>
      <c r="PJS15" s="20"/>
      <c r="PJT15" s="20"/>
      <c r="PJU15" s="20"/>
      <c r="PJV15" s="20"/>
      <c r="PJW15" s="20"/>
      <c r="PJX15" s="20"/>
      <c r="PJY15" s="20"/>
      <c r="PJZ15" s="20"/>
      <c r="PKA15" s="20"/>
      <c r="PKB15" s="20"/>
      <c r="PKC15" s="20"/>
      <c r="PKD15" s="20"/>
      <c r="PKE15" s="20"/>
      <c r="PKF15" s="20"/>
      <c r="PKG15" s="20"/>
      <c r="PKH15" s="20"/>
      <c r="PKI15" s="20"/>
      <c r="PKJ15" s="20"/>
      <c r="PKK15" s="20"/>
      <c r="PKL15" s="20"/>
      <c r="PKM15" s="20"/>
      <c r="PKN15" s="20"/>
      <c r="PKO15" s="20"/>
      <c r="PKP15" s="20"/>
      <c r="PKQ15" s="20"/>
      <c r="PKR15" s="20"/>
      <c r="PKS15" s="20"/>
      <c r="PKT15" s="20"/>
      <c r="PKU15" s="20"/>
      <c r="PKV15" s="20"/>
      <c r="PKW15" s="20"/>
      <c r="PKX15" s="20"/>
      <c r="PKY15" s="20"/>
      <c r="PKZ15" s="20"/>
      <c r="PLA15" s="20"/>
      <c r="PLB15" s="20"/>
      <c r="PLC15" s="20"/>
      <c r="PLD15" s="20"/>
      <c r="PLE15" s="20"/>
      <c r="PLF15" s="20"/>
      <c r="PLG15" s="20"/>
      <c r="PLH15" s="20"/>
      <c r="PLI15" s="20"/>
      <c r="PLJ15" s="20"/>
      <c r="PLK15" s="20"/>
      <c r="PLL15" s="20"/>
      <c r="PLM15" s="20"/>
      <c r="PLN15" s="20"/>
      <c r="PLO15" s="20"/>
      <c r="PLP15" s="20"/>
      <c r="PLQ15" s="20"/>
      <c r="PLR15" s="20"/>
      <c r="PLS15" s="20"/>
      <c r="PLT15" s="20"/>
      <c r="PLU15" s="20"/>
      <c r="PLV15" s="20"/>
      <c r="PLW15" s="20"/>
      <c r="PLX15" s="20"/>
      <c r="PLY15" s="20"/>
      <c r="PLZ15" s="20"/>
      <c r="PMA15" s="20"/>
      <c r="PMB15" s="20"/>
      <c r="PMC15" s="20"/>
      <c r="PMD15" s="20"/>
      <c r="PME15" s="20"/>
      <c r="PMF15" s="20"/>
      <c r="PMG15" s="20"/>
      <c r="PMH15" s="20"/>
      <c r="PMI15" s="20"/>
      <c r="PMJ15" s="20"/>
      <c r="PMK15" s="20"/>
      <c r="PML15" s="20"/>
      <c r="PMM15" s="20"/>
      <c r="PMN15" s="20"/>
      <c r="PMO15" s="20"/>
      <c r="PMP15" s="20"/>
      <c r="PMQ15" s="20"/>
      <c r="PMR15" s="20"/>
      <c r="PMS15" s="20"/>
      <c r="PMT15" s="20"/>
      <c r="PMU15" s="20"/>
      <c r="PMV15" s="20"/>
      <c r="PMW15" s="20"/>
      <c r="PMX15" s="20"/>
      <c r="PMY15" s="20"/>
      <c r="PMZ15" s="20"/>
      <c r="PNA15" s="20"/>
      <c r="PNB15" s="20"/>
      <c r="PNC15" s="20"/>
      <c r="PND15" s="20"/>
      <c r="PNE15" s="20"/>
      <c r="PNF15" s="20"/>
      <c r="PNG15" s="20"/>
      <c r="PNH15" s="20"/>
      <c r="PNI15" s="20"/>
      <c r="PNJ15" s="20"/>
      <c r="PNK15" s="20"/>
      <c r="PNL15" s="20"/>
      <c r="PNM15" s="20"/>
      <c r="PNN15" s="20"/>
      <c r="PNO15" s="20"/>
      <c r="PNP15" s="20"/>
      <c r="PNQ15" s="20"/>
      <c r="PNR15" s="20"/>
      <c r="PNS15" s="20"/>
      <c r="PNT15" s="20"/>
      <c r="PNU15" s="20"/>
      <c r="PNV15" s="20"/>
      <c r="PNW15" s="20"/>
      <c r="PNX15" s="20"/>
      <c r="PNY15" s="20"/>
      <c r="PNZ15" s="20"/>
      <c r="POA15" s="20"/>
      <c r="POB15" s="20"/>
      <c r="POC15" s="20"/>
      <c r="POD15" s="20"/>
      <c r="POE15" s="20"/>
      <c r="POF15" s="20"/>
      <c r="POG15" s="20"/>
      <c r="POH15" s="20"/>
      <c r="POI15" s="20"/>
      <c r="POJ15" s="20"/>
      <c r="POK15" s="20"/>
      <c r="POL15" s="20"/>
      <c r="POM15" s="20"/>
      <c r="PON15" s="20"/>
      <c r="POO15" s="20"/>
      <c r="POP15" s="20"/>
      <c r="POQ15" s="20"/>
      <c r="POR15" s="20"/>
      <c r="POS15" s="20"/>
      <c r="POT15" s="20"/>
      <c r="POU15" s="20"/>
      <c r="POV15" s="20"/>
      <c r="POW15" s="20"/>
      <c r="POX15" s="20"/>
      <c r="POY15" s="20"/>
      <c r="POZ15" s="20"/>
      <c r="PPA15" s="20"/>
      <c r="PPB15" s="20"/>
      <c r="PPC15" s="20"/>
      <c r="PPD15" s="20"/>
      <c r="PPE15" s="20"/>
      <c r="PPF15" s="20"/>
      <c r="PPG15" s="20"/>
      <c r="PPH15" s="20"/>
      <c r="PPI15" s="20"/>
      <c r="PPJ15" s="20"/>
      <c r="PPK15" s="20"/>
      <c r="PPL15" s="20"/>
      <c r="PPM15" s="20"/>
      <c r="PPN15" s="20"/>
      <c r="PPO15" s="20"/>
      <c r="PPP15" s="20"/>
      <c r="PPQ15" s="20"/>
      <c r="PPR15" s="20"/>
      <c r="PPS15" s="20"/>
      <c r="PPT15" s="20"/>
      <c r="PPU15" s="20"/>
      <c r="PPV15" s="20"/>
      <c r="PPW15" s="20"/>
      <c r="PPX15" s="20"/>
      <c r="PPY15" s="20"/>
      <c r="PPZ15" s="20"/>
      <c r="PQA15" s="20"/>
      <c r="PQB15" s="20"/>
      <c r="PQC15" s="20"/>
      <c r="PQD15" s="20"/>
      <c r="PQE15" s="20"/>
      <c r="PQF15" s="20"/>
      <c r="PQG15" s="20"/>
      <c r="PQH15" s="20"/>
      <c r="PQI15" s="20"/>
      <c r="PQJ15" s="20"/>
      <c r="PQK15" s="20"/>
      <c r="PQL15" s="20"/>
      <c r="PQM15" s="20"/>
      <c r="PQN15" s="20"/>
      <c r="PQO15" s="20"/>
      <c r="PQP15" s="20"/>
      <c r="PQQ15" s="20"/>
      <c r="PQR15" s="20"/>
      <c r="PQS15" s="20"/>
      <c r="PQT15" s="20"/>
      <c r="PQU15" s="20"/>
      <c r="PQV15" s="20"/>
      <c r="PQW15" s="20"/>
      <c r="PQX15" s="20"/>
      <c r="PQY15" s="20"/>
      <c r="PQZ15" s="20"/>
      <c r="PRA15" s="20"/>
      <c r="PRB15" s="20"/>
      <c r="PRC15" s="20"/>
      <c r="PRD15" s="20"/>
      <c r="PRE15" s="20"/>
      <c r="PRF15" s="20"/>
      <c r="PRG15" s="20"/>
      <c r="PRH15" s="20"/>
      <c r="PRI15" s="20"/>
      <c r="PRJ15" s="20"/>
      <c r="PRK15" s="20"/>
      <c r="PRL15" s="20"/>
      <c r="PRM15" s="20"/>
      <c r="PRN15" s="20"/>
      <c r="PRO15" s="20"/>
      <c r="PRP15" s="20"/>
      <c r="PRQ15" s="20"/>
      <c r="PRR15" s="20"/>
      <c r="PRS15" s="20"/>
      <c r="PRT15" s="20"/>
      <c r="PRU15" s="20"/>
      <c r="PRV15" s="20"/>
      <c r="PRW15" s="20"/>
      <c r="PRX15" s="20"/>
      <c r="PRY15" s="20"/>
      <c r="PRZ15" s="20"/>
      <c r="PSA15" s="20"/>
      <c r="PSB15" s="20"/>
      <c r="PSC15" s="20"/>
      <c r="PSD15" s="20"/>
      <c r="PSE15" s="20"/>
      <c r="PSF15" s="20"/>
      <c r="PSG15" s="20"/>
      <c r="PSH15" s="20"/>
      <c r="PSI15" s="20"/>
      <c r="PSJ15" s="20"/>
      <c r="PSK15" s="20"/>
      <c r="PSL15" s="20"/>
      <c r="PSM15" s="20"/>
      <c r="PSN15" s="20"/>
      <c r="PSO15" s="20"/>
      <c r="PSP15" s="20"/>
      <c r="PSQ15" s="20"/>
      <c r="PSR15" s="20"/>
      <c r="PSS15" s="20"/>
      <c r="PST15" s="20"/>
      <c r="PSU15" s="20"/>
      <c r="PSV15" s="20"/>
      <c r="PSW15" s="20"/>
      <c r="PSX15" s="20"/>
      <c r="PSY15" s="20"/>
      <c r="PSZ15" s="20"/>
      <c r="PTA15" s="20"/>
      <c r="PTB15" s="20"/>
      <c r="PTC15" s="20"/>
      <c r="PTD15" s="20"/>
      <c r="PTE15" s="20"/>
      <c r="PTF15" s="20"/>
      <c r="PTG15" s="20"/>
      <c r="PTH15" s="20"/>
      <c r="PTI15" s="20"/>
      <c r="PTJ15" s="20"/>
      <c r="PTK15" s="20"/>
      <c r="PTL15" s="20"/>
      <c r="PTM15" s="20"/>
      <c r="PTN15" s="20"/>
      <c r="PTO15" s="20"/>
      <c r="PTP15" s="20"/>
      <c r="PTQ15" s="20"/>
      <c r="PTR15" s="20"/>
      <c r="PTS15" s="20"/>
      <c r="PTT15" s="20"/>
      <c r="PTU15" s="20"/>
      <c r="PTV15" s="20"/>
      <c r="PTW15" s="20"/>
      <c r="PTX15" s="20"/>
      <c r="PTY15" s="20"/>
      <c r="PTZ15" s="20"/>
      <c r="PUA15" s="20"/>
      <c r="PUB15" s="20"/>
      <c r="PUC15" s="20"/>
      <c r="PUD15" s="20"/>
      <c r="PUE15" s="20"/>
      <c r="PUF15" s="20"/>
      <c r="PUG15" s="20"/>
      <c r="PUH15" s="20"/>
      <c r="PUI15" s="20"/>
      <c r="PUJ15" s="20"/>
      <c r="PUK15" s="20"/>
      <c r="PUL15" s="20"/>
      <c r="PUM15" s="20"/>
      <c r="PUN15" s="20"/>
      <c r="PUO15" s="20"/>
      <c r="PUP15" s="20"/>
      <c r="PUQ15" s="20"/>
      <c r="PUR15" s="20"/>
      <c r="PUS15" s="20"/>
      <c r="PUT15" s="20"/>
      <c r="PUU15" s="20"/>
      <c r="PUV15" s="20"/>
      <c r="PUW15" s="20"/>
      <c r="PUX15" s="20"/>
      <c r="PUY15" s="20"/>
      <c r="PUZ15" s="20"/>
      <c r="PVA15" s="20"/>
      <c r="PVB15" s="20"/>
      <c r="PVC15" s="20"/>
      <c r="PVD15" s="20"/>
      <c r="PVE15" s="20"/>
      <c r="PVF15" s="20"/>
      <c r="PVG15" s="20"/>
      <c r="PVH15" s="20"/>
      <c r="PVI15" s="20"/>
      <c r="PVJ15" s="20"/>
      <c r="PVK15" s="20"/>
      <c r="PVL15" s="20"/>
      <c r="PVM15" s="20"/>
      <c r="PVN15" s="20"/>
      <c r="PVO15" s="20"/>
      <c r="PVP15" s="20"/>
      <c r="PVQ15" s="20"/>
      <c r="PVR15" s="20"/>
      <c r="PVS15" s="20"/>
      <c r="PVT15" s="20"/>
      <c r="PVU15" s="20"/>
      <c r="PVV15" s="20"/>
      <c r="PVW15" s="20"/>
      <c r="PVX15" s="20"/>
      <c r="PVY15" s="20"/>
      <c r="PVZ15" s="20"/>
      <c r="PWA15" s="20"/>
      <c r="PWB15" s="20"/>
      <c r="PWC15" s="20"/>
      <c r="PWD15" s="20"/>
      <c r="PWE15" s="20"/>
      <c r="PWF15" s="20"/>
      <c r="PWG15" s="20"/>
      <c r="PWH15" s="20"/>
      <c r="PWI15" s="20"/>
      <c r="PWJ15" s="20"/>
      <c r="PWK15" s="20"/>
      <c r="PWL15" s="20"/>
      <c r="PWM15" s="20"/>
      <c r="PWN15" s="20"/>
      <c r="PWO15" s="20"/>
      <c r="PWP15" s="20"/>
      <c r="PWQ15" s="20"/>
      <c r="PWR15" s="20"/>
      <c r="PWS15" s="20"/>
      <c r="PWT15" s="20"/>
      <c r="PWU15" s="20"/>
      <c r="PWV15" s="20"/>
      <c r="PWW15" s="20"/>
      <c r="PWX15" s="20"/>
      <c r="PWY15" s="20"/>
      <c r="PWZ15" s="20"/>
      <c r="PXA15" s="20"/>
      <c r="PXB15" s="20"/>
      <c r="PXC15" s="20"/>
      <c r="PXD15" s="20"/>
      <c r="PXE15" s="20"/>
      <c r="PXF15" s="20"/>
      <c r="PXG15" s="20"/>
      <c r="PXH15" s="20"/>
      <c r="PXI15" s="20"/>
      <c r="PXJ15" s="20"/>
      <c r="PXK15" s="20"/>
      <c r="PXL15" s="20"/>
      <c r="PXM15" s="20"/>
      <c r="PXN15" s="20"/>
      <c r="PXO15" s="20"/>
      <c r="PXP15" s="20"/>
      <c r="PXQ15" s="20"/>
      <c r="PXR15" s="20"/>
      <c r="PXS15" s="20"/>
      <c r="PXT15" s="20"/>
      <c r="PXU15" s="20"/>
      <c r="PXV15" s="20"/>
      <c r="PXW15" s="20"/>
      <c r="PXX15" s="20"/>
      <c r="PXY15" s="20"/>
      <c r="PXZ15" s="20"/>
      <c r="PYA15" s="20"/>
      <c r="PYB15" s="20"/>
      <c r="PYC15" s="20"/>
      <c r="PYD15" s="20"/>
      <c r="PYE15" s="20"/>
      <c r="PYF15" s="20"/>
      <c r="PYG15" s="20"/>
      <c r="PYH15" s="20"/>
      <c r="PYI15" s="20"/>
      <c r="PYJ15" s="20"/>
      <c r="PYK15" s="20"/>
      <c r="PYL15" s="20"/>
      <c r="PYM15" s="20"/>
      <c r="PYN15" s="20"/>
      <c r="PYO15" s="20"/>
      <c r="PYP15" s="20"/>
      <c r="PYQ15" s="20"/>
      <c r="PYR15" s="20"/>
      <c r="PYS15" s="20"/>
      <c r="PYT15" s="20"/>
      <c r="PYU15" s="20"/>
      <c r="PYV15" s="20"/>
      <c r="PYW15" s="20"/>
      <c r="PYX15" s="20"/>
      <c r="PYY15" s="20"/>
      <c r="PYZ15" s="20"/>
      <c r="PZA15" s="20"/>
      <c r="PZB15" s="20"/>
      <c r="PZC15" s="20"/>
      <c r="PZD15" s="20"/>
      <c r="PZE15" s="20"/>
      <c r="PZF15" s="20"/>
      <c r="PZG15" s="20"/>
      <c r="PZH15" s="20"/>
      <c r="PZI15" s="20"/>
      <c r="PZJ15" s="20"/>
      <c r="PZK15" s="20"/>
      <c r="PZL15" s="20"/>
      <c r="PZM15" s="20"/>
      <c r="PZN15" s="20"/>
      <c r="PZO15" s="20"/>
      <c r="PZP15" s="20"/>
      <c r="PZQ15" s="20"/>
      <c r="PZR15" s="20"/>
      <c r="PZS15" s="20"/>
      <c r="PZT15" s="20"/>
      <c r="PZU15" s="20"/>
      <c r="PZV15" s="20"/>
      <c r="PZW15" s="20"/>
      <c r="PZX15" s="20"/>
      <c r="PZY15" s="20"/>
      <c r="PZZ15" s="20"/>
      <c r="QAA15" s="20"/>
      <c r="QAB15" s="20"/>
      <c r="QAC15" s="20"/>
      <c r="QAD15" s="20"/>
      <c r="QAE15" s="20"/>
      <c r="QAF15" s="20"/>
      <c r="QAG15" s="20"/>
      <c r="QAH15" s="20"/>
      <c r="QAI15" s="20"/>
      <c r="QAJ15" s="20"/>
      <c r="QAK15" s="20"/>
      <c r="QAL15" s="20"/>
      <c r="QAM15" s="20"/>
      <c r="QAN15" s="20"/>
      <c r="QAO15" s="20"/>
      <c r="QAP15" s="20"/>
      <c r="QAQ15" s="20"/>
      <c r="QAR15" s="20"/>
      <c r="QAS15" s="20"/>
      <c r="QAT15" s="20"/>
      <c r="QAU15" s="20"/>
      <c r="QAV15" s="20"/>
      <c r="QAW15" s="20"/>
      <c r="QAX15" s="20"/>
      <c r="QAY15" s="20"/>
      <c r="QAZ15" s="20"/>
      <c r="QBA15" s="20"/>
      <c r="QBB15" s="20"/>
      <c r="QBC15" s="20"/>
      <c r="QBD15" s="20"/>
      <c r="QBE15" s="20"/>
      <c r="QBF15" s="20"/>
      <c r="QBG15" s="20"/>
      <c r="QBH15" s="20"/>
      <c r="QBI15" s="20"/>
      <c r="QBJ15" s="20"/>
      <c r="QBK15" s="20"/>
      <c r="QBL15" s="20"/>
      <c r="QBM15" s="20"/>
      <c r="QBN15" s="20"/>
      <c r="QBO15" s="20"/>
      <c r="QBP15" s="20"/>
      <c r="QBQ15" s="20"/>
      <c r="QBR15" s="20"/>
      <c r="QBS15" s="20"/>
      <c r="QBT15" s="20"/>
      <c r="QBU15" s="20"/>
      <c r="QBV15" s="20"/>
      <c r="QBW15" s="20"/>
      <c r="QBX15" s="20"/>
      <c r="QBY15" s="20"/>
      <c r="QBZ15" s="20"/>
      <c r="QCA15" s="20"/>
      <c r="QCB15" s="20"/>
      <c r="QCC15" s="20"/>
      <c r="QCD15" s="20"/>
      <c r="QCE15" s="20"/>
      <c r="QCF15" s="20"/>
      <c r="QCG15" s="20"/>
      <c r="QCH15" s="20"/>
      <c r="QCI15" s="20"/>
      <c r="QCJ15" s="20"/>
      <c r="QCK15" s="20"/>
      <c r="QCL15" s="20"/>
      <c r="QCM15" s="20"/>
      <c r="QCN15" s="20"/>
      <c r="QCO15" s="20"/>
      <c r="QCP15" s="20"/>
      <c r="QCQ15" s="20"/>
      <c r="QCR15" s="20"/>
      <c r="QCS15" s="20"/>
      <c r="QCT15" s="20"/>
      <c r="QCU15" s="20"/>
      <c r="QCV15" s="20"/>
      <c r="QCW15" s="20"/>
      <c r="QCX15" s="20"/>
      <c r="QCY15" s="20"/>
      <c r="QCZ15" s="20"/>
      <c r="QDA15" s="20"/>
      <c r="QDB15" s="20"/>
      <c r="QDC15" s="20"/>
      <c r="QDD15" s="20"/>
      <c r="QDE15" s="20"/>
      <c r="QDF15" s="20"/>
      <c r="QDG15" s="20"/>
      <c r="QDH15" s="20"/>
      <c r="QDI15" s="20"/>
      <c r="QDJ15" s="20"/>
      <c r="QDK15" s="20"/>
      <c r="QDL15" s="20"/>
      <c r="QDM15" s="20"/>
      <c r="QDN15" s="20"/>
      <c r="QDO15" s="20"/>
      <c r="QDP15" s="20"/>
      <c r="QDQ15" s="20"/>
      <c r="QDR15" s="20"/>
      <c r="QDS15" s="20"/>
      <c r="QDT15" s="20"/>
      <c r="QDU15" s="20"/>
      <c r="QDV15" s="20"/>
      <c r="QDW15" s="20"/>
      <c r="QDX15" s="20"/>
      <c r="QDY15" s="20"/>
      <c r="QDZ15" s="20"/>
      <c r="QEA15" s="20"/>
      <c r="QEB15" s="20"/>
      <c r="QEC15" s="20"/>
      <c r="QED15" s="20"/>
      <c r="QEE15" s="20"/>
      <c r="QEF15" s="20"/>
      <c r="QEG15" s="20"/>
      <c r="QEH15" s="20"/>
      <c r="QEI15" s="20"/>
      <c r="QEJ15" s="20"/>
      <c r="QEK15" s="20"/>
      <c r="QEL15" s="20"/>
      <c r="QEM15" s="20"/>
      <c r="QEN15" s="20"/>
      <c r="QEO15" s="20"/>
      <c r="QEP15" s="20"/>
      <c r="QEQ15" s="20"/>
      <c r="QER15" s="20"/>
      <c r="QES15" s="20"/>
      <c r="QET15" s="20"/>
      <c r="QEU15" s="20"/>
      <c r="QEV15" s="20"/>
      <c r="QEW15" s="20"/>
      <c r="QEX15" s="20"/>
      <c r="QEY15" s="20"/>
      <c r="QEZ15" s="20"/>
      <c r="QFA15" s="20"/>
      <c r="QFB15" s="20"/>
      <c r="QFC15" s="20"/>
      <c r="QFD15" s="20"/>
      <c r="QFE15" s="20"/>
      <c r="QFF15" s="20"/>
      <c r="QFG15" s="20"/>
      <c r="QFH15" s="20"/>
      <c r="QFI15" s="20"/>
      <c r="QFJ15" s="20"/>
      <c r="QFK15" s="20"/>
      <c r="QFL15" s="20"/>
      <c r="QFM15" s="20"/>
      <c r="QFN15" s="20"/>
      <c r="QFO15" s="20"/>
      <c r="QFP15" s="20"/>
      <c r="QFQ15" s="20"/>
      <c r="QFR15" s="20"/>
      <c r="QFS15" s="20"/>
      <c r="QFT15" s="20"/>
      <c r="QFU15" s="20"/>
      <c r="QFV15" s="20"/>
      <c r="QFW15" s="20"/>
      <c r="QFX15" s="20"/>
      <c r="QFY15" s="20"/>
      <c r="QFZ15" s="20"/>
      <c r="QGA15" s="20"/>
      <c r="QGB15" s="20"/>
      <c r="QGC15" s="20"/>
      <c r="QGD15" s="20"/>
      <c r="QGE15" s="20"/>
      <c r="QGF15" s="20"/>
      <c r="QGG15" s="20"/>
      <c r="QGH15" s="20"/>
      <c r="QGI15" s="20"/>
      <c r="QGJ15" s="20"/>
      <c r="QGK15" s="20"/>
      <c r="QGL15" s="20"/>
      <c r="QGM15" s="20"/>
      <c r="QGN15" s="20"/>
      <c r="QGO15" s="20"/>
      <c r="QGP15" s="20"/>
      <c r="QGQ15" s="20"/>
      <c r="QGR15" s="20"/>
      <c r="QGS15" s="20"/>
      <c r="QGT15" s="20"/>
      <c r="QGU15" s="20"/>
      <c r="QGV15" s="20"/>
      <c r="QGW15" s="20"/>
      <c r="QGX15" s="20"/>
      <c r="QGY15" s="20"/>
      <c r="QGZ15" s="20"/>
      <c r="QHA15" s="20"/>
      <c r="QHB15" s="20"/>
      <c r="QHC15" s="20"/>
      <c r="QHD15" s="20"/>
      <c r="QHE15" s="20"/>
      <c r="QHF15" s="20"/>
      <c r="QHG15" s="20"/>
      <c r="QHH15" s="20"/>
      <c r="QHI15" s="20"/>
      <c r="QHJ15" s="20"/>
      <c r="QHK15" s="20"/>
      <c r="QHL15" s="20"/>
      <c r="QHM15" s="20"/>
      <c r="QHN15" s="20"/>
      <c r="QHO15" s="20"/>
      <c r="QHP15" s="20"/>
      <c r="QHQ15" s="20"/>
      <c r="QHR15" s="20"/>
      <c r="QHS15" s="20"/>
      <c r="QHT15" s="20"/>
      <c r="QHU15" s="20"/>
      <c r="QHV15" s="20"/>
      <c r="QHW15" s="20"/>
      <c r="QHX15" s="20"/>
      <c r="QHY15" s="20"/>
      <c r="QHZ15" s="20"/>
      <c r="QIA15" s="20"/>
      <c r="QIB15" s="20"/>
      <c r="QIC15" s="20"/>
      <c r="QID15" s="20"/>
      <c r="QIE15" s="20"/>
      <c r="QIF15" s="20"/>
      <c r="QIG15" s="20"/>
      <c r="QIH15" s="20"/>
      <c r="QII15" s="20"/>
      <c r="QIJ15" s="20"/>
      <c r="QIK15" s="20"/>
      <c r="QIL15" s="20"/>
      <c r="QIM15" s="20"/>
      <c r="QIN15" s="20"/>
      <c r="QIO15" s="20"/>
      <c r="QIP15" s="20"/>
      <c r="QIQ15" s="20"/>
      <c r="QIR15" s="20"/>
      <c r="QIS15" s="20"/>
      <c r="QIT15" s="20"/>
      <c r="QIU15" s="20"/>
      <c r="QIV15" s="20"/>
      <c r="QIW15" s="20"/>
      <c r="QIX15" s="20"/>
      <c r="QIY15" s="20"/>
      <c r="QIZ15" s="20"/>
      <c r="QJA15" s="20"/>
      <c r="QJB15" s="20"/>
      <c r="QJC15" s="20"/>
      <c r="QJD15" s="20"/>
      <c r="QJE15" s="20"/>
      <c r="QJF15" s="20"/>
      <c r="QJG15" s="20"/>
      <c r="QJH15" s="20"/>
      <c r="QJI15" s="20"/>
      <c r="QJJ15" s="20"/>
      <c r="QJK15" s="20"/>
      <c r="QJL15" s="20"/>
      <c r="QJM15" s="20"/>
      <c r="QJN15" s="20"/>
      <c r="QJO15" s="20"/>
      <c r="QJP15" s="20"/>
      <c r="QJQ15" s="20"/>
      <c r="QJR15" s="20"/>
      <c r="QJS15" s="20"/>
      <c r="QJT15" s="20"/>
      <c r="QJU15" s="20"/>
      <c r="QJV15" s="20"/>
      <c r="QJW15" s="20"/>
      <c r="QJX15" s="20"/>
      <c r="QJY15" s="20"/>
      <c r="QJZ15" s="20"/>
      <c r="QKA15" s="20"/>
      <c r="QKB15" s="20"/>
      <c r="QKC15" s="20"/>
      <c r="QKD15" s="20"/>
      <c r="QKE15" s="20"/>
      <c r="QKF15" s="20"/>
      <c r="QKG15" s="20"/>
      <c r="QKH15" s="20"/>
      <c r="QKI15" s="20"/>
      <c r="QKJ15" s="20"/>
      <c r="QKK15" s="20"/>
      <c r="QKL15" s="20"/>
      <c r="QKM15" s="20"/>
      <c r="QKN15" s="20"/>
      <c r="QKO15" s="20"/>
      <c r="QKP15" s="20"/>
      <c r="QKQ15" s="20"/>
      <c r="QKR15" s="20"/>
      <c r="QKS15" s="20"/>
      <c r="QKT15" s="20"/>
      <c r="QKU15" s="20"/>
      <c r="QKV15" s="20"/>
      <c r="QKW15" s="20"/>
      <c r="QKX15" s="20"/>
      <c r="QKY15" s="20"/>
      <c r="QKZ15" s="20"/>
      <c r="QLA15" s="20"/>
      <c r="QLB15" s="20"/>
      <c r="QLC15" s="20"/>
      <c r="QLD15" s="20"/>
      <c r="QLE15" s="20"/>
      <c r="QLF15" s="20"/>
      <c r="QLG15" s="20"/>
      <c r="QLH15" s="20"/>
      <c r="QLI15" s="20"/>
      <c r="QLJ15" s="20"/>
      <c r="QLK15" s="20"/>
      <c r="QLL15" s="20"/>
      <c r="QLM15" s="20"/>
      <c r="QLN15" s="20"/>
      <c r="QLO15" s="20"/>
      <c r="QLP15" s="20"/>
      <c r="QLQ15" s="20"/>
      <c r="QLR15" s="20"/>
      <c r="QLS15" s="20"/>
      <c r="QLT15" s="20"/>
      <c r="QLU15" s="20"/>
      <c r="QLV15" s="20"/>
      <c r="QLW15" s="20"/>
      <c r="QLX15" s="20"/>
      <c r="QLY15" s="20"/>
      <c r="QLZ15" s="20"/>
      <c r="QMA15" s="20"/>
      <c r="QMB15" s="20"/>
      <c r="QMC15" s="20"/>
      <c r="QMD15" s="20"/>
      <c r="QME15" s="20"/>
      <c r="QMF15" s="20"/>
      <c r="QMG15" s="20"/>
      <c r="QMH15" s="20"/>
      <c r="QMI15" s="20"/>
      <c r="QMJ15" s="20"/>
      <c r="QMK15" s="20"/>
      <c r="QML15" s="20"/>
      <c r="QMM15" s="20"/>
      <c r="QMN15" s="20"/>
      <c r="QMO15" s="20"/>
      <c r="QMP15" s="20"/>
      <c r="QMQ15" s="20"/>
      <c r="QMR15" s="20"/>
      <c r="QMS15" s="20"/>
      <c r="QMT15" s="20"/>
      <c r="QMU15" s="20"/>
      <c r="QMV15" s="20"/>
      <c r="QMW15" s="20"/>
      <c r="QMX15" s="20"/>
      <c r="QMY15" s="20"/>
      <c r="QMZ15" s="20"/>
      <c r="QNA15" s="20"/>
      <c r="QNB15" s="20"/>
      <c r="QNC15" s="20"/>
      <c r="QND15" s="20"/>
      <c r="QNE15" s="20"/>
      <c r="QNF15" s="20"/>
      <c r="QNG15" s="20"/>
      <c r="QNH15" s="20"/>
      <c r="QNI15" s="20"/>
      <c r="QNJ15" s="20"/>
      <c r="QNK15" s="20"/>
      <c r="QNL15" s="20"/>
      <c r="QNM15" s="20"/>
      <c r="QNN15" s="20"/>
      <c r="QNO15" s="20"/>
      <c r="QNP15" s="20"/>
      <c r="QNQ15" s="20"/>
      <c r="QNR15" s="20"/>
      <c r="QNS15" s="20"/>
      <c r="QNT15" s="20"/>
      <c r="QNU15" s="20"/>
      <c r="QNV15" s="20"/>
      <c r="QNW15" s="20"/>
      <c r="QNX15" s="20"/>
      <c r="QNY15" s="20"/>
      <c r="QNZ15" s="20"/>
      <c r="QOA15" s="20"/>
      <c r="QOB15" s="20"/>
      <c r="QOC15" s="20"/>
      <c r="QOD15" s="20"/>
      <c r="QOE15" s="20"/>
      <c r="QOF15" s="20"/>
      <c r="QOG15" s="20"/>
      <c r="QOH15" s="20"/>
      <c r="QOI15" s="20"/>
      <c r="QOJ15" s="20"/>
      <c r="QOK15" s="20"/>
      <c r="QOL15" s="20"/>
      <c r="QOM15" s="20"/>
      <c r="QON15" s="20"/>
      <c r="QOO15" s="20"/>
      <c r="QOP15" s="20"/>
      <c r="QOQ15" s="20"/>
      <c r="QOR15" s="20"/>
      <c r="QOS15" s="20"/>
      <c r="QOT15" s="20"/>
      <c r="QOU15" s="20"/>
      <c r="QOV15" s="20"/>
      <c r="QOW15" s="20"/>
      <c r="QOX15" s="20"/>
      <c r="QOY15" s="20"/>
      <c r="QOZ15" s="20"/>
      <c r="QPA15" s="20"/>
      <c r="QPB15" s="20"/>
      <c r="QPC15" s="20"/>
      <c r="QPD15" s="20"/>
      <c r="QPE15" s="20"/>
      <c r="QPF15" s="20"/>
      <c r="QPG15" s="20"/>
      <c r="QPH15" s="20"/>
      <c r="QPI15" s="20"/>
      <c r="QPJ15" s="20"/>
      <c r="QPK15" s="20"/>
      <c r="QPL15" s="20"/>
      <c r="QPM15" s="20"/>
      <c r="QPN15" s="20"/>
      <c r="QPO15" s="20"/>
      <c r="QPP15" s="20"/>
      <c r="QPQ15" s="20"/>
      <c r="QPR15" s="20"/>
      <c r="QPS15" s="20"/>
      <c r="QPT15" s="20"/>
      <c r="QPU15" s="20"/>
      <c r="QPV15" s="20"/>
      <c r="QPW15" s="20"/>
      <c r="QPX15" s="20"/>
      <c r="QPY15" s="20"/>
      <c r="QPZ15" s="20"/>
      <c r="QQA15" s="20"/>
      <c r="QQB15" s="20"/>
      <c r="QQC15" s="20"/>
      <c r="QQD15" s="20"/>
      <c r="QQE15" s="20"/>
      <c r="QQF15" s="20"/>
      <c r="QQG15" s="20"/>
      <c r="QQH15" s="20"/>
      <c r="QQI15" s="20"/>
      <c r="QQJ15" s="20"/>
      <c r="QQK15" s="20"/>
      <c r="QQL15" s="20"/>
      <c r="QQM15" s="20"/>
      <c r="QQN15" s="20"/>
      <c r="QQO15" s="20"/>
      <c r="QQP15" s="20"/>
      <c r="QQQ15" s="20"/>
      <c r="QQR15" s="20"/>
      <c r="QQS15" s="20"/>
      <c r="QQT15" s="20"/>
      <c r="QQU15" s="20"/>
      <c r="QQV15" s="20"/>
      <c r="QQW15" s="20"/>
      <c r="QQX15" s="20"/>
      <c r="QQY15" s="20"/>
      <c r="QQZ15" s="20"/>
      <c r="QRA15" s="20"/>
      <c r="QRB15" s="20"/>
      <c r="QRC15" s="20"/>
      <c r="QRD15" s="20"/>
      <c r="QRE15" s="20"/>
      <c r="QRF15" s="20"/>
      <c r="QRG15" s="20"/>
      <c r="QRH15" s="20"/>
      <c r="QRI15" s="20"/>
      <c r="QRJ15" s="20"/>
      <c r="QRK15" s="20"/>
      <c r="QRL15" s="20"/>
      <c r="QRM15" s="20"/>
      <c r="QRN15" s="20"/>
      <c r="QRO15" s="20"/>
      <c r="QRP15" s="20"/>
      <c r="QRQ15" s="20"/>
      <c r="QRR15" s="20"/>
      <c r="QRS15" s="20"/>
      <c r="QRT15" s="20"/>
      <c r="QRU15" s="20"/>
      <c r="QRV15" s="20"/>
      <c r="QRW15" s="20"/>
      <c r="QRX15" s="20"/>
      <c r="QRY15" s="20"/>
      <c r="QRZ15" s="20"/>
      <c r="QSA15" s="20"/>
      <c r="QSB15" s="20"/>
      <c r="QSC15" s="20"/>
      <c r="QSD15" s="20"/>
      <c r="QSE15" s="20"/>
      <c r="QSF15" s="20"/>
      <c r="QSG15" s="20"/>
      <c r="QSH15" s="20"/>
      <c r="QSI15" s="20"/>
      <c r="QSJ15" s="20"/>
      <c r="QSK15" s="20"/>
      <c r="QSL15" s="20"/>
      <c r="QSM15" s="20"/>
      <c r="QSN15" s="20"/>
      <c r="QSO15" s="20"/>
      <c r="QSP15" s="20"/>
      <c r="QSQ15" s="20"/>
      <c r="QSR15" s="20"/>
      <c r="QSS15" s="20"/>
      <c r="QST15" s="20"/>
      <c r="QSU15" s="20"/>
      <c r="QSV15" s="20"/>
      <c r="QSW15" s="20"/>
      <c r="QSX15" s="20"/>
      <c r="QSY15" s="20"/>
      <c r="QSZ15" s="20"/>
      <c r="QTA15" s="20"/>
      <c r="QTB15" s="20"/>
      <c r="QTC15" s="20"/>
      <c r="QTD15" s="20"/>
      <c r="QTE15" s="20"/>
      <c r="QTF15" s="20"/>
      <c r="QTG15" s="20"/>
      <c r="QTH15" s="20"/>
      <c r="QTI15" s="20"/>
      <c r="QTJ15" s="20"/>
      <c r="QTK15" s="20"/>
      <c r="QTL15" s="20"/>
      <c r="QTM15" s="20"/>
      <c r="QTN15" s="20"/>
      <c r="QTO15" s="20"/>
      <c r="QTP15" s="20"/>
      <c r="QTQ15" s="20"/>
      <c r="QTR15" s="20"/>
      <c r="QTS15" s="20"/>
      <c r="QTT15" s="20"/>
      <c r="QTU15" s="20"/>
      <c r="QTV15" s="20"/>
      <c r="QTW15" s="20"/>
      <c r="QTX15" s="20"/>
      <c r="QTY15" s="20"/>
      <c r="QTZ15" s="20"/>
      <c r="QUA15" s="20"/>
      <c r="QUB15" s="20"/>
      <c r="QUC15" s="20"/>
      <c r="QUD15" s="20"/>
      <c r="QUE15" s="20"/>
      <c r="QUF15" s="20"/>
      <c r="QUG15" s="20"/>
      <c r="QUH15" s="20"/>
      <c r="QUI15" s="20"/>
      <c r="QUJ15" s="20"/>
      <c r="QUK15" s="20"/>
      <c r="QUL15" s="20"/>
      <c r="QUM15" s="20"/>
      <c r="QUN15" s="20"/>
      <c r="QUO15" s="20"/>
      <c r="QUP15" s="20"/>
      <c r="QUQ15" s="20"/>
      <c r="QUR15" s="20"/>
      <c r="QUS15" s="20"/>
      <c r="QUT15" s="20"/>
      <c r="QUU15" s="20"/>
      <c r="QUV15" s="20"/>
      <c r="QUW15" s="20"/>
      <c r="QUX15" s="20"/>
      <c r="QUY15" s="20"/>
      <c r="QUZ15" s="20"/>
      <c r="QVA15" s="20"/>
      <c r="QVB15" s="20"/>
      <c r="QVC15" s="20"/>
      <c r="QVD15" s="20"/>
      <c r="QVE15" s="20"/>
      <c r="QVF15" s="20"/>
      <c r="QVG15" s="20"/>
      <c r="QVH15" s="20"/>
      <c r="QVI15" s="20"/>
      <c r="QVJ15" s="20"/>
      <c r="QVK15" s="20"/>
      <c r="QVL15" s="20"/>
      <c r="QVM15" s="20"/>
      <c r="QVN15" s="20"/>
      <c r="QVO15" s="20"/>
      <c r="QVP15" s="20"/>
      <c r="QVQ15" s="20"/>
      <c r="QVR15" s="20"/>
      <c r="QVS15" s="20"/>
      <c r="QVT15" s="20"/>
      <c r="QVU15" s="20"/>
      <c r="QVV15" s="20"/>
      <c r="QVW15" s="20"/>
      <c r="QVX15" s="20"/>
      <c r="QVY15" s="20"/>
      <c r="QVZ15" s="20"/>
      <c r="QWA15" s="20"/>
      <c r="QWB15" s="20"/>
      <c r="QWC15" s="20"/>
      <c r="QWD15" s="20"/>
      <c r="QWE15" s="20"/>
      <c r="QWF15" s="20"/>
      <c r="QWG15" s="20"/>
      <c r="QWH15" s="20"/>
      <c r="QWI15" s="20"/>
      <c r="QWJ15" s="20"/>
      <c r="QWK15" s="20"/>
      <c r="QWL15" s="20"/>
      <c r="QWM15" s="20"/>
      <c r="QWN15" s="20"/>
      <c r="QWO15" s="20"/>
      <c r="QWP15" s="20"/>
      <c r="QWQ15" s="20"/>
      <c r="QWR15" s="20"/>
      <c r="QWS15" s="20"/>
      <c r="QWT15" s="20"/>
      <c r="QWU15" s="20"/>
      <c r="QWV15" s="20"/>
      <c r="QWW15" s="20"/>
      <c r="QWX15" s="20"/>
      <c r="QWY15" s="20"/>
      <c r="QWZ15" s="20"/>
      <c r="QXA15" s="20"/>
      <c r="QXB15" s="20"/>
      <c r="QXC15" s="20"/>
      <c r="QXD15" s="20"/>
      <c r="QXE15" s="20"/>
      <c r="QXF15" s="20"/>
      <c r="QXG15" s="20"/>
      <c r="QXH15" s="20"/>
      <c r="QXI15" s="20"/>
      <c r="QXJ15" s="20"/>
      <c r="QXK15" s="20"/>
      <c r="QXL15" s="20"/>
      <c r="QXM15" s="20"/>
      <c r="QXN15" s="20"/>
      <c r="QXO15" s="20"/>
      <c r="QXP15" s="20"/>
      <c r="QXQ15" s="20"/>
      <c r="QXR15" s="20"/>
      <c r="QXS15" s="20"/>
      <c r="QXT15" s="20"/>
      <c r="QXU15" s="20"/>
      <c r="QXV15" s="20"/>
      <c r="QXW15" s="20"/>
      <c r="QXX15" s="20"/>
      <c r="QXY15" s="20"/>
      <c r="QXZ15" s="20"/>
      <c r="QYA15" s="20"/>
      <c r="QYB15" s="20"/>
      <c r="QYC15" s="20"/>
      <c r="QYD15" s="20"/>
      <c r="QYE15" s="20"/>
      <c r="QYF15" s="20"/>
      <c r="QYG15" s="20"/>
      <c r="QYH15" s="20"/>
      <c r="QYI15" s="20"/>
      <c r="QYJ15" s="20"/>
      <c r="QYK15" s="20"/>
      <c r="QYL15" s="20"/>
      <c r="QYM15" s="20"/>
      <c r="QYN15" s="20"/>
      <c r="QYO15" s="20"/>
      <c r="QYP15" s="20"/>
      <c r="QYQ15" s="20"/>
      <c r="QYR15" s="20"/>
      <c r="QYS15" s="20"/>
      <c r="QYT15" s="20"/>
      <c r="QYU15" s="20"/>
      <c r="QYV15" s="20"/>
      <c r="QYW15" s="20"/>
      <c r="QYX15" s="20"/>
      <c r="QYY15" s="20"/>
      <c r="QYZ15" s="20"/>
      <c r="QZA15" s="20"/>
      <c r="QZB15" s="20"/>
      <c r="QZC15" s="20"/>
      <c r="QZD15" s="20"/>
      <c r="QZE15" s="20"/>
      <c r="QZF15" s="20"/>
      <c r="QZG15" s="20"/>
      <c r="QZH15" s="20"/>
      <c r="QZI15" s="20"/>
      <c r="QZJ15" s="20"/>
      <c r="QZK15" s="20"/>
      <c r="QZL15" s="20"/>
      <c r="QZM15" s="20"/>
      <c r="QZN15" s="20"/>
      <c r="QZO15" s="20"/>
      <c r="QZP15" s="20"/>
      <c r="QZQ15" s="20"/>
      <c r="QZR15" s="20"/>
      <c r="QZS15" s="20"/>
      <c r="QZT15" s="20"/>
      <c r="QZU15" s="20"/>
      <c r="QZV15" s="20"/>
      <c r="QZW15" s="20"/>
      <c r="QZX15" s="20"/>
      <c r="QZY15" s="20"/>
      <c r="QZZ15" s="20"/>
      <c r="RAA15" s="20"/>
      <c r="RAB15" s="20"/>
      <c r="RAC15" s="20"/>
      <c r="RAD15" s="20"/>
      <c r="RAE15" s="20"/>
      <c r="RAF15" s="20"/>
      <c r="RAG15" s="20"/>
      <c r="RAH15" s="20"/>
      <c r="RAI15" s="20"/>
      <c r="RAJ15" s="20"/>
      <c r="RAK15" s="20"/>
      <c r="RAL15" s="20"/>
      <c r="RAM15" s="20"/>
      <c r="RAN15" s="20"/>
      <c r="RAO15" s="20"/>
      <c r="RAP15" s="20"/>
      <c r="RAQ15" s="20"/>
      <c r="RAR15" s="20"/>
      <c r="RAS15" s="20"/>
      <c r="RAT15" s="20"/>
      <c r="RAU15" s="20"/>
      <c r="RAV15" s="20"/>
      <c r="RAW15" s="20"/>
      <c r="RAX15" s="20"/>
      <c r="RAY15" s="20"/>
      <c r="RAZ15" s="20"/>
      <c r="RBA15" s="20"/>
      <c r="RBB15" s="20"/>
      <c r="RBC15" s="20"/>
      <c r="RBD15" s="20"/>
      <c r="RBE15" s="20"/>
      <c r="RBF15" s="20"/>
      <c r="RBG15" s="20"/>
      <c r="RBH15" s="20"/>
      <c r="RBI15" s="20"/>
      <c r="RBJ15" s="20"/>
      <c r="RBK15" s="20"/>
      <c r="RBL15" s="20"/>
      <c r="RBM15" s="20"/>
      <c r="RBN15" s="20"/>
      <c r="RBO15" s="20"/>
      <c r="RBP15" s="20"/>
      <c r="RBQ15" s="20"/>
      <c r="RBR15" s="20"/>
      <c r="RBS15" s="20"/>
      <c r="RBT15" s="20"/>
      <c r="RBU15" s="20"/>
      <c r="RBV15" s="20"/>
      <c r="RBW15" s="20"/>
      <c r="RBX15" s="20"/>
      <c r="RBY15" s="20"/>
      <c r="RBZ15" s="20"/>
      <c r="RCA15" s="20"/>
      <c r="RCB15" s="20"/>
      <c r="RCC15" s="20"/>
      <c r="RCD15" s="20"/>
      <c r="RCE15" s="20"/>
      <c r="RCF15" s="20"/>
      <c r="RCG15" s="20"/>
      <c r="RCH15" s="20"/>
      <c r="RCI15" s="20"/>
      <c r="RCJ15" s="20"/>
      <c r="RCK15" s="20"/>
      <c r="RCL15" s="20"/>
      <c r="RCM15" s="20"/>
      <c r="RCN15" s="20"/>
      <c r="RCO15" s="20"/>
      <c r="RCP15" s="20"/>
      <c r="RCQ15" s="20"/>
      <c r="RCR15" s="20"/>
      <c r="RCS15" s="20"/>
      <c r="RCT15" s="20"/>
      <c r="RCU15" s="20"/>
      <c r="RCV15" s="20"/>
      <c r="RCW15" s="20"/>
      <c r="RCX15" s="20"/>
      <c r="RCY15" s="20"/>
      <c r="RCZ15" s="20"/>
      <c r="RDA15" s="20"/>
      <c r="RDB15" s="20"/>
      <c r="RDC15" s="20"/>
      <c r="RDD15" s="20"/>
      <c r="RDE15" s="20"/>
      <c r="RDF15" s="20"/>
      <c r="RDG15" s="20"/>
      <c r="RDH15" s="20"/>
      <c r="RDI15" s="20"/>
      <c r="RDJ15" s="20"/>
      <c r="RDK15" s="20"/>
      <c r="RDL15" s="20"/>
      <c r="RDM15" s="20"/>
      <c r="RDN15" s="20"/>
      <c r="RDO15" s="20"/>
      <c r="RDP15" s="20"/>
      <c r="RDQ15" s="20"/>
      <c r="RDR15" s="20"/>
      <c r="RDS15" s="20"/>
      <c r="RDT15" s="20"/>
      <c r="RDU15" s="20"/>
      <c r="RDV15" s="20"/>
      <c r="RDW15" s="20"/>
      <c r="RDX15" s="20"/>
      <c r="RDY15" s="20"/>
      <c r="RDZ15" s="20"/>
      <c r="REA15" s="20"/>
      <c r="REB15" s="20"/>
      <c r="REC15" s="20"/>
      <c r="RED15" s="20"/>
      <c r="REE15" s="20"/>
      <c r="REF15" s="20"/>
      <c r="REG15" s="20"/>
      <c r="REH15" s="20"/>
      <c r="REI15" s="20"/>
      <c r="REJ15" s="20"/>
      <c r="REK15" s="20"/>
      <c r="REL15" s="20"/>
      <c r="REM15" s="20"/>
      <c r="REN15" s="20"/>
      <c r="REO15" s="20"/>
      <c r="REP15" s="20"/>
      <c r="REQ15" s="20"/>
      <c r="RER15" s="20"/>
      <c r="RES15" s="20"/>
      <c r="RET15" s="20"/>
      <c r="REU15" s="20"/>
      <c r="REV15" s="20"/>
      <c r="REW15" s="20"/>
      <c r="REX15" s="20"/>
      <c r="REY15" s="20"/>
      <c r="REZ15" s="20"/>
      <c r="RFA15" s="20"/>
      <c r="RFB15" s="20"/>
      <c r="RFC15" s="20"/>
      <c r="RFD15" s="20"/>
      <c r="RFE15" s="20"/>
      <c r="RFF15" s="20"/>
      <c r="RFG15" s="20"/>
      <c r="RFH15" s="20"/>
      <c r="RFI15" s="20"/>
      <c r="RFJ15" s="20"/>
      <c r="RFK15" s="20"/>
      <c r="RFL15" s="20"/>
      <c r="RFM15" s="20"/>
      <c r="RFN15" s="20"/>
      <c r="RFO15" s="20"/>
      <c r="RFP15" s="20"/>
      <c r="RFQ15" s="20"/>
      <c r="RFR15" s="20"/>
      <c r="RFS15" s="20"/>
      <c r="RFT15" s="20"/>
      <c r="RFU15" s="20"/>
      <c r="RFV15" s="20"/>
      <c r="RFW15" s="20"/>
      <c r="RFX15" s="20"/>
      <c r="RFY15" s="20"/>
      <c r="RFZ15" s="20"/>
      <c r="RGA15" s="20"/>
      <c r="RGB15" s="20"/>
      <c r="RGC15" s="20"/>
      <c r="RGD15" s="20"/>
      <c r="RGE15" s="20"/>
      <c r="RGF15" s="20"/>
      <c r="RGG15" s="20"/>
      <c r="RGH15" s="20"/>
      <c r="RGI15" s="20"/>
      <c r="RGJ15" s="20"/>
      <c r="RGK15" s="20"/>
      <c r="RGL15" s="20"/>
      <c r="RGM15" s="20"/>
      <c r="RGN15" s="20"/>
      <c r="RGO15" s="20"/>
      <c r="RGP15" s="20"/>
      <c r="RGQ15" s="20"/>
      <c r="RGR15" s="20"/>
      <c r="RGS15" s="20"/>
      <c r="RGT15" s="20"/>
      <c r="RGU15" s="20"/>
      <c r="RGV15" s="20"/>
      <c r="RGW15" s="20"/>
      <c r="RGX15" s="20"/>
      <c r="RGY15" s="20"/>
      <c r="RGZ15" s="20"/>
      <c r="RHA15" s="20"/>
      <c r="RHB15" s="20"/>
      <c r="RHC15" s="20"/>
      <c r="RHD15" s="20"/>
      <c r="RHE15" s="20"/>
      <c r="RHF15" s="20"/>
      <c r="RHG15" s="20"/>
      <c r="RHH15" s="20"/>
      <c r="RHI15" s="20"/>
      <c r="RHJ15" s="20"/>
      <c r="RHK15" s="20"/>
      <c r="RHL15" s="20"/>
      <c r="RHM15" s="20"/>
      <c r="RHN15" s="20"/>
      <c r="RHO15" s="20"/>
      <c r="RHP15" s="20"/>
      <c r="RHQ15" s="20"/>
      <c r="RHR15" s="20"/>
      <c r="RHS15" s="20"/>
      <c r="RHT15" s="20"/>
      <c r="RHU15" s="20"/>
      <c r="RHV15" s="20"/>
      <c r="RHW15" s="20"/>
      <c r="RHX15" s="20"/>
      <c r="RHY15" s="20"/>
      <c r="RHZ15" s="20"/>
      <c r="RIA15" s="20"/>
      <c r="RIB15" s="20"/>
      <c r="RIC15" s="20"/>
      <c r="RID15" s="20"/>
      <c r="RIE15" s="20"/>
      <c r="RIF15" s="20"/>
      <c r="RIG15" s="20"/>
      <c r="RIH15" s="20"/>
      <c r="RII15" s="20"/>
      <c r="RIJ15" s="20"/>
      <c r="RIK15" s="20"/>
      <c r="RIL15" s="20"/>
      <c r="RIM15" s="20"/>
      <c r="RIN15" s="20"/>
      <c r="RIO15" s="20"/>
      <c r="RIP15" s="20"/>
      <c r="RIQ15" s="20"/>
      <c r="RIR15" s="20"/>
      <c r="RIS15" s="20"/>
      <c r="RIT15" s="20"/>
      <c r="RIU15" s="20"/>
      <c r="RIV15" s="20"/>
      <c r="RIW15" s="20"/>
      <c r="RIX15" s="20"/>
      <c r="RIY15" s="20"/>
      <c r="RIZ15" s="20"/>
      <c r="RJA15" s="20"/>
      <c r="RJB15" s="20"/>
      <c r="RJC15" s="20"/>
      <c r="RJD15" s="20"/>
      <c r="RJE15" s="20"/>
      <c r="RJF15" s="20"/>
      <c r="RJG15" s="20"/>
      <c r="RJH15" s="20"/>
      <c r="RJI15" s="20"/>
      <c r="RJJ15" s="20"/>
      <c r="RJK15" s="20"/>
      <c r="RJL15" s="20"/>
      <c r="RJM15" s="20"/>
      <c r="RJN15" s="20"/>
      <c r="RJO15" s="20"/>
      <c r="RJP15" s="20"/>
      <c r="RJQ15" s="20"/>
      <c r="RJR15" s="20"/>
      <c r="RJS15" s="20"/>
      <c r="RJT15" s="20"/>
      <c r="RJU15" s="20"/>
      <c r="RJV15" s="20"/>
      <c r="RJW15" s="20"/>
      <c r="RJX15" s="20"/>
      <c r="RJY15" s="20"/>
      <c r="RJZ15" s="20"/>
      <c r="RKA15" s="20"/>
      <c r="RKB15" s="20"/>
      <c r="RKC15" s="20"/>
      <c r="RKD15" s="20"/>
      <c r="RKE15" s="20"/>
      <c r="RKF15" s="20"/>
      <c r="RKG15" s="20"/>
      <c r="RKH15" s="20"/>
      <c r="RKI15" s="20"/>
      <c r="RKJ15" s="20"/>
      <c r="RKK15" s="20"/>
      <c r="RKL15" s="20"/>
      <c r="RKM15" s="20"/>
      <c r="RKN15" s="20"/>
      <c r="RKO15" s="20"/>
      <c r="RKP15" s="20"/>
      <c r="RKQ15" s="20"/>
      <c r="RKR15" s="20"/>
      <c r="RKS15" s="20"/>
      <c r="RKT15" s="20"/>
      <c r="RKU15" s="20"/>
      <c r="RKV15" s="20"/>
      <c r="RKW15" s="20"/>
      <c r="RKX15" s="20"/>
      <c r="RKY15" s="20"/>
      <c r="RKZ15" s="20"/>
      <c r="RLA15" s="20"/>
      <c r="RLB15" s="20"/>
      <c r="RLC15" s="20"/>
      <c r="RLD15" s="20"/>
      <c r="RLE15" s="20"/>
      <c r="RLF15" s="20"/>
      <c r="RLG15" s="20"/>
      <c r="RLH15" s="20"/>
      <c r="RLI15" s="20"/>
      <c r="RLJ15" s="20"/>
      <c r="RLK15" s="20"/>
      <c r="RLL15" s="20"/>
      <c r="RLM15" s="20"/>
      <c r="RLN15" s="20"/>
      <c r="RLO15" s="20"/>
      <c r="RLP15" s="20"/>
      <c r="RLQ15" s="20"/>
      <c r="RLR15" s="20"/>
      <c r="RLS15" s="20"/>
      <c r="RLT15" s="20"/>
      <c r="RLU15" s="20"/>
      <c r="RLV15" s="20"/>
      <c r="RLW15" s="20"/>
      <c r="RLX15" s="20"/>
      <c r="RLY15" s="20"/>
      <c r="RLZ15" s="20"/>
      <c r="RMA15" s="20"/>
      <c r="RMB15" s="20"/>
      <c r="RMC15" s="20"/>
      <c r="RMD15" s="20"/>
      <c r="RME15" s="20"/>
      <c r="RMF15" s="20"/>
      <c r="RMG15" s="20"/>
      <c r="RMH15" s="20"/>
      <c r="RMI15" s="20"/>
      <c r="RMJ15" s="20"/>
      <c r="RMK15" s="20"/>
      <c r="RML15" s="20"/>
      <c r="RMM15" s="20"/>
      <c r="RMN15" s="20"/>
      <c r="RMO15" s="20"/>
      <c r="RMP15" s="20"/>
      <c r="RMQ15" s="20"/>
      <c r="RMR15" s="20"/>
      <c r="RMS15" s="20"/>
      <c r="RMT15" s="20"/>
      <c r="RMU15" s="20"/>
      <c r="RMV15" s="20"/>
      <c r="RMW15" s="20"/>
      <c r="RMX15" s="20"/>
      <c r="RMY15" s="20"/>
      <c r="RMZ15" s="20"/>
      <c r="RNA15" s="20"/>
      <c r="RNB15" s="20"/>
      <c r="RNC15" s="20"/>
      <c r="RND15" s="20"/>
      <c r="RNE15" s="20"/>
      <c r="RNF15" s="20"/>
      <c r="RNG15" s="20"/>
      <c r="RNH15" s="20"/>
      <c r="RNI15" s="20"/>
      <c r="RNJ15" s="20"/>
      <c r="RNK15" s="20"/>
      <c r="RNL15" s="20"/>
      <c r="RNM15" s="20"/>
      <c r="RNN15" s="20"/>
      <c r="RNO15" s="20"/>
      <c r="RNP15" s="20"/>
      <c r="RNQ15" s="20"/>
      <c r="RNR15" s="20"/>
      <c r="RNS15" s="20"/>
      <c r="RNT15" s="20"/>
      <c r="RNU15" s="20"/>
      <c r="RNV15" s="20"/>
      <c r="RNW15" s="20"/>
      <c r="RNX15" s="20"/>
      <c r="RNY15" s="20"/>
      <c r="RNZ15" s="20"/>
      <c r="ROA15" s="20"/>
      <c r="ROB15" s="20"/>
      <c r="ROC15" s="20"/>
      <c r="ROD15" s="20"/>
      <c r="ROE15" s="20"/>
      <c r="ROF15" s="20"/>
      <c r="ROG15" s="20"/>
      <c r="ROH15" s="20"/>
      <c r="ROI15" s="20"/>
      <c r="ROJ15" s="20"/>
      <c r="ROK15" s="20"/>
      <c r="ROL15" s="20"/>
      <c r="ROM15" s="20"/>
      <c r="RON15" s="20"/>
      <c r="ROO15" s="20"/>
      <c r="ROP15" s="20"/>
      <c r="ROQ15" s="20"/>
      <c r="ROR15" s="20"/>
      <c r="ROS15" s="20"/>
      <c r="ROT15" s="20"/>
      <c r="ROU15" s="20"/>
      <c r="ROV15" s="20"/>
      <c r="ROW15" s="20"/>
      <c r="ROX15" s="20"/>
      <c r="ROY15" s="20"/>
      <c r="ROZ15" s="20"/>
      <c r="RPA15" s="20"/>
      <c r="RPB15" s="20"/>
      <c r="RPC15" s="20"/>
      <c r="RPD15" s="20"/>
      <c r="RPE15" s="20"/>
      <c r="RPF15" s="20"/>
      <c r="RPG15" s="20"/>
      <c r="RPH15" s="20"/>
      <c r="RPI15" s="20"/>
      <c r="RPJ15" s="20"/>
      <c r="RPK15" s="20"/>
      <c r="RPL15" s="20"/>
      <c r="RPM15" s="20"/>
      <c r="RPN15" s="20"/>
      <c r="RPO15" s="20"/>
      <c r="RPP15" s="20"/>
      <c r="RPQ15" s="20"/>
      <c r="RPR15" s="20"/>
      <c r="RPS15" s="20"/>
      <c r="RPT15" s="20"/>
      <c r="RPU15" s="20"/>
      <c r="RPV15" s="20"/>
      <c r="RPW15" s="20"/>
      <c r="RPX15" s="20"/>
      <c r="RPY15" s="20"/>
      <c r="RPZ15" s="20"/>
      <c r="RQA15" s="20"/>
      <c r="RQB15" s="20"/>
      <c r="RQC15" s="20"/>
      <c r="RQD15" s="20"/>
      <c r="RQE15" s="20"/>
      <c r="RQF15" s="20"/>
      <c r="RQG15" s="20"/>
      <c r="RQH15" s="20"/>
      <c r="RQI15" s="20"/>
      <c r="RQJ15" s="20"/>
      <c r="RQK15" s="20"/>
      <c r="RQL15" s="20"/>
      <c r="RQM15" s="20"/>
      <c r="RQN15" s="20"/>
      <c r="RQO15" s="20"/>
      <c r="RQP15" s="20"/>
      <c r="RQQ15" s="20"/>
      <c r="RQR15" s="20"/>
      <c r="RQS15" s="20"/>
      <c r="RQT15" s="20"/>
      <c r="RQU15" s="20"/>
      <c r="RQV15" s="20"/>
      <c r="RQW15" s="20"/>
      <c r="RQX15" s="20"/>
      <c r="RQY15" s="20"/>
      <c r="RQZ15" s="20"/>
      <c r="RRA15" s="20"/>
      <c r="RRB15" s="20"/>
      <c r="RRC15" s="20"/>
      <c r="RRD15" s="20"/>
      <c r="RRE15" s="20"/>
      <c r="RRF15" s="20"/>
      <c r="RRG15" s="20"/>
      <c r="RRH15" s="20"/>
      <c r="RRI15" s="20"/>
      <c r="RRJ15" s="20"/>
      <c r="RRK15" s="20"/>
      <c r="RRL15" s="20"/>
      <c r="RRM15" s="20"/>
      <c r="RRN15" s="20"/>
      <c r="RRO15" s="20"/>
      <c r="RRP15" s="20"/>
      <c r="RRQ15" s="20"/>
      <c r="RRR15" s="20"/>
      <c r="RRS15" s="20"/>
      <c r="RRT15" s="20"/>
      <c r="RRU15" s="20"/>
      <c r="RRV15" s="20"/>
      <c r="RRW15" s="20"/>
      <c r="RRX15" s="20"/>
      <c r="RRY15" s="20"/>
      <c r="RRZ15" s="20"/>
      <c r="RSA15" s="20"/>
      <c r="RSB15" s="20"/>
      <c r="RSC15" s="20"/>
      <c r="RSD15" s="20"/>
      <c r="RSE15" s="20"/>
      <c r="RSF15" s="20"/>
      <c r="RSG15" s="20"/>
      <c r="RSH15" s="20"/>
      <c r="RSI15" s="20"/>
      <c r="RSJ15" s="20"/>
      <c r="RSK15" s="20"/>
      <c r="RSL15" s="20"/>
      <c r="RSM15" s="20"/>
      <c r="RSN15" s="20"/>
      <c r="RSO15" s="20"/>
      <c r="RSP15" s="20"/>
      <c r="RSQ15" s="20"/>
      <c r="RSR15" s="20"/>
      <c r="RSS15" s="20"/>
      <c r="RST15" s="20"/>
      <c r="RSU15" s="20"/>
      <c r="RSV15" s="20"/>
      <c r="RSW15" s="20"/>
      <c r="RSX15" s="20"/>
      <c r="RSY15" s="20"/>
      <c r="RSZ15" s="20"/>
      <c r="RTA15" s="20"/>
      <c r="RTB15" s="20"/>
      <c r="RTC15" s="20"/>
      <c r="RTD15" s="20"/>
      <c r="RTE15" s="20"/>
      <c r="RTF15" s="20"/>
      <c r="RTG15" s="20"/>
      <c r="RTH15" s="20"/>
      <c r="RTI15" s="20"/>
      <c r="RTJ15" s="20"/>
      <c r="RTK15" s="20"/>
      <c r="RTL15" s="20"/>
      <c r="RTM15" s="20"/>
      <c r="RTN15" s="20"/>
      <c r="RTO15" s="20"/>
      <c r="RTP15" s="20"/>
      <c r="RTQ15" s="20"/>
      <c r="RTR15" s="20"/>
      <c r="RTS15" s="20"/>
      <c r="RTT15" s="20"/>
      <c r="RTU15" s="20"/>
      <c r="RTV15" s="20"/>
      <c r="RTW15" s="20"/>
      <c r="RTX15" s="20"/>
      <c r="RTY15" s="20"/>
      <c r="RTZ15" s="20"/>
      <c r="RUA15" s="20"/>
      <c r="RUB15" s="20"/>
      <c r="RUC15" s="20"/>
      <c r="RUD15" s="20"/>
      <c r="RUE15" s="20"/>
      <c r="RUF15" s="20"/>
      <c r="RUG15" s="20"/>
      <c r="RUH15" s="20"/>
      <c r="RUI15" s="20"/>
      <c r="RUJ15" s="20"/>
      <c r="RUK15" s="20"/>
      <c r="RUL15" s="20"/>
      <c r="RUM15" s="20"/>
      <c r="RUN15" s="20"/>
      <c r="RUO15" s="20"/>
      <c r="RUP15" s="20"/>
      <c r="RUQ15" s="20"/>
      <c r="RUR15" s="20"/>
      <c r="RUS15" s="20"/>
      <c r="RUT15" s="20"/>
      <c r="RUU15" s="20"/>
      <c r="RUV15" s="20"/>
      <c r="RUW15" s="20"/>
      <c r="RUX15" s="20"/>
      <c r="RUY15" s="20"/>
      <c r="RUZ15" s="20"/>
      <c r="RVA15" s="20"/>
      <c r="RVB15" s="20"/>
      <c r="RVC15" s="20"/>
      <c r="RVD15" s="20"/>
      <c r="RVE15" s="20"/>
      <c r="RVF15" s="20"/>
      <c r="RVG15" s="20"/>
      <c r="RVH15" s="20"/>
      <c r="RVI15" s="20"/>
      <c r="RVJ15" s="20"/>
      <c r="RVK15" s="20"/>
      <c r="RVL15" s="20"/>
      <c r="RVM15" s="20"/>
      <c r="RVN15" s="20"/>
      <c r="RVO15" s="20"/>
      <c r="RVP15" s="20"/>
      <c r="RVQ15" s="20"/>
      <c r="RVR15" s="20"/>
      <c r="RVS15" s="20"/>
      <c r="RVT15" s="20"/>
      <c r="RVU15" s="20"/>
      <c r="RVV15" s="20"/>
      <c r="RVW15" s="20"/>
      <c r="RVX15" s="20"/>
      <c r="RVY15" s="20"/>
      <c r="RVZ15" s="20"/>
      <c r="RWA15" s="20"/>
      <c r="RWB15" s="20"/>
      <c r="RWC15" s="20"/>
      <c r="RWD15" s="20"/>
      <c r="RWE15" s="20"/>
      <c r="RWF15" s="20"/>
      <c r="RWG15" s="20"/>
      <c r="RWH15" s="20"/>
      <c r="RWI15" s="20"/>
      <c r="RWJ15" s="20"/>
      <c r="RWK15" s="20"/>
      <c r="RWL15" s="20"/>
      <c r="RWM15" s="20"/>
      <c r="RWN15" s="20"/>
      <c r="RWO15" s="20"/>
      <c r="RWP15" s="20"/>
      <c r="RWQ15" s="20"/>
      <c r="RWR15" s="20"/>
      <c r="RWS15" s="20"/>
      <c r="RWT15" s="20"/>
      <c r="RWU15" s="20"/>
      <c r="RWV15" s="20"/>
      <c r="RWW15" s="20"/>
      <c r="RWX15" s="20"/>
      <c r="RWY15" s="20"/>
      <c r="RWZ15" s="20"/>
      <c r="RXA15" s="20"/>
      <c r="RXB15" s="20"/>
      <c r="RXC15" s="20"/>
      <c r="RXD15" s="20"/>
      <c r="RXE15" s="20"/>
      <c r="RXF15" s="20"/>
      <c r="RXG15" s="20"/>
      <c r="RXH15" s="20"/>
      <c r="RXI15" s="20"/>
      <c r="RXJ15" s="20"/>
      <c r="RXK15" s="20"/>
      <c r="RXL15" s="20"/>
      <c r="RXM15" s="20"/>
      <c r="RXN15" s="20"/>
      <c r="RXO15" s="20"/>
      <c r="RXP15" s="20"/>
      <c r="RXQ15" s="20"/>
      <c r="RXR15" s="20"/>
      <c r="RXS15" s="20"/>
      <c r="RXT15" s="20"/>
      <c r="RXU15" s="20"/>
      <c r="RXV15" s="20"/>
      <c r="RXW15" s="20"/>
      <c r="RXX15" s="20"/>
      <c r="RXY15" s="20"/>
      <c r="RXZ15" s="20"/>
      <c r="RYA15" s="20"/>
      <c r="RYB15" s="20"/>
      <c r="RYC15" s="20"/>
      <c r="RYD15" s="20"/>
      <c r="RYE15" s="20"/>
      <c r="RYF15" s="20"/>
      <c r="RYG15" s="20"/>
      <c r="RYH15" s="20"/>
      <c r="RYI15" s="20"/>
      <c r="RYJ15" s="20"/>
      <c r="RYK15" s="20"/>
      <c r="RYL15" s="20"/>
      <c r="RYM15" s="20"/>
      <c r="RYN15" s="20"/>
      <c r="RYO15" s="20"/>
      <c r="RYP15" s="20"/>
      <c r="RYQ15" s="20"/>
      <c r="RYR15" s="20"/>
      <c r="RYS15" s="20"/>
      <c r="RYT15" s="20"/>
      <c r="RYU15" s="20"/>
      <c r="RYV15" s="20"/>
      <c r="RYW15" s="20"/>
      <c r="RYX15" s="20"/>
      <c r="RYY15" s="20"/>
      <c r="RYZ15" s="20"/>
      <c r="RZA15" s="20"/>
      <c r="RZB15" s="20"/>
      <c r="RZC15" s="20"/>
      <c r="RZD15" s="20"/>
      <c r="RZE15" s="20"/>
      <c r="RZF15" s="20"/>
      <c r="RZG15" s="20"/>
      <c r="RZH15" s="20"/>
      <c r="RZI15" s="20"/>
      <c r="RZJ15" s="20"/>
      <c r="RZK15" s="20"/>
      <c r="RZL15" s="20"/>
      <c r="RZM15" s="20"/>
      <c r="RZN15" s="20"/>
      <c r="RZO15" s="20"/>
      <c r="RZP15" s="20"/>
      <c r="RZQ15" s="20"/>
      <c r="RZR15" s="20"/>
      <c r="RZS15" s="20"/>
      <c r="RZT15" s="20"/>
      <c r="RZU15" s="20"/>
      <c r="RZV15" s="20"/>
      <c r="RZW15" s="20"/>
      <c r="RZX15" s="20"/>
      <c r="RZY15" s="20"/>
      <c r="RZZ15" s="20"/>
      <c r="SAA15" s="20"/>
      <c r="SAB15" s="20"/>
      <c r="SAC15" s="20"/>
      <c r="SAD15" s="20"/>
      <c r="SAE15" s="20"/>
      <c r="SAF15" s="20"/>
      <c r="SAG15" s="20"/>
      <c r="SAH15" s="20"/>
      <c r="SAI15" s="20"/>
      <c r="SAJ15" s="20"/>
      <c r="SAK15" s="20"/>
      <c r="SAL15" s="20"/>
      <c r="SAM15" s="20"/>
      <c r="SAN15" s="20"/>
      <c r="SAO15" s="20"/>
      <c r="SAP15" s="20"/>
      <c r="SAQ15" s="20"/>
      <c r="SAR15" s="20"/>
      <c r="SAS15" s="20"/>
      <c r="SAT15" s="20"/>
      <c r="SAU15" s="20"/>
      <c r="SAV15" s="20"/>
      <c r="SAW15" s="20"/>
      <c r="SAX15" s="20"/>
      <c r="SAY15" s="20"/>
      <c r="SAZ15" s="20"/>
      <c r="SBA15" s="20"/>
      <c r="SBB15" s="20"/>
      <c r="SBC15" s="20"/>
      <c r="SBD15" s="20"/>
      <c r="SBE15" s="20"/>
      <c r="SBF15" s="20"/>
      <c r="SBG15" s="20"/>
      <c r="SBH15" s="20"/>
      <c r="SBI15" s="20"/>
      <c r="SBJ15" s="20"/>
      <c r="SBK15" s="20"/>
      <c r="SBL15" s="20"/>
      <c r="SBM15" s="20"/>
      <c r="SBN15" s="20"/>
      <c r="SBO15" s="20"/>
      <c r="SBP15" s="20"/>
      <c r="SBQ15" s="20"/>
      <c r="SBR15" s="20"/>
      <c r="SBS15" s="20"/>
      <c r="SBT15" s="20"/>
      <c r="SBU15" s="20"/>
      <c r="SBV15" s="20"/>
      <c r="SBW15" s="20"/>
      <c r="SBX15" s="20"/>
      <c r="SBY15" s="20"/>
      <c r="SBZ15" s="20"/>
      <c r="SCA15" s="20"/>
      <c r="SCB15" s="20"/>
      <c r="SCC15" s="20"/>
      <c r="SCD15" s="20"/>
      <c r="SCE15" s="20"/>
      <c r="SCF15" s="20"/>
      <c r="SCG15" s="20"/>
      <c r="SCH15" s="20"/>
      <c r="SCI15" s="20"/>
      <c r="SCJ15" s="20"/>
      <c r="SCK15" s="20"/>
      <c r="SCL15" s="20"/>
      <c r="SCM15" s="20"/>
      <c r="SCN15" s="20"/>
      <c r="SCO15" s="20"/>
      <c r="SCP15" s="20"/>
      <c r="SCQ15" s="20"/>
      <c r="SCR15" s="20"/>
      <c r="SCS15" s="20"/>
      <c r="SCT15" s="20"/>
      <c r="SCU15" s="20"/>
      <c r="SCV15" s="20"/>
      <c r="SCW15" s="20"/>
      <c r="SCX15" s="20"/>
      <c r="SCY15" s="20"/>
      <c r="SCZ15" s="20"/>
      <c r="SDA15" s="20"/>
      <c r="SDB15" s="20"/>
      <c r="SDC15" s="20"/>
      <c r="SDD15" s="20"/>
      <c r="SDE15" s="20"/>
      <c r="SDF15" s="20"/>
      <c r="SDG15" s="20"/>
      <c r="SDH15" s="20"/>
      <c r="SDI15" s="20"/>
      <c r="SDJ15" s="20"/>
      <c r="SDK15" s="20"/>
      <c r="SDL15" s="20"/>
      <c r="SDM15" s="20"/>
      <c r="SDN15" s="20"/>
      <c r="SDO15" s="20"/>
      <c r="SDP15" s="20"/>
      <c r="SDQ15" s="20"/>
      <c r="SDR15" s="20"/>
      <c r="SDS15" s="20"/>
      <c r="SDT15" s="20"/>
      <c r="SDU15" s="20"/>
      <c r="SDV15" s="20"/>
      <c r="SDW15" s="20"/>
      <c r="SDX15" s="20"/>
      <c r="SDY15" s="20"/>
      <c r="SDZ15" s="20"/>
      <c r="SEA15" s="20"/>
      <c r="SEB15" s="20"/>
      <c r="SEC15" s="20"/>
      <c r="SED15" s="20"/>
      <c r="SEE15" s="20"/>
      <c r="SEF15" s="20"/>
      <c r="SEG15" s="20"/>
      <c r="SEH15" s="20"/>
      <c r="SEI15" s="20"/>
      <c r="SEJ15" s="20"/>
      <c r="SEK15" s="20"/>
      <c r="SEL15" s="20"/>
      <c r="SEM15" s="20"/>
      <c r="SEN15" s="20"/>
      <c r="SEO15" s="20"/>
      <c r="SEP15" s="20"/>
      <c r="SEQ15" s="20"/>
      <c r="SER15" s="20"/>
      <c r="SES15" s="20"/>
      <c r="SET15" s="20"/>
      <c r="SEU15" s="20"/>
      <c r="SEV15" s="20"/>
      <c r="SEW15" s="20"/>
      <c r="SEX15" s="20"/>
      <c r="SEY15" s="20"/>
      <c r="SEZ15" s="20"/>
      <c r="SFA15" s="20"/>
      <c r="SFB15" s="20"/>
      <c r="SFC15" s="20"/>
      <c r="SFD15" s="20"/>
      <c r="SFE15" s="20"/>
      <c r="SFF15" s="20"/>
      <c r="SFG15" s="20"/>
      <c r="SFH15" s="20"/>
      <c r="SFI15" s="20"/>
      <c r="SFJ15" s="20"/>
      <c r="SFK15" s="20"/>
      <c r="SFL15" s="20"/>
      <c r="SFM15" s="20"/>
      <c r="SFN15" s="20"/>
      <c r="SFO15" s="20"/>
      <c r="SFP15" s="20"/>
      <c r="SFQ15" s="20"/>
      <c r="SFR15" s="20"/>
      <c r="SFS15" s="20"/>
      <c r="SFT15" s="20"/>
      <c r="SFU15" s="20"/>
      <c r="SFV15" s="20"/>
      <c r="SFW15" s="20"/>
      <c r="SFX15" s="20"/>
      <c r="SFY15" s="20"/>
      <c r="SFZ15" s="20"/>
      <c r="SGA15" s="20"/>
      <c r="SGB15" s="20"/>
      <c r="SGC15" s="20"/>
      <c r="SGD15" s="20"/>
      <c r="SGE15" s="20"/>
      <c r="SGF15" s="20"/>
      <c r="SGG15" s="20"/>
      <c r="SGH15" s="20"/>
      <c r="SGI15" s="20"/>
      <c r="SGJ15" s="20"/>
      <c r="SGK15" s="20"/>
      <c r="SGL15" s="20"/>
      <c r="SGM15" s="20"/>
      <c r="SGN15" s="20"/>
      <c r="SGO15" s="20"/>
      <c r="SGP15" s="20"/>
      <c r="SGQ15" s="20"/>
      <c r="SGR15" s="20"/>
      <c r="SGS15" s="20"/>
      <c r="SGT15" s="20"/>
      <c r="SGU15" s="20"/>
      <c r="SGV15" s="20"/>
      <c r="SGW15" s="20"/>
      <c r="SGX15" s="20"/>
      <c r="SGY15" s="20"/>
      <c r="SGZ15" s="20"/>
      <c r="SHA15" s="20"/>
      <c r="SHB15" s="20"/>
      <c r="SHC15" s="20"/>
      <c r="SHD15" s="20"/>
      <c r="SHE15" s="20"/>
      <c r="SHF15" s="20"/>
      <c r="SHG15" s="20"/>
      <c r="SHH15" s="20"/>
      <c r="SHI15" s="20"/>
      <c r="SHJ15" s="20"/>
      <c r="SHK15" s="20"/>
      <c r="SHL15" s="20"/>
      <c r="SHM15" s="20"/>
      <c r="SHN15" s="20"/>
      <c r="SHO15" s="20"/>
      <c r="SHP15" s="20"/>
      <c r="SHQ15" s="20"/>
      <c r="SHR15" s="20"/>
      <c r="SHS15" s="20"/>
      <c r="SHT15" s="20"/>
      <c r="SHU15" s="20"/>
      <c r="SHV15" s="20"/>
      <c r="SHW15" s="20"/>
      <c r="SHX15" s="20"/>
      <c r="SHY15" s="20"/>
      <c r="SHZ15" s="20"/>
      <c r="SIA15" s="20"/>
      <c r="SIB15" s="20"/>
      <c r="SIC15" s="20"/>
      <c r="SID15" s="20"/>
      <c r="SIE15" s="20"/>
      <c r="SIF15" s="20"/>
      <c r="SIG15" s="20"/>
      <c r="SIH15" s="20"/>
      <c r="SII15" s="20"/>
      <c r="SIJ15" s="20"/>
      <c r="SIK15" s="20"/>
      <c r="SIL15" s="20"/>
      <c r="SIM15" s="20"/>
      <c r="SIN15" s="20"/>
      <c r="SIO15" s="20"/>
      <c r="SIP15" s="20"/>
      <c r="SIQ15" s="20"/>
      <c r="SIR15" s="20"/>
      <c r="SIS15" s="20"/>
      <c r="SIT15" s="20"/>
      <c r="SIU15" s="20"/>
      <c r="SIV15" s="20"/>
      <c r="SIW15" s="20"/>
      <c r="SIX15" s="20"/>
      <c r="SIY15" s="20"/>
      <c r="SIZ15" s="20"/>
      <c r="SJA15" s="20"/>
      <c r="SJB15" s="20"/>
      <c r="SJC15" s="20"/>
      <c r="SJD15" s="20"/>
      <c r="SJE15" s="20"/>
      <c r="SJF15" s="20"/>
      <c r="SJG15" s="20"/>
      <c r="SJH15" s="20"/>
      <c r="SJI15" s="20"/>
      <c r="SJJ15" s="20"/>
      <c r="SJK15" s="20"/>
      <c r="SJL15" s="20"/>
      <c r="SJM15" s="20"/>
      <c r="SJN15" s="20"/>
      <c r="SJO15" s="20"/>
      <c r="SJP15" s="20"/>
      <c r="SJQ15" s="20"/>
      <c r="SJR15" s="20"/>
      <c r="SJS15" s="20"/>
      <c r="SJT15" s="20"/>
      <c r="SJU15" s="20"/>
      <c r="SJV15" s="20"/>
      <c r="SJW15" s="20"/>
      <c r="SJX15" s="20"/>
      <c r="SJY15" s="20"/>
      <c r="SJZ15" s="20"/>
      <c r="SKA15" s="20"/>
      <c r="SKB15" s="20"/>
      <c r="SKC15" s="20"/>
      <c r="SKD15" s="20"/>
      <c r="SKE15" s="20"/>
      <c r="SKF15" s="20"/>
      <c r="SKG15" s="20"/>
      <c r="SKH15" s="20"/>
      <c r="SKI15" s="20"/>
      <c r="SKJ15" s="20"/>
      <c r="SKK15" s="20"/>
      <c r="SKL15" s="20"/>
      <c r="SKM15" s="20"/>
      <c r="SKN15" s="20"/>
      <c r="SKO15" s="20"/>
      <c r="SKP15" s="20"/>
      <c r="SKQ15" s="20"/>
      <c r="SKR15" s="20"/>
      <c r="SKS15" s="20"/>
      <c r="SKT15" s="20"/>
      <c r="SKU15" s="20"/>
      <c r="SKV15" s="20"/>
      <c r="SKW15" s="20"/>
      <c r="SKX15" s="20"/>
      <c r="SKY15" s="20"/>
      <c r="SKZ15" s="20"/>
      <c r="SLA15" s="20"/>
      <c r="SLB15" s="20"/>
      <c r="SLC15" s="20"/>
      <c r="SLD15" s="20"/>
      <c r="SLE15" s="20"/>
      <c r="SLF15" s="20"/>
      <c r="SLG15" s="20"/>
      <c r="SLH15" s="20"/>
      <c r="SLI15" s="20"/>
      <c r="SLJ15" s="20"/>
      <c r="SLK15" s="20"/>
      <c r="SLL15" s="20"/>
      <c r="SLM15" s="20"/>
      <c r="SLN15" s="20"/>
      <c r="SLO15" s="20"/>
      <c r="SLP15" s="20"/>
      <c r="SLQ15" s="20"/>
      <c r="SLR15" s="20"/>
      <c r="SLS15" s="20"/>
      <c r="SLT15" s="20"/>
      <c r="SLU15" s="20"/>
      <c r="SLV15" s="20"/>
      <c r="SLW15" s="20"/>
      <c r="SLX15" s="20"/>
      <c r="SLY15" s="20"/>
      <c r="SLZ15" s="20"/>
      <c r="SMA15" s="20"/>
      <c r="SMB15" s="20"/>
      <c r="SMC15" s="20"/>
      <c r="SMD15" s="20"/>
      <c r="SME15" s="20"/>
      <c r="SMF15" s="20"/>
      <c r="SMG15" s="20"/>
      <c r="SMH15" s="20"/>
      <c r="SMI15" s="20"/>
      <c r="SMJ15" s="20"/>
      <c r="SMK15" s="20"/>
      <c r="SML15" s="20"/>
      <c r="SMM15" s="20"/>
      <c r="SMN15" s="20"/>
      <c r="SMO15" s="20"/>
      <c r="SMP15" s="20"/>
      <c r="SMQ15" s="20"/>
      <c r="SMR15" s="20"/>
      <c r="SMS15" s="20"/>
      <c r="SMT15" s="20"/>
      <c r="SMU15" s="20"/>
      <c r="SMV15" s="20"/>
      <c r="SMW15" s="20"/>
      <c r="SMX15" s="20"/>
      <c r="SMY15" s="20"/>
      <c r="SMZ15" s="20"/>
      <c r="SNA15" s="20"/>
      <c r="SNB15" s="20"/>
      <c r="SNC15" s="20"/>
      <c r="SND15" s="20"/>
      <c r="SNE15" s="20"/>
      <c r="SNF15" s="20"/>
      <c r="SNG15" s="20"/>
      <c r="SNH15" s="20"/>
      <c r="SNI15" s="20"/>
      <c r="SNJ15" s="20"/>
      <c r="SNK15" s="20"/>
      <c r="SNL15" s="20"/>
      <c r="SNM15" s="20"/>
      <c r="SNN15" s="20"/>
      <c r="SNO15" s="20"/>
      <c r="SNP15" s="20"/>
      <c r="SNQ15" s="20"/>
      <c r="SNR15" s="20"/>
      <c r="SNS15" s="20"/>
      <c r="SNT15" s="20"/>
      <c r="SNU15" s="20"/>
      <c r="SNV15" s="20"/>
      <c r="SNW15" s="20"/>
      <c r="SNX15" s="20"/>
      <c r="SNY15" s="20"/>
      <c r="SNZ15" s="20"/>
      <c r="SOA15" s="20"/>
      <c r="SOB15" s="20"/>
      <c r="SOC15" s="20"/>
      <c r="SOD15" s="20"/>
      <c r="SOE15" s="20"/>
      <c r="SOF15" s="20"/>
      <c r="SOG15" s="20"/>
      <c r="SOH15" s="20"/>
      <c r="SOI15" s="20"/>
      <c r="SOJ15" s="20"/>
      <c r="SOK15" s="20"/>
      <c r="SOL15" s="20"/>
      <c r="SOM15" s="20"/>
      <c r="SON15" s="20"/>
      <c r="SOO15" s="20"/>
      <c r="SOP15" s="20"/>
      <c r="SOQ15" s="20"/>
      <c r="SOR15" s="20"/>
      <c r="SOS15" s="20"/>
      <c r="SOT15" s="20"/>
      <c r="SOU15" s="20"/>
      <c r="SOV15" s="20"/>
      <c r="SOW15" s="20"/>
      <c r="SOX15" s="20"/>
      <c r="SOY15" s="20"/>
      <c r="SOZ15" s="20"/>
      <c r="SPA15" s="20"/>
      <c r="SPB15" s="20"/>
      <c r="SPC15" s="20"/>
      <c r="SPD15" s="20"/>
      <c r="SPE15" s="20"/>
      <c r="SPF15" s="20"/>
      <c r="SPG15" s="20"/>
      <c r="SPH15" s="20"/>
      <c r="SPI15" s="20"/>
      <c r="SPJ15" s="20"/>
      <c r="SPK15" s="20"/>
      <c r="SPL15" s="20"/>
      <c r="SPM15" s="20"/>
      <c r="SPN15" s="20"/>
      <c r="SPO15" s="20"/>
      <c r="SPP15" s="20"/>
      <c r="SPQ15" s="20"/>
      <c r="SPR15" s="20"/>
      <c r="SPS15" s="20"/>
      <c r="SPT15" s="20"/>
      <c r="SPU15" s="20"/>
      <c r="SPV15" s="20"/>
      <c r="SPW15" s="20"/>
      <c r="SPX15" s="20"/>
      <c r="SPY15" s="20"/>
      <c r="SPZ15" s="20"/>
      <c r="SQA15" s="20"/>
      <c r="SQB15" s="20"/>
      <c r="SQC15" s="20"/>
      <c r="SQD15" s="20"/>
      <c r="SQE15" s="20"/>
      <c r="SQF15" s="20"/>
      <c r="SQG15" s="20"/>
      <c r="SQH15" s="20"/>
      <c r="SQI15" s="20"/>
      <c r="SQJ15" s="20"/>
      <c r="SQK15" s="20"/>
      <c r="SQL15" s="20"/>
      <c r="SQM15" s="20"/>
      <c r="SQN15" s="20"/>
      <c r="SQO15" s="20"/>
      <c r="SQP15" s="20"/>
      <c r="SQQ15" s="20"/>
      <c r="SQR15" s="20"/>
      <c r="SQS15" s="20"/>
      <c r="SQT15" s="20"/>
      <c r="SQU15" s="20"/>
      <c r="SQV15" s="20"/>
      <c r="SQW15" s="20"/>
      <c r="SQX15" s="20"/>
      <c r="SQY15" s="20"/>
      <c r="SQZ15" s="20"/>
      <c r="SRA15" s="20"/>
      <c r="SRB15" s="20"/>
      <c r="SRC15" s="20"/>
      <c r="SRD15" s="20"/>
      <c r="SRE15" s="20"/>
      <c r="SRF15" s="20"/>
      <c r="SRG15" s="20"/>
      <c r="SRH15" s="20"/>
      <c r="SRI15" s="20"/>
      <c r="SRJ15" s="20"/>
      <c r="SRK15" s="20"/>
      <c r="SRL15" s="20"/>
      <c r="SRM15" s="20"/>
      <c r="SRN15" s="20"/>
      <c r="SRO15" s="20"/>
      <c r="SRP15" s="20"/>
      <c r="SRQ15" s="20"/>
      <c r="SRR15" s="20"/>
      <c r="SRS15" s="20"/>
      <c r="SRT15" s="20"/>
      <c r="SRU15" s="20"/>
      <c r="SRV15" s="20"/>
      <c r="SRW15" s="20"/>
      <c r="SRX15" s="20"/>
      <c r="SRY15" s="20"/>
      <c r="SRZ15" s="20"/>
      <c r="SSA15" s="20"/>
      <c r="SSB15" s="20"/>
      <c r="SSC15" s="20"/>
      <c r="SSD15" s="20"/>
      <c r="SSE15" s="20"/>
      <c r="SSF15" s="20"/>
      <c r="SSG15" s="20"/>
      <c r="SSH15" s="20"/>
      <c r="SSI15" s="20"/>
      <c r="SSJ15" s="20"/>
      <c r="SSK15" s="20"/>
      <c r="SSL15" s="20"/>
      <c r="SSM15" s="20"/>
      <c r="SSN15" s="20"/>
      <c r="SSO15" s="20"/>
      <c r="SSP15" s="20"/>
      <c r="SSQ15" s="20"/>
      <c r="SSR15" s="20"/>
      <c r="SSS15" s="20"/>
      <c r="SST15" s="20"/>
      <c r="SSU15" s="20"/>
      <c r="SSV15" s="20"/>
      <c r="SSW15" s="20"/>
      <c r="SSX15" s="20"/>
      <c r="SSY15" s="20"/>
      <c r="SSZ15" s="20"/>
      <c r="STA15" s="20"/>
      <c r="STB15" s="20"/>
      <c r="STC15" s="20"/>
      <c r="STD15" s="20"/>
      <c r="STE15" s="20"/>
      <c r="STF15" s="20"/>
      <c r="STG15" s="20"/>
      <c r="STH15" s="20"/>
      <c r="STI15" s="20"/>
      <c r="STJ15" s="20"/>
      <c r="STK15" s="20"/>
      <c r="STL15" s="20"/>
      <c r="STM15" s="20"/>
      <c r="STN15" s="20"/>
      <c r="STO15" s="20"/>
      <c r="STP15" s="20"/>
      <c r="STQ15" s="20"/>
      <c r="STR15" s="20"/>
      <c r="STS15" s="20"/>
      <c r="STT15" s="20"/>
      <c r="STU15" s="20"/>
      <c r="STV15" s="20"/>
      <c r="STW15" s="20"/>
      <c r="STX15" s="20"/>
      <c r="STY15" s="20"/>
      <c r="STZ15" s="20"/>
      <c r="SUA15" s="20"/>
      <c r="SUB15" s="20"/>
      <c r="SUC15" s="20"/>
      <c r="SUD15" s="20"/>
      <c r="SUE15" s="20"/>
      <c r="SUF15" s="20"/>
      <c r="SUG15" s="20"/>
      <c r="SUH15" s="20"/>
      <c r="SUI15" s="20"/>
      <c r="SUJ15" s="20"/>
      <c r="SUK15" s="20"/>
      <c r="SUL15" s="20"/>
      <c r="SUM15" s="20"/>
      <c r="SUN15" s="20"/>
      <c r="SUO15" s="20"/>
      <c r="SUP15" s="20"/>
      <c r="SUQ15" s="20"/>
      <c r="SUR15" s="20"/>
      <c r="SUS15" s="20"/>
      <c r="SUT15" s="20"/>
      <c r="SUU15" s="20"/>
      <c r="SUV15" s="20"/>
      <c r="SUW15" s="20"/>
      <c r="SUX15" s="20"/>
      <c r="SUY15" s="20"/>
      <c r="SUZ15" s="20"/>
      <c r="SVA15" s="20"/>
      <c r="SVB15" s="20"/>
      <c r="SVC15" s="20"/>
      <c r="SVD15" s="20"/>
      <c r="SVE15" s="20"/>
      <c r="SVF15" s="20"/>
      <c r="SVG15" s="20"/>
      <c r="SVH15" s="20"/>
      <c r="SVI15" s="20"/>
      <c r="SVJ15" s="20"/>
      <c r="SVK15" s="20"/>
      <c r="SVL15" s="20"/>
      <c r="SVM15" s="20"/>
      <c r="SVN15" s="20"/>
      <c r="SVO15" s="20"/>
      <c r="SVP15" s="20"/>
      <c r="SVQ15" s="20"/>
      <c r="SVR15" s="20"/>
      <c r="SVS15" s="20"/>
      <c r="SVT15" s="20"/>
      <c r="SVU15" s="20"/>
      <c r="SVV15" s="20"/>
      <c r="SVW15" s="20"/>
      <c r="SVX15" s="20"/>
      <c r="SVY15" s="20"/>
      <c r="SVZ15" s="20"/>
      <c r="SWA15" s="20"/>
      <c r="SWB15" s="20"/>
      <c r="SWC15" s="20"/>
      <c r="SWD15" s="20"/>
      <c r="SWE15" s="20"/>
      <c r="SWF15" s="20"/>
      <c r="SWG15" s="20"/>
      <c r="SWH15" s="20"/>
      <c r="SWI15" s="20"/>
      <c r="SWJ15" s="20"/>
      <c r="SWK15" s="20"/>
      <c r="SWL15" s="20"/>
      <c r="SWM15" s="20"/>
      <c r="SWN15" s="20"/>
      <c r="SWO15" s="20"/>
      <c r="SWP15" s="20"/>
      <c r="SWQ15" s="20"/>
      <c r="SWR15" s="20"/>
      <c r="SWS15" s="20"/>
      <c r="SWT15" s="20"/>
      <c r="SWU15" s="20"/>
      <c r="SWV15" s="20"/>
      <c r="SWW15" s="20"/>
      <c r="SWX15" s="20"/>
      <c r="SWY15" s="20"/>
      <c r="SWZ15" s="20"/>
      <c r="SXA15" s="20"/>
      <c r="SXB15" s="20"/>
      <c r="SXC15" s="20"/>
      <c r="SXD15" s="20"/>
      <c r="SXE15" s="20"/>
      <c r="SXF15" s="20"/>
      <c r="SXG15" s="20"/>
      <c r="SXH15" s="20"/>
      <c r="SXI15" s="20"/>
      <c r="SXJ15" s="20"/>
      <c r="SXK15" s="20"/>
      <c r="SXL15" s="20"/>
      <c r="SXM15" s="20"/>
      <c r="SXN15" s="20"/>
      <c r="SXO15" s="20"/>
      <c r="SXP15" s="20"/>
      <c r="SXQ15" s="20"/>
      <c r="SXR15" s="20"/>
      <c r="SXS15" s="20"/>
      <c r="SXT15" s="20"/>
      <c r="SXU15" s="20"/>
      <c r="SXV15" s="20"/>
      <c r="SXW15" s="20"/>
      <c r="SXX15" s="20"/>
      <c r="SXY15" s="20"/>
      <c r="SXZ15" s="20"/>
      <c r="SYA15" s="20"/>
      <c r="SYB15" s="20"/>
      <c r="SYC15" s="20"/>
      <c r="SYD15" s="20"/>
      <c r="SYE15" s="20"/>
      <c r="SYF15" s="20"/>
      <c r="SYG15" s="20"/>
      <c r="SYH15" s="20"/>
      <c r="SYI15" s="20"/>
      <c r="SYJ15" s="20"/>
      <c r="SYK15" s="20"/>
      <c r="SYL15" s="20"/>
      <c r="SYM15" s="20"/>
      <c r="SYN15" s="20"/>
      <c r="SYO15" s="20"/>
      <c r="SYP15" s="20"/>
      <c r="SYQ15" s="20"/>
      <c r="SYR15" s="20"/>
      <c r="SYS15" s="20"/>
      <c r="SYT15" s="20"/>
      <c r="SYU15" s="20"/>
      <c r="SYV15" s="20"/>
      <c r="SYW15" s="20"/>
      <c r="SYX15" s="20"/>
      <c r="SYY15" s="20"/>
      <c r="SYZ15" s="20"/>
      <c r="SZA15" s="20"/>
      <c r="SZB15" s="20"/>
      <c r="SZC15" s="20"/>
      <c r="SZD15" s="20"/>
      <c r="SZE15" s="20"/>
      <c r="SZF15" s="20"/>
      <c r="SZG15" s="20"/>
      <c r="SZH15" s="20"/>
      <c r="SZI15" s="20"/>
      <c r="SZJ15" s="20"/>
      <c r="SZK15" s="20"/>
      <c r="SZL15" s="20"/>
      <c r="SZM15" s="20"/>
      <c r="SZN15" s="20"/>
      <c r="SZO15" s="20"/>
      <c r="SZP15" s="20"/>
      <c r="SZQ15" s="20"/>
      <c r="SZR15" s="20"/>
      <c r="SZS15" s="20"/>
      <c r="SZT15" s="20"/>
      <c r="SZU15" s="20"/>
      <c r="SZV15" s="20"/>
      <c r="SZW15" s="20"/>
      <c r="SZX15" s="20"/>
      <c r="SZY15" s="20"/>
      <c r="SZZ15" s="20"/>
      <c r="TAA15" s="20"/>
      <c r="TAB15" s="20"/>
      <c r="TAC15" s="20"/>
      <c r="TAD15" s="20"/>
      <c r="TAE15" s="20"/>
      <c r="TAF15" s="20"/>
      <c r="TAG15" s="20"/>
      <c r="TAH15" s="20"/>
      <c r="TAI15" s="20"/>
      <c r="TAJ15" s="20"/>
      <c r="TAK15" s="20"/>
      <c r="TAL15" s="20"/>
      <c r="TAM15" s="20"/>
      <c r="TAN15" s="20"/>
      <c r="TAO15" s="20"/>
      <c r="TAP15" s="20"/>
      <c r="TAQ15" s="20"/>
      <c r="TAR15" s="20"/>
      <c r="TAS15" s="20"/>
      <c r="TAT15" s="20"/>
      <c r="TAU15" s="20"/>
      <c r="TAV15" s="20"/>
      <c r="TAW15" s="20"/>
      <c r="TAX15" s="20"/>
      <c r="TAY15" s="20"/>
      <c r="TAZ15" s="20"/>
      <c r="TBA15" s="20"/>
      <c r="TBB15" s="20"/>
      <c r="TBC15" s="20"/>
      <c r="TBD15" s="20"/>
      <c r="TBE15" s="20"/>
      <c r="TBF15" s="20"/>
      <c r="TBG15" s="20"/>
      <c r="TBH15" s="20"/>
      <c r="TBI15" s="20"/>
      <c r="TBJ15" s="20"/>
      <c r="TBK15" s="20"/>
      <c r="TBL15" s="20"/>
      <c r="TBM15" s="20"/>
      <c r="TBN15" s="20"/>
      <c r="TBO15" s="20"/>
      <c r="TBP15" s="20"/>
      <c r="TBQ15" s="20"/>
      <c r="TBR15" s="20"/>
      <c r="TBS15" s="20"/>
      <c r="TBT15" s="20"/>
      <c r="TBU15" s="20"/>
      <c r="TBV15" s="20"/>
      <c r="TBW15" s="20"/>
      <c r="TBX15" s="20"/>
      <c r="TBY15" s="20"/>
      <c r="TBZ15" s="20"/>
      <c r="TCA15" s="20"/>
      <c r="TCB15" s="20"/>
      <c r="TCC15" s="20"/>
      <c r="TCD15" s="20"/>
      <c r="TCE15" s="20"/>
      <c r="TCF15" s="20"/>
      <c r="TCG15" s="20"/>
      <c r="TCH15" s="20"/>
      <c r="TCI15" s="20"/>
      <c r="TCJ15" s="20"/>
      <c r="TCK15" s="20"/>
      <c r="TCL15" s="20"/>
      <c r="TCM15" s="20"/>
      <c r="TCN15" s="20"/>
      <c r="TCO15" s="20"/>
      <c r="TCP15" s="20"/>
      <c r="TCQ15" s="20"/>
      <c r="TCR15" s="20"/>
      <c r="TCS15" s="20"/>
      <c r="TCT15" s="20"/>
      <c r="TCU15" s="20"/>
      <c r="TCV15" s="20"/>
      <c r="TCW15" s="20"/>
      <c r="TCX15" s="20"/>
      <c r="TCY15" s="20"/>
      <c r="TCZ15" s="20"/>
      <c r="TDA15" s="20"/>
      <c r="TDB15" s="20"/>
      <c r="TDC15" s="20"/>
      <c r="TDD15" s="20"/>
      <c r="TDE15" s="20"/>
      <c r="TDF15" s="20"/>
      <c r="TDG15" s="20"/>
      <c r="TDH15" s="20"/>
      <c r="TDI15" s="20"/>
      <c r="TDJ15" s="20"/>
      <c r="TDK15" s="20"/>
      <c r="TDL15" s="20"/>
      <c r="TDM15" s="20"/>
      <c r="TDN15" s="20"/>
      <c r="TDO15" s="20"/>
      <c r="TDP15" s="20"/>
      <c r="TDQ15" s="20"/>
      <c r="TDR15" s="20"/>
      <c r="TDS15" s="20"/>
      <c r="TDT15" s="20"/>
      <c r="TDU15" s="20"/>
      <c r="TDV15" s="20"/>
      <c r="TDW15" s="20"/>
      <c r="TDX15" s="20"/>
      <c r="TDY15" s="20"/>
      <c r="TDZ15" s="20"/>
      <c r="TEA15" s="20"/>
      <c r="TEB15" s="20"/>
      <c r="TEC15" s="20"/>
      <c r="TED15" s="20"/>
      <c r="TEE15" s="20"/>
      <c r="TEF15" s="20"/>
      <c r="TEG15" s="20"/>
      <c r="TEH15" s="20"/>
      <c r="TEI15" s="20"/>
      <c r="TEJ15" s="20"/>
      <c r="TEK15" s="20"/>
      <c r="TEL15" s="20"/>
      <c r="TEM15" s="20"/>
      <c r="TEN15" s="20"/>
      <c r="TEO15" s="20"/>
      <c r="TEP15" s="20"/>
      <c r="TEQ15" s="20"/>
      <c r="TER15" s="20"/>
      <c r="TES15" s="20"/>
      <c r="TET15" s="20"/>
      <c r="TEU15" s="20"/>
      <c r="TEV15" s="20"/>
      <c r="TEW15" s="20"/>
      <c r="TEX15" s="20"/>
      <c r="TEY15" s="20"/>
      <c r="TEZ15" s="20"/>
      <c r="TFA15" s="20"/>
      <c r="TFB15" s="20"/>
      <c r="TFC15" s="20"/>
      <c r="TFD15" s="20"/>
      <c r="TFE15" s="20"/>
      <c r="TFF15" s="20"/>
      <c r="TFG15" s="20"/>
      <c r="TFH15" s="20"/>
      <c r="TFI15" s="20"/>
      <c r="TFJ15" s="20"/>
      <c r="TFK15" s="20"/>
      <c r="TFL15" s="20"/>
      <c r="TFM15" s="20"/>
      <c r="TFN15" s="20"/>
      <c r="TFO15" s="20"/>
      <c r="TFP15" s="20"/>
      <c r="TFQ15" s="20"/>
      <c r="TFR15" s="20"/>
      <c r="TFS15" s="20"/>
      <c r="TFT15" s="20"/>
      <c r="TFU15" s="20"/>
      <c r="TFV15" s="20"/>
      <c r="TFW15" s="20"/>
      <c r="TFX15" s="20"/>
      <c r="TFY15" s="20"/>
      <c r="TFZ15" s="20"/>
      <c r="TGA15" s="20"/>
      <c r="TGB15" s="20"/>
      <c r="TGC15" s="20"/>
      <c r="TGD15" s="20"/>
      <c r="TGE15" s="20"/>
      <c r="TGF15" s="20"/>
      <c r="TGG15" s="20"/>
      <c r="TGH15" s="20"/>
      <c r="TGI15" s="20"/>
      <c r="TGJ15" s="20"/>
      <c r="TGK15" s="20"/>
      <c r="TGL15" s="20"/>
      <c r="TGM15" s="20"/>
      <c r="TGN15" s="20"/>
      <c r="TGO15" s="20"/>
      <c r="TGP15" s="20"/>
      <c r="TGQ15" s="20"/>
      <c r="TGR15" s="20"/>
      <c r="TGS15" s="20"/>
      <c r="TGT15" s="20"/>
      <c r="TGU15" s="20"/>
      <c r="TGV15" s="20"/>
      <c r="TGW15" s="20"/>
      <c r="TGX15" s="20"/>
      <c r="TGY15" s="20"/>
      <c r="TGZ15" s="20"/>
      <c r="THA15" s="20"/>
      <c r="THB15" s="20"/>
      <c r="THC15" s="20"/>
      <c r="THD15" s="20"/>
      <c r="THE15" s="20"/>
      <c r="THF15" s="20"/>
      <c r="THG15" s="20"/>
      <c r="THH15" s="20"/>
      <c r="THI15" s="20"/>
      <c r="THJ15" s="20"/>
      <c r="THK15" s="20"/>
      <c r="THL15" s="20"/>
      <c r="THM15" s="20"/>
      <c r="THN15" s="20"/>
      <c r="THO15" s="20"/>
      <c r="THP15" s="20"/>
      <c r="THQ15" s="20"/>
      <c r="THR15" s="20"/>
      <c r="THS15" s="20"/>
      <c r="THT15" s="20"/>
      <c r="THU15" s="20"/>
      <c r="THV15" s="20"/>
      <c r="THW15" s="20"/>
      <c r="THX15" s="20"/>
      <c r="THY15" s="20"/>
      <c r="THZ15" s="20"/>
      <c r="TIA15" s="20"/>
      <c r="TIB15" s="20"/>
      <c r="TIC15" s="20"/>
      <c r="TID15" s="20"/>
      <c r="TIE15" s="20"/>
      <c r="TIF15" s="20"/>
      <c r="TIG15" s="20"/>
      <c r="TIH15" s="20"/>
      <c r="TII15" s="20"/>
      <c r="TIJ15" s="20"/>
      <c r="TIK15" s="20"/>
      <c r="TIL15" s="20"/>
      <c r="TIM15" s="20"/>
      <c r="TIN15" s="20"/>
      <c r="TIO15" s="20"/>
      <c r="TIP15" s="20"/>
      <c r="TIQ15" s="20"/>
      <c r="TIR15" s="20"/>
      <c r="TIS15" s="20"/>
      <c r="TIT15" s="20"/>
      <c r="TIU15" s="20"/>
      <c r="TIV15" s="20"/>
      <c r="TIW15" s="20"/>
      <c r="TIX15" s="20"/>
      <c r="TIY15" s="20"/>
      <c r="TIZ15" s="20"/>
      <c r="TJA15" s="20"/>
      <c r="TJB15" s="20"/>
      <c r="TJC15" s="20"/>
      <c r="TJD15" s="20"/>
      <c r="TJE15" s="20"/>
      <c r="TJF15" s="20"/>
      <c r="TJG15" s="20"/>
      <c r="TJH15" s="20"/>
      <c r="TJI15" s="20"/>
      <c r="TJJ15" s="20"/>
      <c r="TJK15" s="20"/>
      <c r="TJL15" s="20"/>
      <c r="TJM15" s="20"/>
      <c r="TJN15" s="20"/>
      <c r="TJO15" s="20"/>
      <c r="TJP15" s="20"/>
      <c r="TJQ15" s="20"/>
      <c r="TJR15" s="20"/>
      <c r="TJS15" s="20"/>
      <c r="TJT15" s="20"/>
      <c r="TJU15" s="20"/>
      <c r="TJV15" s="20"/>
      <c r="TJW15" s="20"/>
      <c r="TJX15" s="20"/>
      <c r="TJY15" s="20"/>
      <c r="TJZ15" s="20"/>
      <c r="TKA15" s="20"/>
      <c r="TKB15" s="20"/>
      <c r="TKC15" s="20"/>
      <c r="TKD15" s="20"/>
      <c r="TKE15" s="20"/>
      <c r="TKF15" s="20"/>
      <c r="TKG15" s="20"/>
      <c r="TKH15" s="20"/>
      <c r="TKI15" s="20"/>
      <c r="TKJ15" s="20"/>
      <c r="TKK15" s="20"/>
      <c r="TKL15" s="20"/>
      <c r="TKM15" s="20"/>
      <c r="TKN15" s="20"/>
      <c r="TKO15" s="20"/>
      <c r="TKP15" s="20"/>
      <c r="TKQ15" s="20"/>
      <c r="TKR15" s="20"/>
      <c r="TKS15" s="20"/>
      <c r="TKT15" s="20"/>
      <c r="TKU15" s="20"/>
      <c r="TKV15" s="20"/>
      <c r="TKW15" s="20"/>
      <c r="TKX15" s="20"/>
      <c r="TKY15" s="20"/>
      <c r="TKZ15" s="20"/>
      <c r="TLA15" s="20"/>
      <c r="TLB15" s="20"/>
      <c r="TLC15" s="20"/>
      <c r="TLD15" s="20"/>
      <c r="TLE15" s="20"/>
      <c r="TLF15" s="20"/>
      <c r="TLG15" s="20"/>
      <c r="TLH15" s="20"/>
      <c r="TLI15" s="20"/>
      <c r="TLJ15" s="20"/>
      <c r="TLK15" s="20"/>
      <c r="TLL15" s="20"/>
      <c r="TLM15" s="20"/>
      <c r="TLN15" s="20"/>
      <c r="TLO15" s="20"/>
      <c r="TLP15" s="20"/>
      <c r="TLQ15" s="20"/>
      <c r="TLR15" s="20"/>
      <c r="TLS15" s="20"/>
      <c r="TLT15" s="20"/>
      <c r="TLU15" s="20"/>
      <c r="TLV15" s="20"/>
      <c r="TLW15" s="20"/>
      <c r="TLX15" s="20"/>
      <c r="TLY15" s="20"/>
      <c r="TLZ15" s="20"/>
      <c r="TMA15" s="20"/>
      <c r="TMB15" s="20"/>
      <c r="TMC15" s="20"/>
      <c r="TMD15" s="20"/>
      <c r="TME15" s="20"/>
      <c r="TMF15" s="20"/>
      <c r="TMG15" s="20"/>
      <c r="TMH15" s="20"/>
      <c r="TMI15" s="20"/>
      <c r="TMJ15" s="20"/>
      <c r="TMK15" s="20"/>
      <c r="TML15" s="20"/>
      <c r="TMM15" s="20"/>
      <c r="TMN15" s="20"/>
      <c r="TMO15" s="20"/>
      <c r="TMP15" s="20"/>
      <c r="TMQ15" s="20"/>
      <c r="TMR15" s="20"/>
      <c r="TMS15" s="20"/>
      <c r="TMT15" s="20"/>
      <c r="TMU15" s="20"/>
      <c r="TMV15" s="20"/>
      <c r="TMW15" s="20"/>
      <c r="TMX15" s="20"/>
      <c r="TMY15" s="20"/>
      <c r="TMZ15" s="20"/>
      <c r="TNA15" s="20"/>
      <c r="TNB15" s="20"/>
      <c r="TNC15" s="20"/>
      <c r="TND15" s="20"/>
      <c r="TNE15" s="20"/>
      <c r="TNF15" s="20"/>
      <c r="TNG15" s="20"/>
      <c r="TNH15" s="20"/>
      <c r="TNI15" s="20"/>
      <c r="TNJ15" s="20"/>
      <c r="TNK15" s="20"/>
      <c r="TNL15" s="20"/>
      <c r="TNM15" s="20"/>
      <c r="TNN15" s="20"/>
      <c r="TNO15" s="20"/>
      <c r="TNP15" s="20"/>
      <c r="TNQ15" s="20"/>
      <c r="TNR15" s="20"/>
      <c r="TNS15" s="20"/>
      <c r="TNT15" s="20"/>
      <c r="TNU15" s="20"/>
      <c r="TNV15" s="20"/>
      <c r="TNW15" s="20"/>
      <c r="TNX15" s="20"/>
      <c r="TNY15" s="20"/>
      <c r="TNZ15" s="20"/>
      <c r="TOA15" s="20"/>
      <c r="TOB15" s="20"/>
      <c r="TOC15" s="20"/>
      <c r="TOD15" s="20"/>
      <c r="TOE15" s="20"/>
      <c r="TOF15" s="20"/>
      <c r="TOG15" s="20"/>
      <c r="TOH15" s="20"/>
      <c r="TOI15" s="20"/>
      <c r="TOJ15" s="20"/>
      <c r="TOK15" s="20"/>
      <c r="TOL15" s="20"/>
      <c r="TOM15" s="20"/>
      <c r="TON15" s="20"/>
      <c r="TOO15" s="20"/>
      <c r="TOP15" s="20"/>
      <c r="TOQ15" s="20"/>
      <c r="TOR15" s="20"/>
      <c r="TOS15" s="20"/>
      <c r="TOT15" s="20"/>
      <c r="TOU15" s="20"/>
      <c r="TOV15" s="20"/>
      <c r="TOW15" s="20"/>
      <c r="TOX15" s="20"/>
      <c r="TOY15" s="20"/>
      <c r="TOZ15" s="20"/>
      <c r="TPA15" s="20"/>
      <c r="TPB15" s="20"/>
      <c r="TPC15" s="20"/>
      <c r="TPD15" s="20"/>
      <c r="TPE15" s="20"/>
      <c r="TPF15" s="20"/>
      <c r="TPG15" s="20"/>
      <c r="TPH15" s="20"/>
      <c r="TPI15" s="20"/>
      <c r="TPJ15" s="20"/>
      <c r="TPK15" s="20"/>
      <c r="TPL15" s="20"/>
      <c r="TPM15" s="20"/>
      <c r="TPN15" s="20"/>
      <c r="TPO15" s="20"/>
      <c r="TPP15" s="20"/>
      <c r="TPQ15" s="20"/>
      <c r="TPR15" s="20"/>
      <c r="TPS15" s="20"/>
      <c r="TPT15" s="20"/>
      <c r="TPU15" s="20"/>
      <c r="TPV15" s="20"/>
      <c r="TPW15" s="20"/>
      <c r="TPX15" s="20"/>
      <c r="TPY15" s="20"/>
      <c r="TPZ15" s="20"/>
      <c r="TQA15" s="20"/>
      <c r="TQB15" s="20"/>
      <c r="TQC15" s="20"/>
      <c r="TQD15" s="20"/>
      <c r="TQE15" s="20"/>
      <c r="TQF15" s="20"/>
      <c r="TQG15" s="20"/>
      <c r="TQH15" s="20"/>
      <c r="TQI15" s="20"/>
      <c r="TQJ15" s="20"/>
      <c r="TQK15" s="20"/>
      <c r="TQL15" s="20"/>
      <c r="TQM15" s="20"/>
      <c r="TQN15" s="20"/>
      <c r="TQO15" s="20"/>
      <c r="TQP15" s="20"/>
      <c r="TQQ15" s="20"/>
      <c r="TQR15" s="20"/>
      <c r="TQS15" s="20"/>
      <c r="TQT15" s="20"/>
      <c r="TQU15" s="20"/>
      <c r="TQV15" s="20"/>
      <c r="TQW15" s="20"/>
      <c r="TQX15" s="20"/>
      <c r="TQY15" s="20"/>
      <c r="TQZ15" s="20"/>
      <c r="TRA15" s="20"/>
      <c r="TRB15" s="20"/>
      <c r="TRC15" s="20"/>
      <c r="TRD15" s="20"/>
      <c r="TRE15" s="20"/>
      <c r="TRF15" s="20"/>
      <c r="TRG15" s="20"/>
      <c r="TRH15" s="20"/>
      <c r="TRI15" s="20"/>
      <c r="TRJ15" s="20"/>
      <c r="TRK15" s="20"/>
      <c r="TRL15" s="20"/>
      <c r="TRM15" s="20"/>
      <c r="TRN15" s="20"/>
      <c r="TRO15" s="20"/>
      <c r="TRP15" s="20"/>
      <c r="TRQ15" s="20"/>
      <c r="TRR15" s="20"/>
      <c r="TRS15" s="20"/>
      <c r="TRT15" s="20"/>
      <c r="TRU15" s="20"/>
      <c r="TRV15" s="20"/>
      <c r="TRW15" s="20"/>
      <c r="TRX15" s="20"/>
      <c r="TRY15" s="20"/>
      <c r="TRZ15" s="20"/>
      <c r="TSA15" s="20"/>
      <c r="TSB15" s="20"/>
      <c r="TSC15" s="20"/>
      <c r="TSD15" s="20"/>
      <c r="TSE15" s="20"/>
      <c r="TSF15" s="20"/>
      <c r="TSG15" s="20"/>
      <c r="TSH15" s="20"/>
      <c r="TSI15" s="20"/>
      <c r="TSJ15" s="20"/>
      <c r="TSK15" s="20"/>
      <c r="TSL15" s="20"/>
      <c r="TSM15" s="20"/>
      <c r="TSN15" s="20"/>
      <c r="TSO15" s="20"/>
      <c r="TSP15" s="20"/>
      <c r="TSQ15" s="20"/>
      <c r="TSR15" s="20"/>
      <c r="TSS15" s="20"/>
      <c r="TST15" s="20"/>
      <c r="TSU15" s="20"/>
      <c r="TSV15" s="20"/>
      <c r="TSW15" s="20"/>
      <c r="TSX15" s="20"/>
      <c r="TSY15" s="20"/>
      <c r="TSZ15" s="20"/>
      <c r="TTA15" s="20"/>
      <c r="TTB15" s="20"/>
      <c r="TTC15" s="20"/>
      <c r="TTD15" s="20"/>
      <c r="TTE15" s="20"/>
      <c r="TTF15" s="20"/>
      <c r="TTG15" s="20"/>
      <c r="TTH15" s="20"/>
      <c r="TTI15" s="20"/>
      <c r="TTJ15" s="20"/>
      <c r="TTK15" s="20"/>
      <c r="TTL15" s="20"/>
      <c r="TTM15" s="20"/>
      <c r="TTN15" s="20"/>
      <c r="TTO15" s="20"/>
      <c r="TTP15" s="20"/>
      <c r="TTQ15" s="20"/>
      <c r="TTR15" s="20"/>
      <c r="TTS15" s="20"/>
      <c r="TTT15" s="20"/>
      <c r="TTU15" s="20"/>
      <c r="TTV15" s="20"/>
      <c r="TTW15" s="20"/>
      <c r="TTX15" s="20"/>
      <c r="TTY15" s="20"/>
      <c r="TTZ15" s="20"/>
      <c r="TUA15" s="20"/>
      <c r="TUB15" s="20"/>
      <c r="TUC15" s="20"/>
      <c r="TUD15" s="20"/>
      <c r="TUE15" s="20"/>
      <c r="TUF15" s="20"/>
      <c r="TUG15" s="20"/>
      <c r="TUH15" s="20"/>
      <c r="TUI15" s="20"/>
      <c r="TUJ15" s="20"/>
      <c r="TUK15" s="20"/>
      <c r="TUL15" s="20"/>
      <c r="TUM15" s="20"/>
      <c r="TUN15" s="20"/>
      <c r="TUO15" s="20"/>
      <c r="TUP15" s="20"/>
      <c r="TUQ15" s="20"/>
      <c r="TUR15" s="20"/>
      <c r="TUS15" s="20"/>
      <c r="TUT15" s="20"/>
      <c r="TUU15" s="20"/>
      <c r="TUV15" s="20"/>
      <c r="TUW15" s="20"/>
      <c r="TUX15" s="20"/>
      <c r="TUY15" s="20"/>
      <c r="TUZ15" s="20"/>
      <c r="TVA15" s="20"/>
      <c r="TVB15" s="20"/>
      <c r="TVC15" s="20"/>
      <c r="TVD15" s="20"/>
      <c r="TVE15" s="20"/>
      <c r="TVF15" s="20"/>
      <c r="TVG15" s="20"/>
      <c r="TVH15" s="20"/>
      <c r="TVI15" s="20"/>
      <c r="TVJ15" s="20"/>
      <c r="TVK15" s="20"/>
      <c r="TVL15" s="20"/>
      <c r="TVM15" s="20"/>
      <c r="TVN15" s="20"/>
      <c r="TVO15" s="20"/>
      <c r="TVP15" s="20"/>
      <c r="TVQ15" s="20"/>
      <c r="TVR15" s="20"/>
      <c r="TVS15" s="20"/>
      <c r="TVT15" s="20"/>
      <c r="TVU15" s="20"/>
      <c r="TVV15" s="20"/>
      <c r="TVW15" s="20"/>
      <c r="TVX15" s="20"/>
      <c r="TVY15" s="20"/>
      <c r="TVZ15" s="20"/>
      <c r="TWA15" s="20"/>
      <c r="TWB15" s="20"/>
      <c r="TWC15" s="20"/>
      <c r="TWD15" s="20"/>
      <c r="TWE15" s="20"/>
      <c r="TWF15" s="20"/>
      <c r="TWG15" s="20"/>
      <c r="TWH15" s="20"/>
      <c r="TWI15" s="20"/>
      <c r="TWJ15" s="20"/>
      <c r="TWK15" s="20"/>
      <c r="TWL15" s="20"/>
      <c r="TWM15" s="20"/>
      <c r="TWN15" s="20"/>
      <c r="TWO15" s="20"/>
      <c r="TWP15" s="20"/>
      <c r="TWQ15" s="20"/>
      <c r="TWR15" s="20"/>
      <c r="TWS15" s="20"/>
      <c r="TWT15" s="20"/>
      <c r="TWU15" s="20"/>
      <c r="TWV15" s="20"/>
      <c r="TWW15" s="20"/>
      <c r="TWX15" s="20"/>
      <c r="TWY15" s="20"/>
      <c r="TWZ15" s="20"/>
      <c r="TXA15" s="20"/>
      <c r="TXB15" s="20"/>
      <c r="TXC15" s="20"/>
      <c r="TXD15" s="20"/>
      <c r="TXE15" s="20"/>
      <c r="TXF15" s="20"/>
      <c r="TXG15" s="20"/>
      <c r="TXH15" s="20"/>
      <c r="TXI15" s="20"/>
      <c r="TXJ15" s="20"/>
      <c r="TXK15" s="20"/>
      <c r="TXL15" s="20"/>
      <c r="TXM15" s="20"/>
      <c r="TXN15" s="20"/>
      <c r="TXO15" s="20"/>
      <c r="TXP15" s="20"/>
      <c r="TXQ15" s="20"/>
      <c r="TXR15" s="20"/>
      <c r="TXS15" s="20"/>
      <c r="TXT15" s="20"/>
      <c r="TXU15" s="20"/>
      <c r="TXV15" s="20"/>
      <c r="TXW15" s="20"/>
      <c r="TXX15" s="20"/>
      <c r="TXY15" s="20"/>
      <c r="TXZ15" s="20"/>
      <c r="TYA15" s="20"/>
      <c r="TYB15" s="20"/>
      <c r="TYC15" s="20"/>
      <c r="TYD15" s="20"/>
      <c r="TYE15" s="20"/>
      <c r="TYF15" s="20"/>
      <c r="TYG15" s="20"/>
      <c r="TYH15" s="20"/>
      <c r="TYI15" s="20"/>
      <c r="TYJ15" s="20"/>
      <c r="TYK15" s="20"/>
      <c r="TYL15" s="20"/>
      <c r="TYM15" s="20"/>
      <c r="TYN15" s="20"/>
      <c r="TYO15" s="20"/>
      <c r="TYP15" s="20"/>
      <c r="TYQ15" s="20"/>
      <c r="TYR15" s="20"/>
      <c r="TYS15" s="20"/>
      <c r="TYT15" s="20"/>
      <c r="TYU15" s="20"/>
      <c r="TYV15" s="20"/>
      <c r="TYW15" s="20"/>
      <c r="TYX15" s="20"/>
      <c r="TYY15" s="20"/>
      <c r="TYZ15" s="20"/>
      <c r="TZA15" s="20"/>
      <c r="TZB15" s="20"/>
      <c r="TZC15" s="20"/>
      <c r="TZD15" s="20"/>
      <c r="TZE15" s="20"/>
      <c r="TZF15" s="20"/>
      <c r="TZG15" s="20"/>
      <c r="TZH15" s="20"/>
      <c r="TZI15" s="20"/>
      <c r="TZJ15" s="20"/>
      <c r="TZK15" s="20"/>
      <c r="TZL15" s="20"/>
      <c r="TZM15" s="20"/>
      <c r="TZN15" s="20"/>
      <c r="TZO15" s="20"/>
      <c r="TZP15" s="20"/>
      <c r="TZQ15" s="20"/>
      <c r="TZR15" s="20"/>
      <c r="TZS15" s="20"/>
      <c r="TZT15" s="20"/>
      <c r="TZU15" s="20"/>
      <c r="TZV15" s="20"/>
      <c r="TZW15" s="20"/>
      <c r="TZX15" s="20"/>
      <c r="TZY15" s="20"/>
      <c r="TZZ15" s="20"/>
      <c r="UAA15" s="20"/>
      <c r="UAB15" s="20"/>
      <c r="UAC15" s="20"/>
      <c r="UAD15" s="20"/>
      <c r="UAE15" s="20"/>
      <c r="UAF15" s="20"/>
      <c r="UAG15" s="20"/>
      <c r="UAH15" s="20"/>
      <c r="UAI15" s="20"/>
      <c r="UAJ15" s="20"/>
      <c r="UAK15" s="20"/>
      <c r="UAL15" s="20"/>
      <c r="UAM15" s="20"/>
      <c r="UAN15" s="20"/>
      <c r="UAO15" s="20"/>
      <c r="UAP15" s="20"/>
      <c r="UAQ15" s="20"/>
      <c r="UAR15" s="20"/>
      <c r="UAS15" s="20"/>
      <c r="UAT15" s="20"/>
      <c r="UAU15" s="20"/>
      <c r="UAV15" s="20"/>
      <c r="UAW15" s="20"/>
      <c r="UAX15" s="20"/>
      <c r="UAY15" s="20"/>
      <c r="UAZ15" s="20"/>
      <c r="UBA15" s="20"/>
      <c r="UBB15" s="20"/>
      <c r="UBC15" s="20"/>
      <c r="UBD15" s="20"/>
      <c r="UBE15" s="20"/>
      <c r="UBF15" s="20"/>
      <c r="UBG15" s="20"/>
      <c r="UBH15" s="20"/>
      <c r="UBI15" s="20"/>
      <c r="UBJ15" s="20"/>
      <c r="UBK15" s="20"/>
      <c r="UBL15" s="20"/>
      <c r="UBM15" s="20"/>
      <c r="UBN15" s="20"/>
      <c r="UBO15" s="20"/>
      <c r="UBP15" s="20"/>
      <c r="UBQ15" s="20"/>
      <c r="UBR15" s="20"/>
      <c r="UBS15" s="20"/>
      <c r="UBT15" s="20"/>
      <c r="UBU15" s="20"/>
      <c r="UBV15" s="20"/>
      <c r="UBW15" s="20"/>
      <c r="UBX15" s="20"/>
      <c r="UBY15" s="20"/>
      <c r="UBZ15" s="20"/>
      <c r="UCA15" s="20"/>
      <c r="UCB15" s="20"/>
      <c r="UCC15" s="20"/>
      <c r="UCD15" s="20"/>
      <c r="UCE15" s="20"/>
      <c r="UCF15" s="20"/>
      <c r="UCG15" s="20"/>
      <c r="UCH15" s="20"/>
      <c r="UCI15" s="20"/>
      <c r="UCJ15" s="20"/>
      <c r="UCK15" s="20"/>
      <c r="UCL15" s="20"/>
      <c r="UCM15" s="20"/>
      <c r="UCN15" s="20"/>
      <c r="UCO15" s="20"/>
      <c r="UCP15" s="20"/>
      <c r="UCQ15" s="20"/>
      <c r="UCR15" s="20"/>
      <c r="UCS15" s="20"/>
      <c r="UCT15" s="20"/>
      <c r="UCU15" s="20"/>
      <c r="UCV15" s="20"/>
      <c r="UCW15" s="20"/>
      <c r="UCX15" s="20"/>
      <c r="UCY15" s="20"/>
      <c r="UCZ15" s="20"/>
      <c r="UDA15" s="20"/>
      <c r="UDB15" s="20"/>
      <c r="UDC15" s="20"/>
      <c r="UDD15" s="20"/>
      <c r="UDE15" s="20"/>
      <c r="UDF15" s="20"/>
      <c r="UDG15" s="20"/>
      <c r="UDH15" s="20"/>
      <c r="UDI15" s="20"/>
      <c r="UDJ15" s="20"/>
      <c r="UDK15" s="20"/>
      <c r="UDL15" s="20"/>
      <c r="UDM15" s="20"/>
      <c r="UDN15" s="20"/>
      <c r="UDO15" s="20"/>
      <c r="UDP15" s="20"/>
      <c r="UDQ15" s="20"/>
      <c r="UDR15" s="20"/>
      <c r="UDS15" s="20"/>
      <c r="UDT15" s="20"/>
      <c r="UDU15" s="20"/>
      <c r="UDV15" s="20"/>
      <c r="UDW15" s="20"/>
      <c r="UDX15" s="20"/>
      <c r="UDY15" s="20"/>
      <c r="UDZ15" s="20"/>
      <c r="UEA15" s="20"/>
      <c r="UEB15" s="20"/>
      <c r="UEC15" s="20"/>
      <c r="UED15" s="20"/>
      <c r="UEE15" s="20"/>
      <c r="UEF15" s="20"/>
      <c r="UEG15" s="20"/>
      <c r="UEH15" s="20"/>
      <c r="UEI15" s="20"/>
      <c r="UEJ15" s="20"/>
      <c r="UEK15" s="20"/>
      <c r="UEL15" s="20"/>
      <c r="UEM15" s="20"/>
      <c r="UEN15" s="20"/>
      <c r="UEO15" s="20"/>
      <c r="UEP15" s="20"/>
      <c r="UEQ15" s="20"/>
      <c r="UER15" s="20"/>
      <c r="UES15" s="20"/>
      <c r="UET15" s="20"/>
      <c r="UEU15" s="20"/>
      <c r="UEV15" s="20"/>
      <c r="UEW15" s="20"/>
      <c r="UEX15" s="20"/>
      <c r="UEY15" s="20"/>
      <c r="UEZ15" s="20"/>
      <c r="UFA15" s="20"/>
      <c r="UFB15" s="20"/>
      <c r="UFC15" s="20"/>
      <c r="UFD15" s="20"/>
      <c r="UFE15" s="20"/>
      <c r="UFF15" s="20"/>
      <c r="UFG15" s="20"/>
      <c r="UFH15" s="20"/>
      <c r="UFI15" s="20"/>
      <c r="UFJ15" s="20"/>
      <c r="UFK15" s="20"/>
      <c r="UFL15" s="20"/>
      <c r="UFM15" s="20"/>
      <c r="UFN15" s="20"/>
      <c r="UFO15" s="20"/>
      <c r="UFP15" s="20"/>
      <c r="UFQ15" s="20"/>
      <c r="UFR15" s="20"/>
      <c r="UFS15" s="20"/>
      <c r="UFT15" s="20"/>
      <c r="UFU15" s="20"/>
      <c r="UFV15" s="20"/>
      <c r="UFW15" s="20"/>
      <c r="UFX15" s="20"/>
      <c r="UFY15" s="20"/>
      <c r="UFZ15" s="20"/>
      <c r="UGA15" s="20"/>
      <c r="UGB15" s="20"/>
      <c r="UGC15" s="20"/>
      <c r="UGD15" s="20"/>
      <c r="UGE15" s="20"/>
      <c r="UGF15" s="20"/>
      <c r="UGG15" s="20"/>
      <c r="UGH15" s="20"/>
      <c r="UGI15" s="20"/>
      <c r="UGJ15" s="20"/>
      <c r="UGK15" s="20"/>
      <c r="UGL15" s="20"/>
      <c r="UGM15" s="20"/>
      <c r="UGN15" s="20"/>
      <c r="UGO15" s="20"/>
      <c r="UGP15" s="20"/>
      <c r="UGQ15" s="20"/>
      <c r="UGR15" s="20"/>
      <c r="UGS15" s="20"/>
      <c r="UGT15" s="20"/>
      <c r="UGU15" s="20"/>
      <c r="UGV15" s="20"/>
      <c r="UGW15" s="20"/>
      <c r="UGX15" s="20"/>
      <c r="UGY15" s="20"/>
      <c r="UGZ15" s="20"/>
      <c r="UHA15" s="20"/>
      <c r="UHB15" s="20"/>
      <c r="UHC15" s="20"/>
      <c r="UHD15" s="20"/>
      <c r="UHE15" s="20"/>
      <c r="UHF15" s="20"/>
      <c r="UHG15" s="20"/>
      <c r="UHH15" s="20"/>
      <c r="UHI15" s="20"/>
      <c r="UHJ15" s="20"/>
      <c r="UHK15" s="20"/>
      <c r="UHL15" s="20"/>
      <c r="UHM15" s="20"/>
      <c r="UHN15" s="20"/>
      <c r="UHO15" s="20"/>
      <c r="UHP15" s="20"/>
      <c r="UHQ15" s="20"/>
      <c r="UHR15" s="20"/>
      <c r="UHS15" s="20"/>
      <c r="UHT15" s="20"/>
      <c r="UHU15" s="20"/>
      <c r="UHV15" s="20"/>
      <c r="UHW15" s="20"/>
      <c r="UHX15" s="20"/>
      <c r="UHY15" s="20"/>
      <c r="UHZ15" s="20"/>
      <c r="UIA15" s="20"/>
      <c r="UIB15" s="20"/>
      <c r="UIC15" s="20"/>
      <c r="UID15" s="20"/>
      <c r="UIE15" s="20"/>
      <c r="UIF15" s="20"/>
      <c r="UIG15" s="20"/>
      <c r="UIH15" s="20"/>
      <c r="UII15" s="20"/>
      <c r="UIJ15" s="20"/>
      <c r="UIK15" s="20"/>
      <c r="UIL15" s="20"/>
      <c r="UIM15" s="20"/>
      <c r="UIN15" s="20"/>
      <c r="UIO15" s="20"/>
      <c r="UIP15" s="20"/>
      <c r="UIQ15" s="20"/>
      <c r="UIR15" s="20"/>
      <c r="UIS15" s="20"/>
      <c r="UIT15" s="20"/>
      <c r="UIU15" s="20"/>
      <c r="UIV15" s="20"/>
      <c r="UIW15" s="20"/>
      <c r="UIX15" s="20"/>
      <c r="UIY15" s="20"/>
      <c r="UIZ15" s="20"/>
      <c r="UJA15" s="20"/>
      <c r="UJB15" s="20"/>
      <c r="UJC15" s="20"/>
      <c r="UJD15" s="20"/>
      <c r="UJE15" s="20"/>
      <c r="UJF15" s="20"/>
      <c r="UJG15" s="20"/>
      <c r="UJH15" s="20"/>
      <c r="UJI15" s="20"/>
      <c r="UJJ15" s="20"/>
      <c r="UJK15" s="20"/>
      <c r="UJL15" s="20"/>
      <c r="UJM15" s="20"/>
      <c r="UJN15" s="20"/>
      <c r="UJO15" s="20"/>
      <c r="UJP15" s="20"/>
      <c r="UJQ15" s="20"/>
      <c r="UJR15" s="20"/>
      <c r="UJS15" s="20"/>
      <c r="UJT15" s="20"/>
      <c r="UJU15" s="20"/>
      <c r="UJV15" s="20"/>
      <c r="UJW15" s="20"/>
      <c r="UJX15" s="20"/>
      <c r="UJY15" s="20"/>
      <c r="UJZ15" s="20"/>
      <c r="UKA15" s="20"/>
      <c r="UKB15" s="20"/>
      <c r="UKC15" s="20"/>
      <c r="UKD15" s="20"/>
      <c r="UKE15" s="20"/>
      <c r="UKF15" s="20"/>
      <c r="UKG15" s="20"/>
      <c r="UKH15" s="20"/>
      <c r="UKI15" s="20"/>
      <c r="UKJ15" s="20"/>
      <c r="UKK15" s="20"/>
      <c r="UKL15" s="20"/>
      <c r="UKM15" s="20"/>
      <c r="UKN15" s="20"/>
      <c r="UKO15" s="20"/>
      <c r="UKP15" s="20"/>
      <c r="UKQ15" s="20"/>
      <c r="UKR15" s="20"/>
      <c r="UKS15" s="20"/>
      <c r="UKT15" s="20"/>
      <c r="UKU15" s="20"/>
      <c r="UKV15" s="20"/>
      <c r="UKW15" s="20"/>
      <c r="UKX15" s="20"/>
      <c r="UKY15" s="20"/>
      <c r="UKZ15" s="20"/>
      <c r="ULA15" s="20"/>
      <c r="ULB15" s="20"/>
      <c r="ULC15" s="20"/>
      <c r="ULD15" s="20"/>
      <c r="ULE15" s="20"/>
      <c r="ULF15" s="20"/>
      <c r="ULG15" s="20"/>
      <c r="ULH15" s="20"/>
      <c r="ULI15" s="20"/>
      <c r="ULJ15" s="20"/>
      <c r="ULK15" s="20"/>
      <c r="ULL15" s="20"/>
      <c r="ULM15" s="20"/>
      <c r="ULN15" s="20"/>
      <c r="ULO15" s="20"/>
      <c r="ULP15" s="20"/>
      <c r="ULQ15" s="20"/>
      <c r="ULR15" s="20"/>
      <c r="ULS15" s="20"/>
      <c r="ULT15" s="20"/>
      <c r="ULU15" s="20"/>
      <c r="ULV15" s="20"/>
      <c r="ULW15" s="20"/>
      <c r="ULX15" s="20"/>
      <c r="ULY15" s="20"/>
      <c r="ULZ15" s="20"/>
      <c r="UMA15" s="20"/>
      <c r="UMB15" s="20"/>
      <c r="UMC15" s="20"/>
      <c r="UMD15" s="20"/>
      <c r="UME15" s="20"/>
      <c r="UMF15" s="20"/>
      <c r="UMG15" s="20"/>
      <c r="UMH15" s="20"/>
      <c r="UMI15" s="20"/>
      <c r="UMJ15" s="20"/>
      <c r="UMK15" s="20"/>
      <c r="UML15" s="20"/>
      <c r="UMM15" s="20"/>
      <c r="UMN15" s="20"/>
      <c r="UMO15" s="20"/>
      <c r="UMP15" s="20"/>
      <c r="UMQ15" s="20"/>
      <c r="UMR15" s="20"/>
      <c r="UMS15" s="20"/>
      <c r="UMT15" s="20"/>
      <c r="UMU15" s="20"/>
      <c r="UMV15" s="20"/>
      <c r="UMW15" s="20"/>
      <c r="UMX15" s="20"/>
      <c r="UMY15" s="20"/>
      <c r="UMZ15" s="20"/>
      <c r="UNA15" s="20"/>
      <c r="UNB15" s="20"/>
      <c r="UNC15" s="20"/>
      <c r="UND15" s="20"/>
      <c r="UNE15" s="20"/>
      <c r="UNF15" s="20"/>
      <c r="UNG15" s="20"/>
      <c r="UNH15" s="20"/>
      <c r="UNI15" s="20"/>
      <c r="UNJ15" s="20"/>
      <c r="UNK15" s="20"/>
      <c r="UNL15" s="20"/>
      <c r="UNM15" s="20"/>
      <c r="UNN15" s="20"/>
      <c r="UNO15" s="20"/>
      <c r="UNP15" s="20"/>
      <c r="UNQ15" s="20"/>
      <c r="UNR15" s="20"/>
      <c r="UNS15" s="20"/>
      <c r="UNT15" s="20"/>
      <c r="UNU15" s="20"/>
      <c r="UNV15" s="20"/>
      <c r="UNW15" s="20"/>
      <c r="UNX15" s="20"/>
      <c r="UNY15" s="20"/>
      <c r="UNZ15" s="20"/>
      <c r="UOA15" s="20"/>
      <c r="UOB15" s="20"/>
      <c r="UOC15" s="20"/>
      <c r="UOD15" s="20"/>
      <c r="UOE15" s="20"/>
      <c r="UOF15" s="20"/>
      <c r="UOG15" s="20"/>
      <c r="UOH15" s="20"/>
      <c r="UOI15" s="20"/>
      <c r="UOJ15" s="20"/>
      <c r="UOK15" s="20"/>
      <c r="UOL15" s="20"/>
      <c r="UOM15" s="20"/>
      <c r="UON15" s="20"/>
      <c r="UOO15" s="20"/>
      <c r="UOP15" s="20"/>
      <c r="UOQ15" s="20"/>
      <c r="UOR15" s="20"/>
      <c r="UOS15" s="20"/>
      <c r="UOT15" s="20"/>
      <c r="UOU15" s="20"/>
      <c r="UOV15" s="20"/>
      <c r="UOW15" s="20"/>
      <c r="UOX15" s="20"/>
      <c r="UOY15" s="20"/>
      <c r="UOZ15" s="20"/>
      <c r="UPA15" s="20"/>
      <c r="UPB15" s="20"/>
      <c r="UPC15" s="20"/>
      <c r="UPD15" s="20"/>
      <c r="UPE15" s="20"/>
      <c r="UPF15" s="20"/>
      <c r="UPG15" s="20"/>
      <c r="UPH15" s="20"/>
      <c r="UPI15" s="20"/>
      <c r="UPJ15" s="20"/>
      <c r="UPK15" s="20"/>
      <c r="UPL15" s="20"/>
      <c r="UPM15" s="20"/>
      <c r="UPN15" s="20"/>
      <c r="UPO15" s="20"/>
      <c r="UPP15" s="20"/>
      <c r="UPQ15" s="20"/>
      <c r="UPR15" s="20"/>
      <c r="UPS15" s="20"/>
      <c r="UPT15" s="20"/>
      <c r="UPU15" s="20"/>
      <c r="UPV15" s="20"/>
      <c r="UPW15" s="20"/>
      <c r="UPX15" s="20"/>
      <c r="UPY15" s="20"/>
      <c r="UPZ15" s="20"/>
      <c r="UQA15" s="20"/>
      <c r="UQB15" s="20"/>
      <c r="UQC15" s="20"/>
      <c r="UQD15" s="20"/>
      <c r="UQE15" s="20"/>
      <c r="UQF15" s="20"/>
      <c r="UQG15" s="20"/>
      <c r="UQH15" s="20"/>
      <c r="UQI15" s="20"/>
      <c r="UQJ15" s="20"/>
      <c r="UQK15" s="20"/>
      <c r="UQL15" s="20"/>
      <c r="UQM15" s="20"/>
      <c r="UQN15" s="20"/>
      <c r="UQO15" s="20"/>
      <c r="UQP15" s="20"/>
      <c r="UQQ15" s="20"/>
      <c r="UQR15" s="20"/>
      <c r="UQS15" s="20"/>
      <c r="UQT15" s="20"/>
      <c r="UQU15" s="20"/>
      <c r="UQV15" s="20"/>
      <c r="UQW15" s="20"/>
      <c r="UQX15" s="20"/>
      <c r="UQY15" s="20"/>
      <c r="UQZ15" s="20"/>
      <c r="URA15" s="20"/>
      <c r="URB15" s="20"/>
      <c r="URC15" s="20"/>
      <c r="URD15" s="20"/>
      <c r="URE15" s="20"/>
      <c r="URF15" s="20"/>
      <c r="URG15" s="20"/>
      <c r="URH15" s="20"/>
      <c r="URI15" s="20"/>
      <c r="URJ15" s="20"/>
      <c r="URK15" s="20"/>
      <c r="URL15" s="20"/>
      <c r="URM15" s="20"/>
      <c r="URN15" s="20"/>
      <c r="URO15" s="20"/>
      <c r="URP15" s="20"/>
      <c r="URQ15" s="20"/>
      <c r="URR15" s="20"/>
      <c r="URS15" s="20"/>
      <c r="URT15" s="20"/>
      <c r="URU15" s="20"/>
      <c r="URV15" s="20"/>
      <c r="URW15" s="20"/>
      <c r="URX15" s="20"/>
      <c r="URY15" s="20"/>
      <c r="URZ15" s="20"/>
      <c r="USA15" s="20"/>
      <c r="USB15" s="20"/>
      <c r="USC15" s="20"/>
      <c r="USD15" s="20"/>
      <c r="USE15" s="20"/>
      <c r="USF15" s="20"/>
      <c r="USG15" s="20"/>
      <c r="USH15" s="20"/>
      <c r="USI15" s="20"/>
      <c r="USJ15" s="20"/>
      <c r="USK15" s="20"/>
      <c r="USL15" s="20"/>
      <c r="USM15" s="20"/>
      <c r="USN15" s="20"/>
      <c r="USO15" s="20"/>
      <c r="USP15" s="20"/>
      <c r="USQ15" s="20"/>
      <c r="USR15" s="20"/>
      <c r="USS15" s="20"/>
      <c r="UST15" s="20"/>
      <c r="USU15" s="20"/>
      <c r="USV15" s="20"/>
      <c r="USW15" s="20"/>
      <c r="USX15" s="20"/>
      <c r="USY15" s="20"/>
      <c r="USZ15" s="20"/>
      <c r="UTA15" s="20"/>
      <c r="UTB15" s="20"/>
      <c r="UTC15" s="20"/>
      <c r="UTD15" s="20"/>
      <c r="UTE15" s="20"/>
      <c r="UTF15" s="20"/>
      <c r="UTG15" s="20"/>
      <c r="UTH15" s="20"/>
      <c r="UTI15" s="20"/>
      <c r="UTJ15" s="20"/>
      <c r="UTK15" s="20"/>
      <c r="UTL15" s="20"/>
      <c r="UTM15" s="20"/>
      <c r="UTN15" s="20"/>
      <c r="UTO15" s="20"/>
      <c r="UTP15" s="20"/>
      <c r="UTQ15" s="20"/>
      <c r="UTR15" s="20"/>
      <c r="UTS15" s="20"/>
      <c r="UTT15" s="20"/>
      <c r="UTU15" s="20"/>
      <c r="UTV15" s="20"/>
      <c r="UTW15" s="20"/>
      <c r="UTX15" s="20"/>
      <c r="UTY15" s="20"/>
      <c r="UTZ15" s="20"/>
      <c r="UUA15" s="20"/>
      <c r="UUB15" s="20"/>
      <c r="UUC15" s="20"/>
      <c r="UUD15" s="20"/>
      <c r="UUE15" s="20"/>
      <c r="UUF15" s="20"/>
      <c r="UUG15" s="20"/>
      <c r="UUH15" s="20"/>
      <c r="UUI15" s="20"/>
      <c r="UUJ15" s="20"/>
      <c r="UUK15" s="20"/>
      <c r="UUL15" s="20"/>
      <c r="UUM15" s="20"/>
      <c r="UUN15" s="20"/>
      <c r="UUO15" s="20"/>
      <c r="UUP15" s="20"/>
      <c r="UUQ15" s="20"/>
      <c r="UUR15" s="20"/>
      <c r="UUS15" s="20"/>
      <c r="UUT15" s="20"/>
      <c r="UUU15" s="20"/>
      <c r="UUV15" s="20"/>
      <c r="UUW15" s="20"/>
      <c r="UUX15" s="20"/>
      <c r="UUY15" s="20"/>
      <c r="UUZ15" s="20"/>
      <c r="UVA15" s="20"/>
      <c r="UVB15" s="20"/>
      <c r="UVC15" s="20"/>
      <c r="UVD15" s="20"/>
      <c r="UVE15" s="20"/>
      <c r="UVF15" s="20"/>
      <c r="UVG15" s="20"/>
      <c r="UVH15" s="20"/>
      <c r="UVI15" s="20"/>
      <c r="UVJ15" s="20"/>
      <c r="UVK15" s="20"/>
      <c r="UVL15" s="20"/>
      <c r="UVM15" s="20"/>
      <c r="UVN15" s="20"/>
      <c r="UVO15" s="20"/>
      <c r="UVP15" s="20"/>
      <c r="UVQ15" s="20"/>
      <c r="UVR15" s="20"/>
      <c r="UVS15" s="20"/>
      <c r="UVT15" s="20"/>
      <c r="UVU15" s="20"/>
      <c r="UVV15" s="20"/>
      <c r="UVW15" s="20"/>
      <c r="UVX15" s="20"/>
      <c r="UVY15" s="20"/>
      <c r="UVZ15" s="20"/>
      <c r="UWA15" s="20"/>
      <c r="UWB15" s="20"/>
      <c r="UWC15" s="20"/>
      <c r="UWD15" s="20"/>
      <c r="UWE15" s="20"/>
      <c r="UWF15" s="20"/>
      <c r="UWG15" s="20"/>
      <c r="UWH15" s="20"/>
      <c r="UWI15" s="20"/>
      <c r="UWJ15" s="20"/>
      <c r="UWK15" s="20"/>
      <c r="UWL15" s="20"/>
      <c r="UWM15" s="20"/>
      <c r="UWN15" s="20"/>
      <c r="UWO15" s="20"/>
      <c r="UWP15" s="20"/>
      <c r="UWQ15" s="20"/>
      <c r="UWR15" s="20"/>
      <c r="UWS15" s="20"/>
      <c r="UWT15" s="20"/>
      <c r="UWU15" s="20"/>
      <c r="UWV15" s="20"/>
      <c r="UWW15" s="20"/>
      <c r="UWX15" s="20"/>
      <c r="UWY15" s="20"/>
      <c r="UWZ15" s="20"/>
      <c r="UXA15" s="20"/>
      <c r="UXB15" s="20"/>
      <c r="UXC15" s="20"/>
      <c r="UXD15" s="20"/>
      <c r="UXE15" s="20"/>
      <c r="UXF15" s="20"/>
      <c r="UXG15" s="20"/>
      <c r="UXH15" s="20"/>
      <c r="UXI15" s="20"/>
      <c r="UXJ15" s="20"/>
      <c r="UXK15" s="20"/>
      <c r="UXL15" s="20"/>
      <c r="UXM15" s="20"/>
      <c r="UXN15" s="20"/>
      <c r="UXO15" s="20"/>
      <c r="UXP15" s="20"/>
      <c r="UXQ15" s="20"/>
      <c r="UXR15" s="20"/>
      <c r="UXS15" s="20"/>
      <c r="UXT15" s="20"/>
      <c r="UXU15" s="20"/>
      <c r="UXV15" s="20"/>
      <c r="UXW15" s="20"/>
      <c r="UXX15" s="20"/>
      <c r="UXY15" s="20"/>
      <c r="UXZ15" s="20"/>
      <c r="UYA15" s="20"/>
      <c r="UYB15" s="20"/>
      <c r="UYC15" s="20"/>
      <c r="UYD15" s="20"/>
      <c r="UYE15" s="20"/>
      <c r="UYF15" s="20"/>
      <c r="UYG15" s="20"/>
      <c r="UYH15" s="20"/>
      <c r="UYI15" s="20"/>
      <c r="UYJ15" s="20"/>
      <c r="UYK15" s="20"/>
      <c r="UYL15" s="20"/>
      <c r="UYM15" s="20"/>
      <c r="UYN15" s="20"/>
      <c r="UYO15" s="20"/>
      <c r="UYP15" s="20"/>
      <c r="UYQ15" s="20"/>
      <c r="UYR15" s="20"/>
      <c r="UYS15" s="20"/>
      <c r="UYT15" s="20"/>
      <c r="UYU15" s="20"/>
      <c r="UYV15" s="20"/>
      <c r="UYW15" s="20"/>
      <c r="UYX15" s="20"/>
      <c r="UYY15" s="20"/>
      <c r="UYZ15" s="20"/>
      <c r="UZA15" s="20"/>
      <c r="UZB15" s="20"/>
      <c r="UZC15" s="20"/>
      <c r="UZD15" s="20"/>
      <c r="UZE15" s="20"/>
      <c r="UZF15" s="20"/>
      <c r="UZG15" s="20"/>
      <c r="UZH15" s="20"/>
      <c r="UZI15" s="20"/>
      <c r="UZJ15" s="20"/>
      <c r="UZK15" s="20"/>
      <c r="UZL15" s="20"/>
      <c r="UZM15" s="20"/>
      <c r="UZN15" s="20"/>
      <c r="UZO15" s="20"/>
      <c r="UZP15" s="20"/>
      <c r="UZQ15" s="20"/>
      <c r="UZR15" s="20"/>
      <c r="UZS15" s="20"/>
      <c r="UZT15" s="20"/>
      <c r="UZU15" s="20"/>
      <c r="UZV15" s="20"/>
      <c r="UZW15" s="20"/>
      <c r="UZX15" s="20"/>
      <c r="UZY15" s="20"/>
      <c r="UZZ15" s="20"/>
      <c r="VAA15" s="20"/>
      <c r="VAB15" s="20"/>
      <c r="VAC15" s="20"/>
      <c r="VAD15" s="20"/>
      <c r="VAE15" s="20"/>
      <c r="VAF15" s="20"/>
      <c r="VAG15" s="20"/>
      <c r="VAH15" s="20"/>
      <c r="VAI15" s="20"/>
      <c r="VAJ15" s="20"/>
      <c r="VAK15" s="20"/>
      <c r="VAL15" s="20"/>
      <c r="VAM15" s="20"/>
      <c r="VAN15" s="20"/>
      <c r="VAO15" s="20"/>
      <c r="VAP15" s="20"/>
      <c r="VAQ15" s="20"/>
      <c r="VAR15" s="20"/>
      <c r="VAS15" s="20"/>
      <c r="VAT15" s="20"/>
      <c r="VAU15" s="20"/>
      <c r="VAV15" s="20"/>
      <c r="VAW15" s="20"/>
      <c r="VAX15" s="20"/>
      <c r="VAY15" s="20"/>
      <c r="VAZ15" s="20"/>
      <c r="VBA15" s="20"/>
      <c r="VBB15" s="20"/>
      <c r="VBC15" s="20"/>
      <c r="VBD15" s="20"/>
      <c r="VBE15" s="20"/>
      <c r="VBF15" s="20"/>
      <c r="VBG15" s="20"/>
      <c r="VBH15" s="20"/>
      <c r="VBI15" s="20"/>
      <c r="VBJ15" s="20"/>
      <c r="VBK15" s="20"/>
      <c r="VBL15" s="20"/>
      <c r="VBM15" s="20"/>
      <c r="VBN15" s="20"/>
      <c r="VBO15" s="20"/>
      <c r="VBP15" s="20"/>
      <c r="VBQ15" s="20"/>
      <c r="VBR15" s="20"/>
      <c r="VBS15" s="20"/>
      <c r="VBT15" s="20"/>
      <c r="VBU15" s="20"/>
      <c r="VBV15" s="20"/>
      <c r="VBW15" s="20"/>
      <c r="VBX15" s="20"/>
      <c r="VBY15" s="20"/>
      <c r="VBZ15" s="20"/>
      <c r="VCA15" s="20"/>
      <c r="VCB15" s="20"/>
      <c r="VCC15" s="20"/>
      <c r="VCD15" s="20"/>
      <c r="VCE15" s="20"/>
      <c r="VCF15" s="20"/>
      <c r="VCG15" s="20"/>
      <c r="VCH15" s="20"/>
      <c r="VCI15" s="20"/>
      <c r="VCJ15" s="20"/>
      <c r="VCK15" s="20"/>
      <c r="VCL15" s="20"/>
      <c r="VCM15" s="20"/>
      <c r="VCN15" s="20"/>
      <c r="VCO15" s="20"/>
      <c r="VCP15" s="20"/>
      <c r="VCQ15" s="20"/>
      <c r="VCR15" s="20"/>
      <c r="VCS15" s="20"/>
      <c r="VCT15" s="20"/>
      <c r="VCU15" s="20"/>
      <c r="VCV15" s="20"/>
      <c r="VCW15" s="20"/>
      <c r="VCX15" s="20"/>
      <c r="VCY15" s="20"/>
      <c r="VCZ15" s="20"/>
      <c r="VDA15" s="20"/>
      <c r="VDB15" s="20"/>
      <c r="VDC15" s="20"/>
      <c r="VDD15" s="20"/>
      <c r="VDE15" s="20"/>
      <c r="VDF15" s="20"/>
      <c r="VDG15" s="20"/>
      <c r="VDH15" s="20"/>
      <c r="VDI15" s="20"/>
      <c r="VDJ15" s="20"/>
      <c r="VDK15" s="20"/>
      <c r="VDL15" s="20"/>
      <c r="VDM15" s="20"/>
      <c r="VDN15" s="20"/>
      <c r="VDO15" s="20"/>
      <c r="VDP15" s="20"/>
      <c r="VDQ15" s="20"/>
      <c r="VDR15" s="20"/>
      <c r="VDS15" s="20"/>
      <c r="VDT15" s="20"/>
      <c r="VDU15" s="20"/>
      <c r="VDV15" s="20"/>
      <c r="VDW15" s="20"/>
      <c r="VDX15" s="20"/>
      <c r="VDY15" s="20"/>
      <c r="VDZ15" s="20"/>
      <c r="VEA15" s="20"/>
      <c r="VEB15" s="20"/>
      <c r="VEC15" s="20"/>
      <c r="VED15" s="20"/>
      <c r="VEE15" s="20"/>
      <c r="VEF15" s="20"/>
      <c r="VEG15" s="20"/>
      <c r="VEH15" s="20"/>
      <c r="VEI15" s="20"/>
      <c r="VEJ15" s="20"/>
      <c r="VEK15" s="20"/>
      <c r="VEL15" s="20"/>
      <c r="VEM15" s="20"/>
      <c r="VEN15" s="20"/>
      <c r="VEO15" s="20"/>
      <c r="VEP15" s="20"/>
      <c r="VEQ15" s="20"/>
      <c r="VER15" s="20"/>
      <c r="VES15" s="20"/>
      <c r="VET15" s="20"/>
      <c r="VEU15" s="20"/>
      <c r="VEV15" s="20"/>
      <c r="VEW15" s="20"/>
      <c r="VEX15" s="20"/>
      <c r="VEY15" s="20"/>
      <c r="VEZ15" s="20"/>
      <c r="VFA15" s="20"/>
      <c r="VFB15" s="20"/>
      <c r="VFC15" s="20"/>
      <c r="VFD15" s="20"/>
      <c r="VFE15" s="20"/>
      <c r="VFF15" s="20"/>
      <c r="VFG15" s="20"/>
      <c r="VFH15" s="20"/>
      <c r="VFI15" s="20"/>
      <c r="VFJ15" s="20"/>
      <c r="VFK15" s="20"/>
      <c r="VFL15" s="20"/>
      <c r="VFM15" s="20"/>
      <c r="VFN15" s="20"/>
      <c r="VFO15" s="20"/>
      <c r="VFP15" s="20"/>
      <c r="VFQ15" s="20"/>
      <c r="VFR15" s="20"/>
      <c r="VFS15" s="20"/>
      <c r="VFT15" s="20"/>
      <c r="VFU15" s="20"/>
      <c r="VFV15" s="20"/>
      <c r="VFW15" s="20"/>
      <c r="VFX15" s="20"/>
      <c r="VFY15" s="20"/>
      <c r="VFZ15" s="20"/>
      <c r="VGA15" s="20"/>
      <c r="VGB15" s="20"/>
      <c r="VGC15" s="20"/>
      <c r="VGD15" s="20"/>
      <c r="VGE15" s="20"/>
      <c r="VGF15" s="20"/>
      <c r="VGG15" s="20"/>
      <c r="VGH15" s="20"/>
      <c r="VGI15" s="20"/>
      <c r="VGJ15" s="20"/>
      <c r="VGK15" s="20"/>
      <c r="VGL15" s="20"/>
      <c r="VGM15" s="20"/>
      <c r="VGN15" s="20"/>
      <c r="VGO15" s="20"/>
      <c r="VGP15" s="20"/>
      <c r="VGQ15" s="20"/>
      <c r="VGR15" s="20"/>
      <c r="VGS15" s="20"/>
      <c r="VGT15" s="20"/>
      <c r="VGU15" s="20"/>
      <c r="VGV15" s="20"/>
      <c r="VGW15" s="20"/>
      <c r="VGX15" s="20"/>
      <c r="VGY15" s="20"/>
      <c r="VGZ15" s="20"/>
      <c r="VHA15" s="20"/>
      <c r="VHB15" s="20"/>
      <c r="VHC15" s="20"/>
      <c r="VHD15" s="20"/>
      <c r="VHE15" s="20"/>
      <c r="VHF15" s="20"/>
      <c r="VHG15" s="20"/>
      <c r="VHH15" s="20"/>
      <c r="VHI15" s="20"/>
      <c r="VHJ15" s="20"/>
      <c r="VHK15" s="20"/>
      <c r="VHL15" s="20"/>
      <c r="VHM15" s="20"/>
      <c r="VHN15" s="20"/>
      <c r="VHO15" s="20"/>
      <c r="VHP15" s="20"/>
      <c r="VHQ15" s="20"/>
      <c r="VHR15" s="20"/>
      <c r="VHS15" s="20"/>
      <c r="VHT15" s="20"/>
      <c r="VHU15" s="20"/>
      <c r="VHV15" s="20"/>
      <c r="VHW15" s="20"/>
      <c r="VHX15" s="20"/>
      <c r="VHY15" s="20"/>
      <c r="VHZ15" s="20"/>
      <c r="VIA15" s="20"/>
      <c r="VIB15" s="20"/>
      <c r="VIC15" s="20"/>
      <c r="VID15" s="20"/>
      <c r="VIE15" s="20"/>
      <c r="VIF15" s="20"/>
      <c r="VIG15" s="20"/>
      <c r="VIH15" s="20"/>
      <c r="VII15" s="20"/>
      <c r="VIJ15" s="20"/>
      <c r="VIK15" s="20"/>
      <c r="VIL15" s="20"/>
      <c r="VIM15" s="20"/>
      <c r="VIN15" s="20"/>
      <c r="VIO15" s="20"/>
      <c r="VIP15" s="20"/>
      <c r="VIQ15" s="20"/>
      <c r="VIR15" s="20"/>
      <c r="VIS15" s="20"/>
      <c r="VIT15" s="20"/>
      <c r="VIU15" s="20"/>
      <c r="VIV15" s="20"/>
      <c r="VIW15" s="20"/>
      <c r="VIX15" s="20"/>
      <c r="VIY15" s="20"/>
      <c r="VIZ15" s="20"/>
      <c r="VJA15" s="20"/>
      <c r="VJB15" s="20"/>
      <c r="VJC15" s="20"/>
      <c r="VJD15" s="20"/>
      <c r="VJE15" s="20"/>
      <c r="VJF15" s="20"/>
      <c r="VJG15" s="20"/>
      <c r="VJH15" s="20"/>
      <c r="VJI15" s="20"/>
      <c r="VJJ15" s="20"/>
      <c r="VJK15" s="20"/>
      <c r="VJL15" s="20"/>
      <c r="VJM15" s="20"/>
      <c r="VJN15" s="20"/>
      <c r="VJO15" s="20"/>
      <c r="VJP15" s="20"/>
      <c r="VJQ15" s="20"/>
      <c r="VJR15" s="20"/>
      <c r="VJS15" s="20"/>
      <c r="VJT15" s="20"/>
      <c r="VJU15" s="20"/>
      <c r="VJV15" s="20"/>
      <c r="VJW15" s="20"/>
      <c r="VJX15" s="20"/>
      <c r="VJY15" s="20"/>
      <c r="VJZ15" s="20"/>
      <c r="VKA15" s="20"/>
      <c r="VKB15" s="20"/>
      <c r="VKC15" s="20"/>
      <c r="VKD15" s="20"/>
      <c r="VKE15" s="20"/>
      <c r="VKF15" s="20"/>
      <c r="VKG15" s="20"/>
      <c r="VKH15" s="20"/>
      <c r="VKI15" s="20"/>
      <c r="VKJ15" s="20"/>
      <c r="VKK15" s="20"/>
      <c r="VKL15" s="20"/>
      <c r="VKM15" s="20"/>
      <c r="VKN15" s="20"/>
      <c r="VKO15" s="20"/>
      <c r="VKP15" s="20"/>
      <c r="VKQ15" s="20"/>
      <c r="VKR15" s="20"/>
      <c r="VKS15" s="20"/>
      <c r="VKT15" s="20"/>
      <c r="VKU15" s="20"/>
      <c r="VKV15" s="20"/>
      <c r="VKW15" s="20"/>
      <c r="VKX15" s="20"/>
      <c r="VKY15" s="20"/>
      <c r="VKZ15" s="20"/>
      <c r="VLA15" s="20"/>
      <c r="VLB15" s="20"/>
      <c r="VLC15" s="20"/>
      <c r="VLD15" s="20"/>
      <c r="VLE15" s="20"/>
      <c r="VLF15" s="20"/>
      <c r="VLG15" s="20"/>
      <c r="VLH15" s="20"/>
      <c r="VLI15" s="20"/>
      <c r="VLJ15" s="20"/>
      <c r="VLK15" s="20"/>
      <c r="VLL15" s="20"/>
      <c r="VLM15" s="20"/>
      <c r="VLN15" s="20"/>
      <c r="VLO15" s="20"/>
      <c r="VLP15" s="20"/>
      <c r="VLQ15" s="20"/>
      <c r="VLR15" s="20"/>
      <c r="VLS15" s="20"/>
      <c r="VLT15" s="20"/>
      <c r="VLU15" s="20"/>
      <c r="VLV15" s="20"/>
      <c r="VLW15" s="20"/>
      <c r="VLX15" s="20"/>
      <c r="VLY15" s="20"/>
      <c r="VLZ15" s="20"/>
      <c r="VMA15" s="20"/>
      <c r="VMB15" s="20"/>
      <c r="VMC15" s="20"/>
      <c r="VMD15" s="20"/>
      <c r="VME15" s="20"/>
      <c r="VMF15" s="20"/>
      <c r="VMG15" s="20"/>
      <c r="VMH15" s="20"/>
      <c r="VMI15" s="20"/>
      <c r="VMJ15" s="20"/>
      <c r="VMK15" s="20"/>
      <c r="VML15" s="20"/>
      <c r="VMM15" s="20"/>
      <c r="VMN15" s="20"/>
      <c r="VMO15" s="20"/>
      <c r="VMP15" s="20"/>
      <c r="VMQ15" s="20"/>
      <c r="VMR15" s="20"/>
      <c r="VMS15" s="20"/>
      <c r="VMT15" s="20"/>
      <c r="VMU15" s="20"/>
      <c r="VMV15" s="20"/>
      <c r="VMW15" s="20"/>
      <c r="VMX15" s="20"/>
      <c r="VMY15" s="20"/>
      <c r="VMZ15" s="20"/>
      <c r="VNA15" s="20"/>
      <c r="VNB15" s="20"/>
      <c r="VNC15" s="20"/>
      <c r="VND15" s="20"/>
      <c r="VNE15" s="20"/>
      <c r="VNF15" s="20"/>
      <c r="VNG15" s="20"/>
      <c r="VNH15" s="20"/>
      <c r="VNI15" s="20"/>
      <c r="VNJ15" s="20"/>
      <c r="VNK15" s="20"/>
      <c r="VNL15" s="20"/>
      <c r="VNM15" s="20"/>
      <c r="VNN15" s="20"/>
      <c r="VNO15" s="20"/>
      <c r="VNP15" s="20"/>
      <c r="VNQ15" s="20"/>
      <c r="VNR15" s="20"/>
      <c r="VNS15" s="20"/>
      <c r="VNT15" s="20"/>
      <c r="VNU15" s="20"/>
      <c r="VNV15" s="20"/>
      <c r="VNW15" s="20"/>
      <c r="VNX15" s="20"/>
      <c r="VNY15" s="20"/>
      <c r="VNZ15" s="20"/>
      <c r="VOA15" s="20"/>
      <c r="VOB15" s="20"/>
      <c r="VOC15" s="20"/>
      <c r="VOD15" s="20"/>
      <c r="VOE15" s="20"/>
      <c r="VOF15" s="20"/>
      <c r="VOG15" s="20"/>
      <c r="VOH15" s="20"/>
      <c r="VOI15" s="20"/>
      <c r="VOJ15" s="20"/>
      <c r="VOK15" s="20"/>
      <c r="VOL15" s="20"/>
      <c r="VOM15" s="20"/>
      <c r="VON15" s="20"/>
      <c r="VOO15" s="20"/>
      <c r="VOP15" s="20"/>
      <c r="VOQ15" s="20"/>
      <c r="VOR15" s="20"/>
      <c r="VOS15" s="20"/>
      <c r="VOT15" s="20"/>
      <c r="VOU15" s="20"/>
      <c r="VOV15" s="20"/>
      <c r="VOW15" s="20"/>
      <c r="VOX15" s="20"/>
      <c r="VOY15" s="20"/>
      <c r="VOZ15" s="20"/>
      <c r="VPA15" s="20"/>
      <c r="VPB15" s="20"/>
      <c r="VPC15" s="20"/>
      <c r="VPD15" s="20"/>
      <c r="VPE15" s="20"/>
      <c r="VPF15" s="20"/>
      <c r="VPG15" s="20"/>
      <c r="VPH15" s="20"/>
      <c r="VPI15" s="20"/>
      <c r="VPJ15" s="20"/>
      <c r="VPK15" s="20"/>
      <c r="VPL15" s="20"/>
      <c r="VPM15" s="20"/>
      <c r="VPN15" s="20"/>
      <c r="VPO15" s="20"/>
      <c r="VPP15" s="20"/>
      <c r="VPQ15" s="20"/>
      <c r="VPR15" s="20"/>
      <c r="VPS15" s="20"/>
      <c r="VPT15" s="20"/>
      <c r="VPU15" s="20"/>
      <c r="VPV15" s="20"/>
      <c r="VPW15" s="20"/>
      <c r="VPX15" s="20"/>
      <c r="VPY15" s="20"/>
      <c r="VPZ15" s="20"/>
      <c r="VQA15" s="20"/>
      <c r="VQB15" s="20"/>
      <c r="VQC15" s="20"/>
      <c r="VQD15" s="20"/>
      <c r="VQE15" s="20"/>
      <c r="VQF15" s="20"/>
      <c r="VQG15" s="20"/>
      <c r="VQH15" s="20"/>
      <c r="VQI15" s="20"/>
      <c r="VQJ15" s="20"/>
      <c r="VQK15" s="20"/>
      <c r="VQL15" s="20"/>
      <c r="VQM15" s="20"/>
      <c r="VQN15" s="20"/>
      <c r="VQO15" s="20"/>
      <c r="VQP15" s="20"/>
      <c r="VQQ15" s="20"/>
      <c r="VQR15" s="20"/>
      <c r="VQS15" s="20"/>
      <c r="VQT15" s="20"/>
      <c r="VQU15" s="20"/>
      <c r="VQV15" s="20"/>
      <c r="VQW15" s="20"/>
      <c r="VQX15" s="20"/>
      <c r="VQY15" s="20"/>
      <c r="VQZ15" s="20"/>
      <c r="VRA15" s="20"/>
      <c r="VRB15" s="20"/>
      <c r="VRC15" s="20"/>
      <c r="VRD15" s="20"/>
      <c r="VRE15" s="20"/>
      <c r="VRF15" s="20"/>
      <c r="VRG15" s="20"/>
      <c r="VRH15" s="20"/>
      <c r="VRI15" s="20"/>
      <c r="VRJ15" s="20"/>
      <c r="VRK15" s="20"/>
      <c r="VRL15" s="20"/>
      <c r="VRM15" s="20"/>
      <c r="VRN15" s="20"/>
      <c r="VRO15" s="20"/>
      <c r="VRP15" s="20"/>
      <c r="VRQ15" s="20"/>
      <c r="VRR15" s="20"/>
      <c r="VRS15" s="20"/>
      <c r="VRT15" s="20"/>
      <c r="VRU15" s="20"/>
      <c r="VRV15" s="20"/>
      <c r="VRW15" s="20"/>
      <c r="VRX15" s="20"/>
      <c r="VRY15" s="20"/>
      <c r="VRZ15" s="20"/>
      <c r="VSA15" s="20"/>
      <c r="VSB15" s="20"/>
      <c r="VSC15" s="20"/>
      <c r="VSD15" s="20"/>
      <c r="VSE15" s="20"/>
      <c r="VSF15" s="20"/>
      <c r="VSG15" s="20"/>
      <c r="VSH15" s="20"/>
      <c r="VSI15" s="20"/>
      <c r="VSJ15" s="20"/>
      <c r="VSK15" s="20"/>
      <c r="VSL15" s="20"/>
      <c r="VSM15" s="20"/>
      <c r="VSN15" s="20"/>
      <c r="VSO15" s="20"/>
      <c r="VSP15" s="20"/>
      <c r="VSQ15" s="20"/>
      <c r="VSR15" s="20"/>
      <c r="VSS15" s="20"/>
      <c r="VST15" s="20"/>
      <c r="VSU15" s="20"/>
      <c r="VSV15" s="20"/>
      <c r="VSW15" s="20"/>
      <c r="VSX15" s="20"/>
      <c r="VSY15" s="20"/>
      <c r="VSZ15" s="20"/>
      <c r="VTA15" s="20"/>
      <c r="VTB15" s="20"/>
      <c r="VTC15" s="20"/>
      <c r="VTD15" s="20"/>
      <c r="VTE15" s="20"/>
      <c r="VTF15" s="20"/>
      <c r="VTG15" s="20"/>
      <c r="VTH15" s="20"/>
      <c r="VTI15" s="20"/>
      <c r="VTJ15" s="20"/>
      <c r="VTK15" s="20"/>
      <c r="VTL15" s="20"/>
      <c r="VTM15" s="20"/>
      <c r="VTN15" s="20"/>
      <c r="VTO15" s="20"/>
      <c r="VTP15" s="20"/>
      <c r="VTQ15" s="20"/>
      <c r="VTR15" s="20"/>
      <c r="VTS15" s="20"/>
      <c r="VTT15" s="20"/>
      <c r="VTU15" s="20"/>
      <c r="VTV15" s="20"/>
      <c r="VTW15" s="20"/>
      <c r="VTX15" s="20"/>
      <c r="VTY15" s="20"/>
      <c r="VTZ15" s="20"/>
      <c r="VUA15" s="20"/>
      <c r="VUB15" s="20"/>
      <c r="VUC15" s="20"/>
      <c r="VUD15" s="20"/>
      <c r="VUE15" s="20"/>
      <c r="VUF15" s="20"/>
      <c r="VUG15" s="20"/>
      <c r="VUH15" s="20"/>
      <c r="VUI15" s="20"/>
      <c r="VUJ15" s="20"/>
      <c r="VUK15" s="20"/>
      <c r="VUL15" s="20"/>
      <c r="VUM15" s="20"/>
      <c r="VUN15" s="20"/>
      <c r="VUO15" s="20"/>
      <c r="VUP15" s="20"/>
      <c r="VUQ15" s="20"/>
      <c r="VUR15" s="20"/>
      <c r="VUS15" s="20"/>
      <c r="VUT15" s="20"/>
      <c r="VUU15" s="20"/>
      <c r="VUV15" s="20"/>
      <c r="VUW15" s="20"/>
      <c r="VUX15" s="20"/>
      <c r="VUY15" s="20"/>
      <c r="VUZ15" s="20"/>
      <c r="VVA15" s="20"/>
      <c r="VVB15" s="20"/>
      <c r="VVC15" s="20"/>
      <c r="VVD15" s="20"/>
      <c r="VVE15" s="20"/>
      <c r="VVF15" s="20"/>
      <c r="VVG15" s="20"/>
      <c r="VVH15" s="20"/>
      <c r="VVI15" s="20"/>
      <c r="VVJ15" s="20"/>
      <c r="VVK15" s="20"/>
      <c r="VVL15" s="20"/>
      <c r="VVM15" s="20"/>
      <c r="VVN15" s="20"/>
      <c r="VVO15" s="20"/>
      <c r="VVP15" s="20"/>
      <c r="VVQ15" s="20"/>
      <c r="VVR15" s="20"/>
      <c r="VVS15" s="20"/>
      <c r="VVT15" s="20"/>
      <c r="VVU15" s="20"/>
      <c r="VVV15" s="20"/>
      <c r="VVW15" s="20"/>
      <c r="VVX15" s="20"/>
      <c r="VVY15" s="20"/>
      <c r="VVZ15" s="20"/>
      <c r="VWA15" s="20"/>
      <c r="VWB15" s="20"/>
      <c r="VWC15" s="20"/>
      <c r="VWD15" s="20"/>
      <c r="VWE15" s="20"/>
      <c r="VWF15" s="20"/>
      <c r="VWG15" s="20"/>
      <c r="VWH15" s="20"/>
      <c r="VWI15" s="20"/>
      <c r="VWJ15" s="20"/>
      <c r="VWK15" s="20"/>
      <c r="VWL15" s="20"/>
      <c r="VWM15" s="20"/>
      <c r="VWN15" s="20"/>
      <c r="VWO15" s="20"/>
      <c r="VWP15" s="20"/>
      <c r="VWQ15" s="20"/>
      <c r="VWR15" s="20"/>
      <c r="VWS15" s="20"/>
      <c r="VWT15" s="20"/>
      <c r="VWU15" s="20"/>
      <c r="VWV15" s="20"/>
      <c r="VWW15" s="20"/>
      <c r="VWX15" s="20"/>
      <c r="VWY15" s="20"/>
      <c r="VWZ15" s="20"/>
      <c r="VXA15" s="20"/>
      <c r="VXB15" s="20"/>
      <c r="VXC15" s="20"/>
      <c r="VXD15" s="20"/>
      <c r="VXE15" s="20"/>
      <c r="VXF15" s="20"/>
      <c r="VXG15" s="20"/>
      <c r="VXH15" s="20"/>
      <c r="VXI15" s="20"/>
      <c r="VXJ15" s="20"/>
      <c r="VXK15" s="20"/>
      <c r="VXL15" s="20"/>
      <c r="VXM15" s="20"/>
      <c r="VXN15" s="20"/>
      <c r="VXO15" s="20"/>
      <c r="VXP15" s="20"/>
      <c r="VXQ15" s="20"/>
      <c r="VXR15" s="20"/>
      <c r="VXS15" s="20"/>
      <c r="VXT15" s="20"/>
      <c r="VXU15" s="20"/>
      <c r="VXV15" s="20"/>
      <c r="VXW15" s="20"/>
      <c r="VXX15" s="20"/>
      <c r="VXY15" s="20"/>
      <c r="VXZ15" s="20"/>
      <c r="VYA15" s="20"/>
      <c r="VYB15" s="20"/>
      <c r="VYC15" s="20"/>
      <c r="VYD15" s="20"/>
      <c r="VYE15" s="20"/>
      <c r="VYF15" s="20"/>
      <c r="VYG15" s="20"/>
      <c r="VYH15" s="20"/>
      <c r="VYI15" s="20"/>
      <c r="VYJ15" s="20"/>
      <c r="VYK15" s="20"/>
      <c r="VYL15" s="20"/>
      <c r="VYM15" s="20"/>
      <c r="VYN15" s="20"/>
      <c r="VYO15" s="20"/>
      <c r="VYP15" s="20"/>
      <c r="VYQ15" s="20"/>
      <c r="VYR15" s="20"/>
      <c r="VYS15" s="20"/>
      <c r="VYT15" s="20"/>
      <c r="VYU15" s="20"/>
      <c r="VYV15" s="20"/>
      <c r="VYW15" s="20"/>
      <c r="VYX15" s="20"/>
      <c r="VYY15" s="20"/>
      <c r="VYZ15" s="20"/>
      <c r="VZA15" s="20"/>
      <c r="VZB15" s="20"/>
      <c r="VZC15" s="20"/>
      <c r="VZD15" s="20"/>
      <c r="VZE15" s="20"/>
      <c r="VZF15" s="20"/>
      <c r="VZG15" s="20"/>
      <c r="VZH15" s="20"/>
      <c r="VZI15" s="20"/>
      <c r="VZJ15" s="20"/>
      <c r="VZK15" s="20"/>
      <c r="VZL15" s="20"/>
      <c r="VZM15" s="20"/>
      <c r="VZN15" s="20"/>
      <c r="VZO15" s="20"/>
      <c r="VZP15" s="20"/>
      <c r="VZQ15" s="20"/>
      <c r="VZR15" s="20"/>
      <c r="VZS15" s="20"/>
      <c r="VZT15" s="20"/>
      <c r="VZU15" s="20"/>
      <c r="VZV15" s="20"/>
      <c r="VZW15" s="20"/>
      <c r="VZX15" s="20"/>
      <c r="VZY15" s="20"/>
      <c r="VZZ15" s="20"/>
      <c r="WAA15" s="20"/>
      <c r="WAB15" s="20"/>
      <c r="WAC15" s="20"/>
      <c r="WAD15" s="20"/>
      <c r="WAE15" s="20"/>
      <c r="WAF15" s="20"/>
      <c r="WAG15" s="20"/>
      <c r="WAH15" s="20"/>
      <c r="WAI15" s="20"/>
      <c r="WAJ15" s="20"/>
      <c r="WAK15" s="20"/>
      <c r="WAL15" s="20"/>
      <c r="WAM15" s="20"/>
      <c r="WAN15" s="20"/>
      <c r="WAO15" s="20"/>
      <c r="WAP15" s="20"/>
      <c r="WAQ15" s="20"/>
      <c r="WAR15" s="20"/>
      <c r="WAS15" s="20"/>
      <c r="WAT15" s="20"/>
      <c r="WAU15" s="20"/>
      <c r="WAV15" s="20"/>
      <c r="WAW15" s="20"/>
      <c r="WAX15" s="20"/>
      <c r="WAY15" s="20"/>
      <c r="WAZ15" s="20"/>
      <c r="WBA15" s="20"/>
      <c r="WBB15" s="20"/>
      <c r="WBC15" s="20"/>
      <c r="WBD15" s="20"/>
      <c r="WBE15" s="20"/>
      <c r="WBF15" s="20"/>
      <c r="WBG15" s="20"/>
      <c r="WBH15" s="20"/>
      <c r="WBI15" s="20"/>
      <c r="WBJ15" s="20"/>
      <c r="WBK15" s="20"/>
      <c r="WBL15" s="20"/>
      <c r="WBM15" s="20"/>
      <c r="WBN15" s="20"/>
      <c r="WBO15" s="20"/>
      <c r="WBP15" s="20"/>
      <c r="WBQ15" s="20"/>
      <c r="WBR15" s="20"/>
      <c r="WBS15" s="20"/>
      <c r="WBT15" s="20"/>
      <c r="WBU15" s="20"/>
      <c r="WBV15" s="20"/>
      <c r="WBW15" s="20"/>
      <c r="WBX15" s="20"/>
      <c r="WBY15" s="20"/>
      <c r="WBZ15" s="20"/>
      <c r="WCA15" s="20"/>
      <c r="WCB15" s="20"/>
      <c r="WCC15" s="20"/>
      <c r="WCD15" s="20"/>
      <c r="WCE15" s="20"/>
      <c r="WCF15" s="20"/>
      <c r="WCG15" s="20"/>
      <c r="WCH15" s="20"/>
      <c r="WCI15" s="20"/>
      <c r="WCJ15" s="20"/>
      <c r="WCK15" s="20"/>
      <c r="WCL15" s="20"/>
      <c r="WCM15" s="20"/>
      <c r="WCN15" s="20"/>
      <c r="WCO15" s="20"/>
      <c r="WCP15" s="20"/>
      <c r="WCQ15" s="20"/>
      <c r="WCR15" s="20"/>
      <c r="WCS15" s="20"/>
      <c r="WCT15" s="20"/>
      <c r="WCU15" s="20"/>
      <c r="WCV15" s="20"/>
      <c r="WCW15" s="20"/>
      <c r="WCX15" s="20"/>
      <c r="WCY15" s="20"/>
      <c r="WCZ15" s="20"/>
      <c r="WDA15" s="20"/>
      <c r="WDB15" s="20"/>
      <c r="WDC15" s="20"/>
      <c r="WDD15" s="20"/>
      <c r="WDE15" s="20"/>
      <c r="WDF15" s="20"/>
      <c r="WDG15" s="20"/>
      <c r="WDH15" s="20"/>
      <c r="WDI15" s="20"/>
      <c r="WDJ15" s="20"/>
      <c r="WDK15" s="20"/>
      <c r="WDL15" s="20"/>
      <c r="WDM15" s="20"/>
      <c r="WDN15" s="20"/>
      <c r="WDO15" s="20"/>
      <c r="WDP15" s="20"/>
      <c r="WDQ15" s="20"/>
      <c r="WDR15" s="20"/>
      <c r="WDS15" s="20"/>
      <c r="WDT15" s="20"/>
      <c r="WDU15" s="20"/>
      <c r="WDV15" s="20"/>
      <c r="WDW15" s="20"/>
      <c r="WDX15" s="20"/>
      <c r="WDY15" s="20"/>
      <c r="WDZ15" s="20"/>
      <c r="WEA15" s="20"/>
      <c r="WEB15" s="20"/>
      <c r="WEC15" s="20"/>
      <c r="WED15" s="20"/>
      <c r="WEE15" s="20"/>
      <c r="WEF15" s="20"/>
      <c r="WEG15" s="20"/>
      <c r="WEH15" s="20"/>
      <c r="WEI15" s="20"/>
      <c r="WEJ15" s="20"/>
      <c r="WEK15" s="20"/>
      <c r="WEL15" s="20"/>
      <c r="WEM15" s="20"/>
      <c r="WEN15" s="20"/>
      <c r="WEO15" s="20"/>
      <c r="WEP15" s="20"/>
      <c r="WEQ15" s="20"/>
      <c r="WER15" s="20"/>
      <c r="WES15" s="20"/>
      <c r="WET15" s="20"/>
      <c r="WEU15" s="20"/>
      <c r="WEV15" s="20"/>
      <c r="WEW15" s="20"/>
      <c r="WEX15" s="20"/>
      <c r="WEY15" s="20"/>
      <c r="WEZ15" s="20"/>
      <c r="WFA15" s="20"/>
      <c r="WFB15" s="20"/>
      <c r="WFC15" s="20"/>
      <c r="WFD15" s="20"/>
      <c r="WFE15" s="20"/>
      <c r="WFF15" s="20"/>
      <c r="WFG15" s="20"/>
      <c r="WFH15" s="20"/>
      <c r="WFI15" s="20"/>
      <c r="WFJ15" s="20"/>
      <c r="WFK15" s="20"/>
      <c r="WFL15" s="20"/>
      <c r="WFM15" s="20"/>
      <c r="WFN15" s="20"/>
      <c r="WFO15" s="20"/>
      <c r="WFP15" s="20"/>
      <c r="WFQ15" s="20"/>
      <c r="WFR15" s="20"/>
      <c r="WFS15" s="20"/>
      <c r="WFT15" s="20"/>
      <c r="WFU15" s="20"/>
      <c r="WFV15" s="20"/>
      <c r="WFW15" s="20"/>
      <c r="WFX15" s="20"/>
      <c r="WFY15" s="20"/>
      <c r="WFZ15" s="20"/>
      <c r="WGA15" s="20"/>
      <c r="WGB15" s="20"/>
      <c r="WGC15" s="20"/>
      <c r="WGD15" s="20"/>
      <c r="WGE15" s="20"/>
      <c r="WGF15" s="20"/>
      <c r="WGG15" s="20"/>
      <c r="WGH15" s="20"/>
      <c r="WGI15" s="20"/>
      <c r="WGJ15" s="20"/>
      <c r="WGK15" s="20"/>
      <c r="WGL15" s="20"/>
      <c r="WGM15" s="20"/>
      <c r="WGN15" s="20"/>
      <c r="WGO15" s="20"/>
      <c r="WGP15" s="20"/>
      <c r="WGQ15" s="20"/>
      <c r="WGR15" s="20"/>
      <c r="WGS15" s="20"/>
      <c r="WGT15" s="20"/>
      <c r="WGU15" s="20"/>
      <c r="WGV15" s="20"/>
      <c r="WGW15" s="20"/>
      <c r="WGX15" s="20"/>
      <c r="WGY15" s="20"/>
      <c r="WGZ15" s="20"/>
      <c r="WHA15" s="20"/>
      <c r="WHB15" s="20"/>
      <c r="WHC15" s="20"/>
      <c r="WHD15" s="20"/>
      <c r="WHE15" s="20"/>
      <c r="WHF15" s="20"/>
      <c r="WHG15" s="20"/>
      <c r="WHH15" s="20"/>
      <c r="WHI15" s="20"/>
      <c r="WHJ15" s="20"/>
      <c r="WHK15" s="20"/>
      <c r="WHL15" s="20"/>
      <c r="WHM15" s="20"/>
      <c r="WHN15" s="20"/>
      <c r="WHO15" s="20"/>
      <c r="WHP15" s="20"/>
      <c r="WHQ15" s="20"/>
      <c r="WHR15" s="20"/>
      <c r="WHS15" s="20"/>
      <c r="WHT15" s="20"/>
      <c r="WHU15" s="20"/>
      <c r="WHV15" s="20"/>
      <c r="WHW15" s="20"/>
      <c r="WHX15" s="20"/>
      <c r="WHY15" s="20"/>
      <c r="WHZ15" s="20"/>
      <c r="WIA15" s="20"/>
      <c r="WIB15" s="20"/>
      <c r="WIC15" s="20"/>
      <c r="WID15" s="20"/>
      <c r="WIE15" s="20"/>
      <c r="WIF15" s="20"/>
      <c r="WIG15" s="20"/>
      <c r="WIH15" s="20"/>
      <c r="WII15" s="20"/>
      <c r="WIJ15" s="20"/>
      <c r="WIK15" s="20"/>
      <c r="WIL15" s="20"/>
      <c r="WIM15" s="20"/>
      <c r="WIN15" s="20"/>
      <c r="WIO15" s="20"/>
      <c r="WIP15" s="20"/>
      <c r="WIQ15" s="20"/>
      <c r="WIR15" s="20"/>
      <c r="WIS15" s="20"/>
      <c r="WIT15" s="20"/>
      <c r="WIU15" s="20"/>
      <c r="WIV15" s="20"/>
      <c r="WIW15" s="20"/>
      <c r="WIX15" s="20"/>
      <c r="WIY15" s="20"/>
      <c r="WIZ15" s="20"/>
      <c r="WJA15" s="20"/>
      <c r="WJB15" s="20"/>
      <c r="WJC15" s="20"/>
      <c r="WJD15" s="20"/>
      <c r="WJE15" s="20"/>
      <c r="WJF15" s="20"/>
      <c r="WJG15" s="20"/>
      <c r="WJH15" s="20"/>
      <c r="WJI15" s="20"/>
      <c r="WJJ15" s="20"/>
      <c r="WJK15" s="20"/>
      <c r="WJL15" s="20"/>
      <c r="WJM15" s="20"/>
      <c r="WJN15" s="20"/>
      <c r="WJO15" s="20"/>
      <c r="WJP15" s="20"/>
      <c r="WJQ15" s="20"/>
      <c r="WJR15" s="20"/>
      <c r="WJS15" s="20"/>
      <c r="WJT15" s="20"/>
      <c r="WJU15" s="20"/>
      <c r="WJV15" s="20"/>
      <c r="WJW15" s="20"/>
      <c r="WJX15" s="20"/>
      <c r="WJY15" s="20"/>
      <c r="WJZ15" s="20"/>
      <c r="WKA15" s="20"/>
      <c r="WKB15" s="20"/>
      <c r="WKC15" s="20"/>
      <c r="WKD15" s="20"/>
      <c r="WKE15" s="20"/>
      <c r="WKF15" s="20"/>
      <c r="WKG15" s="20"/>
      <c r="WKH15" s="20"/>
      <c r="WKI15" s="20"/>
      <c r="WKJ15" s="20"/>
      <c r="WKK15" s="20"/>
      <c r="WKL15" s="20"/>
      <c r="WKM15" s="20"/>
      <c r="WKN15" s="20"/>
      <c r="WKO15" s="20"/>
      <c r="WKP15" s="20"/>
      <c r="WKQ15" s="20"/>
      <c r="WKR15" s="20"/>
      <c r="WKS15" s="20"/>
      <c r="WKT15" s="20"/>
      <c r="WKU15" s="20"/>
      <c r="WKV15" s="20"/>
      <c r="WKW15" s="20"/>
      <c r="WKX15" s="20"/>
      <c r="WKY15" s="20"/>
      <c r="WKZ15" s="20"/>
      <c r="WLA15" s="20"/>
      <c r="WLB15" s="20"/>
      <c r="WLC15" s="20"/>
      <c r="WLD15" s="20"/>
      <c r="WLE15" s="20"/>
      <c r="WLF15" s="20"/>
      <c r="WLG15" s="20"/>
      <c r="WLH15" s="20"/>
      <c r="WLI15" s="20"/>
      <c r="WLJ15" s="20"/>
      <c r="WLK15" s="20"/>
      <c r="WLL15" s="20"/>
      <c r="WLM15" s="20"/>
      <c r="WLN15" s="20"/>
      <c r="WLO15" s="20"/>
      <c r="WLP15" s="20"/>
      <c r="WLQ15" s="20"/>
      <c r="WLR15" s="20"/>
      <c r="WLS15" s="20"/>
      <c r="WLT15" s="20"/>
      <c r="WLU15" s="20"/>
      <c r="WLV15" s="20"/>
      <c r="WLW15" s="20"/>
      <c r="WLX15" s="20"/>
      <c r="WLY15" s="20"/>
      <c r="WLZ15" s="20"/>
      <c r="WMA15" s="20"/>
      <c r="WMB15" s="20"/>
      <c r="WMC15" s="20"/>
      <c r="WMD15" s="20"/>
      <c r="WME15" s="20"/>
      <c r="WMF15" s="20"/>
      <c r="WMG15" s="20"/>
      <c r="WMH15" s="20"/>
      <c r="WMI15" s="20"/>
      <c r="WMJ15" s="20"/>
      <c r="WMK15" s="20"/>
      <c r="WML15" s="20"/>
      <c r="WMM15" s="20"/>
      <c r="WMN15" s="20"/>
      <c r="WMO15" s="20"/>
      <c r="WMP15" s="20"/>
      <c r="WMQ15" s="20"/>
      <c r="WMR15" s="20"/>
      <c r="WMS15" s="20"/>
      <c r="WMT15" s="20"/>
      <c r="WMU15" s="20"/>
      <c r="WMV15" s="20"/>
      <c r="WMW15" s="20"/>
      <c r="WMX15" s="20"/>
      <c r="WMY15" s="20"/>
      <c r="WMZ15" s="20"/>
      <c r="WNA15" s="20"/>
      <c r="WNB15" s="20"/>
      <c r="WNC15" s="20"/>
      <c r="WND15" s="20"/>
      <c r="WNE15" s="20"/>
      <c r="WNF15" s="20"/>
      <c r="WNG15" s="20"/>
      <c r="WNH15" s="20"/>
      <c r="WNI15" s="20"/>
      <c r="WNJ15" s="20"/>
      <c r="WNK15" s="20"/>
      <c r="WNL15" s="20"/>
      <c r="WNM15" s="20"/>
      <c r="WNN15" s="20"/>
      <c r="WNO15" s="20"/>
      <c r="WNP15" s="20"/>
      <c r="WNQ15" s="20"/>
      <c r="WNR15" s="20"/>
      <c r="WNS15" s="20"/>
      <c r="WNT15" s="20"/>
      <c r="WNU15" s="20"/>
      <c r="WNV15" s="20"/>
      <c r="WNW15" s="20"/>
      <c r="WNX15" s="20"/>
      <c r="WNY15" s="20"/>
      <c r="WNZ15" s="20"/>
      <c r="WOA15" s="20"/>
      <c r="WOB15" s="20"/>
      <c r="WOC15" s="20"/>
      <c r="WOD15" s="20"/>
      <c r="WOE15" s="20"/>
      <c r="WOF15" s="20"/>
      <c r="WOG15" s="20"/>
      <c r="WOH15" s="20"/>
      <c r="WOI15" s="20"/>
      <c r="WOJ15" s="20"/>
      <c r="WOK15" s="20"/>
      <c r="WOL15" s="20"/>
      <c r="WOM15" s="20"/>
      <c r="WON15" s="20"/>
      <c r="WOO15" s="20"/>
      <c r="WOP15" s="20"/>
      <c r="WOQ15" s="20"/>
      <c r="WOR15" s="20"/>
      <c r="WOS15" s="20"/>
      <c r="WOT15" s="20"/>
      <c r="WOU15" s="20"/>
      <c r="WOV15" s="20"/>
      <c r="WOW15" s="20"/>
      <c r="WOX15" s="20"/>
      <c r="WOY15" s="20"/>
      <c r="WOZ15" s="20"/>
      <c r="WPA15" s="20"/>
      <c r="WPB15" s="20"/>
      <c r="WPC15" s="20"/>
      <c r="WPD15" s="20"/>
      <c r="WPE15" s="20"/>
      <c r="WPF15" s="20"/>
      <c r="WPG15" s="20"/>
      <c r="WPH15" s="20"/>
      <c r="WPI15" s="20"/>
      <c r="WPJ15" s="20"/>
      <c r="WPK15" s="20"/>
      <c r="WPL15" s="20"/>
      <c r="WPM15" s="20"/>
      <c r="WPN15" s="20"/>
      <c r="WPO15" s="20"/>
      <c r="WPP15" s="20"/>
      <c r="WPQ15" s="20"/>
      <c r="WPR15" s="20"/>
      <c r="WPS15" s="20"/>
      <c r="WPT15" s="20"/>
      <c r="WPU15" s="20"/>
      <c r="WPV15" s="20"/>
      <c r="WPW15" s="20"/>
      <c r="WPX15" s="20"/>
      <c r="WPY15" s="20"/>
      <c r="WPZ15" s="20"/>
      <c r="WQA15" s="20"/>
      <c r="WQB15" s="20"/>
      <c r="WQC15" s="20"/>
      <c r="WQD15" s="20"/>
      <c r="WQE15" s="20"/>
      <c r="WQF15" s="20"/>
      <c r="WQG15" s="20"/>
      <c r="WQH15" s="20"/>
      <c r="WQI15" s="20"/>
      <c r="WQJ15" s="20"/>
      <c r="WQK15" s="20"/>
      <c r="WQL15" s="20"/>
      <c r="WQM15" s="20"/>
      <c r="WQN15" s="20"/>
      <c r="WQO15" s="20"/>
      <c r="WQP15" s="20"/>
      <c r="WQQ15" s="20"/>
      <c r="WQR15" s="20"/>
      <c r="WQS15" s="20"/>
      <c r="WQT15" s="20"/>
      <c r="WQU15" s="20"/>
      <c r="WQV15" s="20"/>
      <c r="WQW15" s="20"/>
      <c r="WQX15" s="20"/>
      <c r="WQY15" s="20"/>
      <c r="WQZ15" s="20"/>
      <c r="WRA15" s="20"/>
      <c r="WRB15" s="20"/>
      <c r="WRC15" s="20"/>
      <c r="WRD15" s="20"/>
      <c r="WRE15" s="20"/>
      <c r="WRF15" s="20"/>
      <c r="WRG15" s="20"/>
      <c r="WRH15" s="20"/>
      <c r="WRI15" s="20"/>
      <c r="WRJ15" s="20"/>
      <c r="WRK15" s="20"/>
      <c r="WRL15" s="20"/>
      <c r="WRM15" s="20"/>
      <c r="WRN15" s="20"/>
      <c r="WRO15" s="20"/>
      <c r="WRP15" s="20"/>
      <c r="WRQ15" s="20"/>
      <c r="WRR15" s="20"/>
      <c r="WRS15" s="20"/>
      <c r="WRT15" s="20"/>
      <c r="WRU15" s="20"/>
      <c r="WRV15" s="20"/>
      <c r="WRW15" s="20"/>
      <c r="WRX15" s="20"/>
      <c r="WRY15" s="20"/>
      <c r="WRZ15" s="20"/>
      <c r="WSA15" s="20"/>
      <c r="WSB15" s="20"/>
      <c r="WSC15" s="20"/>
      <c r="WSD15" s="20"/>
      <c r="WSE15" s="20"/>
      <c r="WSF15" s="20"/>
      <c r="WSG15" s="20"/>
      <c r="WSH15" s="20"/>
      <c r="WSI15" s="20"/>
      <c r="WSJ15" s="20"/>
      <c r="WSK15" s="20"/>
      <c r="WSL15" s="20"/>
      <c r="WSM15" s="20"/>
      <c r="WSN15" s="20"/>
      <c r="WSO15" s="20"/>
      <c r="WSP15" s="20"/>
      <c r="WSQ15" s="20"/>
      <c r="WSR15" s="20"/>
      <c r="WSS15" s="20"/>
      <c r="WST15" s="20"/>
      <c r="WSU15" s="20"/>
      <c r="WSV15" s="20"/>
      <c r="WSW15" s="20"/>
      <c r="WSX15" s="20"/>
      <c r="WSY15" s="20"/>
      <c r="WSZ15" s="20"/>
      <c r="WTA15" s="20"/>
      <c r="WTB15" s="20"/>
      <c r="WTC15" s="20"/>
      <c r="WTD15" s="20"/>
      <c r="WTE15" s="20"/>
      <c r="WTF15" s="20"/>
      <c r="WTG15" s="20"/>
      <c r="WTH15" s="20"/>
      <c r="WTI15" s="20"/>
      <c r="WTJ15" s="20"/>
      <c r="WTK15" s="20"/>
      <c r="WTL15" s="20"/>
      <c r="WTM15" s="20"/>
      <c r="WTN15" s="20"/>
      <c r="WTO15" s="20"/>
      <c r="WTP15" s="20"/>
      <c r="WTQ15" s="20"/>
      <c r="WTR15" s="20"/>
      <c r="WTS15" s="20"/>
      <c r="WTT15" s="20"/>
      <c r="WTU15" s="20"/>
      <c r="WTV15" s="20"/>
      <c r="WTW15" s="20"/>
      <c r="WTX15" s="20"/>
      <c r="WTY15" s="20"/>
      <c r="WTZ15" s="20"/>
      <c r="WUA15" s="20"/>
      <c r="WUB15" s="20"/>
      <c r="WUC15" s="20"/>
      <c r="WUD15" s="20"/>
      <c r="WUE15" s="20"/>
      <c r="WUF15" s="20"/>
      <c r="WUG15" s="20"/>
      <c r="WUH15" s="20"/>
      <c r="WUI15" s="20"/>
      <c r="WUJ15" s="20"/>
      <c r="WUK15" s="20"/>
      <c r="WUL15" s="20"/>
      <c r="WUM15" s="20"/>
      <c r="WUN15" s="20"/>
      <c r="WUO15" s="20"/>
      <c r="WUP15" s="20"/>
      <c r="WUQ15" s="20"/>
      <c r="WUR15" s="20"/>
      <c r="WUS15" s="20"/>
      <c r="WUT15" s="20"/>
      <c r="WUU15" s="20"/>
      <c r="WUV15" s="20"/>
      <c r="WUW15" s="20"/>
      <c r="WUX15" s="20"/>
      <c r="WUY15" s="20"/>
      <c r="WUZ15" s="20"/>
      <c r="WVA15" s="20"/>
      <c r="WVB15" s="20"/>
      <c r="WVC15" s="20"/>
      <c r="WVD15" s="20"/>
      <c r="WVE15" s="20"/>
      <c r="WVF15" s="20"/>
      <c r="WVG15" s="20"/>
      <c r="WVH15" s="20"/>
      <c r="WVI15" s="20"/>
      <c r="WVJ15" s="20"/>
      <c r="WVK15" s="20"/>
      <c r="WVL15" s="20"/>
      <c r="WVM15" s="20"/>
      <c r="WVN15" s="20"/>
    </row>
    <row r="16" spans="1:16134" ht="37.5">
      <c r="A16" s="715" t="s">
        <v>510</v>
      </c>
      <c r="B16" s="398"/>
      <c r="C16" s="399"/>
      <c r="D16" s="399"/>
      <c r="E16" s="399"/>
      <c r="F16" s="315"/>
    </row>
    <row r="17" spans="1:6" ht="75">
      <c r="A17" s="397" t="s">
        <v>511</v>
      </c>
      <c r="B17" s="393">
        <v>12148581</v>
      </c>
      <c r="C17" s="399"/>
      <c r="D17" s="399"/>
      <c r="E17" s="399"/>
      <c r="F17" s="315"/>
    </row>
    <row r="18" spans="1:6" ht="56.25">
      <c r="A18" s="715" t="s">
        <v>512</v>
      </c>
      <c r="B18" s="393">
        <f>SUM(B20:B21)</f>
        <v>211140184</v>
      </c>
      <c r="C18" s="399"/>
      <c r="D18" s="399"/>
      <c r="E18" s="399"/>
      <c r="F18" s="315"/>
    </row>
    <row r="19" spans="1:6" ht="18.75">
      <c r="A19" s="397" t="s">
        <v>427</v>
      </c>
      <c r="B19" s="393"/>
      <c r="C19" s="399"/>
      <c r="D19" s="399"/>
      <c r="E19" s="399"/>
      <c r="F19" s="315"/>
    </row>
    <row r="20" spans="1:6" ht="18.75">
      <c r="A20" s="397" t="s">
        <v>899</v>
      </c>
      <c r="B20" s="393">
        <v>49950000</v>
      </c>
      <c r="C20" s="399"/>
      <c r="D20" s="399"/>
      <c r="E20" s="399"/>
      <c r="F20" s="315"/>
    </row>
    <row r="21" spans="1:6" ht="37.5">
      <c r="A21" s="397" t="s">
        <v>900</v>
      </c>
      <c r="B21" s="393">
        <f>164375993-3185809</f>
        <v>161190184</v>
      </c>
      <c r="C21" s="399"/>
      <c r="D21" s="399"/>
      <c r="E21" s="399"/>
      <c r="F21" s="315"/>
    </row>
    <row r="22" spans="1:6" ht="93.75">
      <c r="A22" s="716" t="s">
        <v>651</v>
      </c>
      <c r="B22" s="393">
        <f>200700259-3733800-570363</f>
        <v>196396096</v>
      </c>
      <c r="C22" s="399"/>
      <c r="D22" s="399"/>
      <c r="E22" s="399"/>
      <c r="F22" s="315"/>
    </row>
    <row r="23" spans="1:6" ht="37.5">
      <c r="A23" s="669" t="s">
        <v>864</v>
      </c>
      <c r="B23" s="393">
        <f>94177093-385100</f>
        <v>93791993</v>
      </c>
      <c r="C23" s="399"/>
      <c r="D23" s="399"/>
      <c r="E23" s="399"/>
      <c r="F23" s="315"/>
    </row>
    <row r="24" spans="1:6" ht="56.25">
      <c r="A24" s="715" t="s">
        <v>901</v>
      </c>
      <c r="B24" s="393">
        <f>23945785-3016366-4437637-1972826</f>
        <v>14518956</v>
      </c>
      <c r="C24" s="399"/>
      <c r="D24" s="399"/>
      <c r="E24" s="399"/>
      <c r="F24" s="315"/>
    </row>
    <row r="25" spans="1:6" ht="37.5">
      <c r="A25" s="420" t="s">
        <v>866</v>
      </c>
      <c r="B25" s="393">
        <v>2409098</v>
      </c>
      <c r="C25" s="422"/>
      <c r="D25" s="422"/>
      <c r="E25" s="422"/>
      <c r="F25" s="424"/>
    </row>
    <row r="26" spans="1:6" ht="37.5">
      <c r="A26" s="715" t="s">
        <v>867</v>
      </c>
      <c r="B26" s="393">
        <f>104737609-5768450</f>
        <v>98969159</v>
      </c>
      <c r="C26" s="399"/>
      <c r="D26" s="399"/>
      <c r="E26" s="399"/>
      <c r="F26" s="315"/>
    </row>
    <row r="27" spans="1:6" ht="35.25" customHeight="1">
      <c r="A27" s="716" t="s">
        <v>870</v>
      </c>
      <c r="B27" s="393">
        <f>3730208-50000</f>
        <v>3680208</v>
      </c>
      <c r="C27" s="399"/>
      <c r="D27" s="399"/>
      <c r="E27" s="399"/>
      <c r="F27" s="315"/>
    </row>
    <row r="28" spans="1:6" ht="37.5">
      <c r="A28" s="716" t="s">
        <v>802</v>
      </c>
      <c r="B28" s="393">
        <v>111490000</v>
      </c>
      <c r="C28" s="399"/>
      <c r="D28" s="399"/>
      <c r="E28" s="399"/>
      <c r="F28" s="315"/>
    </row>
    <row r="29" spans="1:6" ht="37.5">
      <c r="A29" s="716" t="s">
        <v>814</v>
      </c>
      <c r="B29" s="393">
        <v>554050000</v>
      </c>
      <c r="C29" s="399"/>
      <c r="D29" s="399"/>
      <c r="E29" s="399"/>
      <c r="F29" s="315"/>
    </row>
    <row r="30" spans="1:6" ht="56.25">
      <c r="A30" s="716" t="s">
        <v>902</v>
      </c>
      <c r="B30" s="393">
        <v>400000000</v>
      </c>
      <c r="C30" s="399"/>
      <c r="D30" s="399"/>
      <c r="E30" s="399"/>
      <c r="F30" s="315"/>
    </row>
    <row r="31" spans="1:6" ht="18.75">
      <c r="A31" s="715" t="s">
        <v>653</v>
      </c>
      <c r="B31" s="398"/>
      <c r="C31" s="399"/>
      <c r="D31" s="399"/>
      <c r="E31" s="399"/>
      <c r="F31" s="315"/>
    </row>
    <row r="32" spans="1:6" ht="37.5">
      <c r="A32" s="397" t="s">
        <v>654</v>
      </c>
      <c r="B32" s="393">
        <f>1000000-1000000</f>
        <v>0</v>
      </c>
      <c r="C32" s="399"/>
      <c r="D32" s="399"/>
      <c r="E32" s="399"/>
      <c r="F32" s="315"/>
    </row>
    <row r="33" spans="1:6" ht="37.5">
      <c r="A33" s="397" t="s">
        <v>655</v>
      </c>
      <c r="B33" s="393">
        <f>1000000-1000000</f>
        <v>0</v>
      </c>
      <c r="C33" s="399"/>
      <c r="D33" s="399"/>
      <c r="E33" s="399"/>
      <c r="F33" s="315"/>
    </row>
    <row r="34" spans="1:6" ht="37.5">
      <c r="A34" s="669" t="s">
        <v>663</v>
      </c>
      <c r="B34" s="671">
        <f>16000000-16000000</f>
        <v>0</v>
      </c>
      <c r="C34" s="399"/>
      <c r="D34" s="399"/>
      <c r="E34" s="399"/>
      <c r="F34" s="315"/>
    </row>
    <row r="35" spans="1:6" ht="19.5" thickBot="1">
      <c r="A35" s="404" t="s">
        <v>504</v>
      </c>
      <c r="B35" s="648">
        <f>-1600000+2000000-400000</f>
        <v>0</v>
      </c>
      <c r="C35" s="403"/>
      <c r="D35" s="422"/>
      <c r="E35" s="422"/>
      <c r="F35" s="424"/>
    </row>
    <row r="36" spans="1:6" ht="27.75" customHeight="1" thickBot="1">
      <c r="A36" s="721" t="s">
        <v>573</v>
      </c>
      <c r="B36" s="718">
        <f t="shared" ref="B36" si="0">-1600000+2000000-400000</f>
        <v>0</v>
      </c>
      <c r="C36" s="719">
        <f>SUM(C12:C13)</f>
        <v>983410294</v>
      </c>
      <c r="D36" s="719">
        <f t="shared" ref="D36:E36" si="1">SUM(D12:D13)</f>
        <v>1784645376</v>
      </c>
      <c r="E36" s="719">
        <f t="shared" si="1"/>
        <v>0</v>
      </c>
      <c r="F36" s="720">
        <v>0</v>
      </c>
    </row>
  </sheetData>
  <mergeCells count="7">
    <mergeCell ref="A7:F7"/>
    <mergeCell ref="A8:B11"/>
    <mergeCell ref="C8:C11"/>
    <mergeCell ref="A4:F6"/>
    <mergeCell ref="D8:D11"/>
    <mergeCell ref="E8:E11"/>
    <mergeCell ref="F8:F11"/>
  </mergeCells>
  <pageMargins left="0.7" right="0.7" top="0.75" bottom="0.75" header="0.3" footer="0.3"/>
  <pageSetup paperSize="9" scale="56" orientation="portrait" horizontalDpi="300" verticalDpi="300" r:id="rId1"/>
  <colBreaks count="1" manualBreakCount="1">
    <brk id="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I16"/>
  <sheetViews>
    <sheetView view="pageBreakPreview" zoomScale="95" zoomScaleSheetLayoutView="95" workbookViewId="0">
      <selection activeCell="F34" sqref="F34"/>
    </sheetView>
  </sheetViews>
  <sheetFormatPr defaultRowHeight="15.75"/>
  <cols>
    <col min="1" max="1" width="41.7109375" style="323" customWidth="1"/>
    <col min="2" max="2" width="11.7109375" style="323" customWidth="1"/>
    <col min="3" max="3" width="14.28515625" style="323" customWidth="1"/>
    <col min="4" max="4" width="14" style="323" customWidth="1"/>
    <col min="5" max="9" width="15.42578125" style="323" customWidth="1"/>
    <col min="10" max="256" width="9.140625" style="323"/>
    <col min="257" max="257" width="41.7109375" style="323" customWidth="1"/>
    <col min="258" max="258" width="11.7109375" style="323" customWidth="1"/>
    <col min="259" max="259" width="14.28515625" style="323" customWidth="1"/>
    <col min="260" max="260" width="14" style="323" customWidth="1"/>
    <col min="261" max="265" width="15.42578125" style="323" customWidth="1"/>
    <col min="266" max="512" width="9.140625" style="323"/>
    <col min="513" max="513" width="41.7109375" style="323" customWidth="1"/>
    <col min="514" max="514" width="11.7109375" style="323" customWidth="1"/>
    <col min="515" max="515" width="14.28515625" style="323" customWidth="1"/>
    <col min="516" max="516" width="14" style="323" customWidth="1"/>
    <col min="517" max="521" width="15.42578125" style="323" customWidth="1"/>
    <col min="522" max="768" width="9.140625" style="323"/>
    <col min="769" max="769" width="41.7109375" style="323" customWidth="1"/>
    <col min="770" max="770" width="11.7109375" style="323" customWidth="1"/>
    <col min="771" max="771" width="14.28515625" style="323" customWidth="1"/>
    <col min="772" max="772" width="14" style="323" customWidth="1"/>
    <col min="773" max="777" width="15.42578125" style="323" customWidth="1"/>
    <col min="778" max="1024" width="9.140625" style="323"/>
    <col min="1025" max="1025" width="41.7109375" style="323" customWidth="1"/>
    <col min="1026" max="1026" width="11.7109375" style="323" customWidth="1"/>
    <col min="1027" max="1027" width="14.28515625" style="323" customWidth="1"/>
    <col min="1028" max="1028" width="14" style="323" customWidth="1"/>
    <col min="1029" max="1033" width="15.42578125" style="323" customWidth="1"/>
    <col min="1034" max="1280" width="9.140625" style="323"/>
    <col min="1281" max="1281" width="41.7109375" style="323" customWidth="1"/>
    <col min="1282" max="1282" width="11.7109375" style="323" customWidth="1"/>
    <col min="1283" max="1283" width="14.28515625" style="323" customWidth="1"/>
    <col min="1284" max="1284" width="14" style="323" customWidth="1"/>
    <col min="1285" max="1289" width="15.42578125" style="323" customWidth="1"/>
    <col min="1290" max="1536" width="9.140625" style="323"/>
    <col min="1537" max="1537" width="41.7109375" style="323" customWidth="1"/>
    <col min="1538" max="1538" width="11.7109375" style="323" customWidth="1"/>
    <col min="1539" max="1539" width="14.28515625" style="323" customWidth="1"/>
    <col min="1540" max="1540" width="14" style="323" customWidth="1"/>
    <col min="1541" max="1545" width="15.42578125" style="323" customWidth="1"/>
    <col min="1546" max="1792" width="9.140625" style="323"/>
    <col min="1793" max="1793" width="41.7109375" style="323" customWidth="1"/>
    <col min="1794" max="1794" width="11.7109375" style="323" customWidth="1"/>
    <col min="1795" max="1795" width="14.28515625" style="323" customWidth="1"/>
    <col min="1796" max="1796" width="14" style="323" customWidth="1"/>
    <col min="1797" max="1801" width="15.42578125" style="323" customWidth="1"/>
    <col min="1802" max="2048" width="9.140625" style="323"/>
    <col min="2049" max="2049" width="41.7109375" style="323" customWidth="1"/>
    <col min="2050" max="2050" width="11.7109375" style="323" customWidth="1"/>
    <col min="2051" max="2051" width="14.28515625" style="323" customWidth="1"/>
    <col min="2052" max="2052" width="14" style="323" customWidth="1"/>
    <col min="2053" max="2057" width="15.42578125" style="323" customWidth="1"/>
    <col min="2058" max="2304" width="9.140625" style="323"/>
    <col min="2305" max="2305" width="41.7109375" style="323" customWidth="1"/>
    <col min="2306" max="2306" width="11.7109375" style="323" customWidth="1"/>
    <col min="2307" max="2307" width="14.28515625" style="323" customWidth="1"/>
    <col min="2308" max="2308" width="14" style="323" customWidth="1"/>
    <col min="2309" max="2313" width="15.42578125" style="323" customWidth="1"/>
    <col min="2314" max="2560" width="9.140625" style="323"/>
    <col min="2561" max="2561" width="41.7109375" style="323" customWidth="1"/>
    <col min="2562" max="2562" width="11.7109375" style="323" customWidth="1"/>
    <col min="2563" max="2563" width="14.28515625" style="323" customWidth="1"/>
    <col min="2564" max="2564" width="14" style="323" customWidth="1"/>
    <col min="2565" max="2569" width="15.42578125" style="323" customWidth="1"/>
    <col min="2570" max="2816" width="9.140625" style="323"/>
    <col min="2817" max="2817" width="41.7109375" style="323" customWidth="1"/>
    <col min="2818" max="2818" width="11.7109375" style="323" customWidth="1"/>
    <col min="2819" max="2819" width="14.28515625" style="323" customWidth="1"/>
    <col min="2820" max="2820" width="14" style="323" customWidth="1"/>
    <col min="2821" max="2825" width="15.42578125" style="323" customWidth="1"/>
    <col min="2826" max="3072" width="9.140625" style="323"/>
    <col min="3073" max="3073" width="41.7109375" style="323" customWidth="1"/>
    <col min="3074" max="3074" width="11.7109375" style="323" customWidth="1"/>
    <col min="3075" max="3075" width="14.28515625" style="323" customWidth="1"/>
    <col min="3076" max="3076" width="14" style="323" customWidth="1"/>
    <col min="3077" max="3081" width="15.42578125" style="323" customWidth="1"/>
    <col min="3082" max="3328" width="9.140625" style="323"/>
    <col min="3329" max="3329" width="41.7109375" style="323" customWidth="1"/>
    <col min="3330" max="3330" width="11.7109375" style="323" customWidth="1"/>
    <col min="3331" max="3331" width="14.28515625" style="323" customWidth="1"/>
    <col min="3332" max="3332" width="14" style="323" customWidth="1"/>
    <col min="3333" max="3337" width="15.42578125" style="323" customWidth="1"/>
    <col min="3338" max="3584" width="9.140625" style="323"/>
    <col min="3585" max="3585" width="41.7109375" style="323" customWidth="1"/>
    <col min="3586" max="3586" width="11.7109375" style="323" customWidth="1"/>
    <col min="3587" max="3587" width="14.28515625" style="323" customWidth="1"/>
    <col min="3588" max="3588" width="14" style="323" customWidth="1"/>
    <col min="3589" max="3593" width="15.42578125" style="323" customWidth="1"/>
    <col min="3594" max="3840" width="9.140625" style="323"/>
    <col min="3841" max="3841" width="41.7109375" style="323" customWidth="1"/>
    <col min="3842" max="3842" width="11.7109375" style="323" customWidth="1"/>
    <col min="3843" max="3843" width="14.28515625" style="323" customWidth="1"/>
    <col min="3844" max="3844" width="14" style="323" customWidth="1"/>
    <col min="3845" max="3849" width="15.42578125" style="323" customWidth="1"/>
    <col min="3850" max="4096" width="9.140625" style="323"/>
    <col min="4097" max="4097" width="41.7109375" style="323" customWidth="1"/>
    <col min="4098" max="4098" width="11.7109375" style="323" customWidth="1"/>
    <col min="4099" max="4099" width="14.28515625" style="323" customWidth="1"/>
    <col min="4100" max="4100" width="14" style="323" customWidth="1"/>
    <col min="4101" max="4105" width="15.42578125" style="323" customWidth="1"/>
    <col min="4106" max="4352" width="9.140625" style="323"/>
    <col min="4353" max="4353" width="41.7109375" style="323" customWidth="1"/>
    <col min="4354" max="4354" width="11.7109375" style="323" customWidth="1"/>
    <col min="4355" max="4355" width="14.28515625" style="323" customWidth="1"/>
    <col min="4356" max="4356" width="14" style="323" customWidth="1"/>
    <col min="4357" max="4361" width="15.42578125" style="323" customWidth="1"/>
    <col min="4362" max="4608" width="9.140625" style="323"/>
    <col min="4609" max="4609" width="41.7109375" style="323" customWidth="1"/>
    <col min="4610" max="4610" width="11.7109375" style="323" customWidth="1"/>
    <col min="4611" max="4611" width="14.28515625" style="323" customWidth="1"/>
    <col min="4612" max="4612" width="14" style="323" customWidth="1"/>
    <col min="4613" max="4617" width="15.42578125" style="323" customWidth="1"/>
    <col min="4618" max="4864" width="9.140625" style="323"/>
    <col min="4865" max="4865" width="41.7109375" style="323" customWidth="1"/>
    <col min="4866" max="4866" width="11.7109375" style="323" customWidth="1"/>
    <col min="4867" max="4867" width="14.28515625" style="323" customWidth="1"/>
    <col min="4868" max="4868" width="14" style="323" customWidth="1"/>
    <col min="4869" max="4873" width="15.42578125" style="323" customWidth="1"/>
    <col min="4874" max="5120" width="9.140625" style="323"/>
    <col min="5121" max="5121" width="41.7109375" style="323" customWidth="1"/>
    <col min="5122" max="5122" width="11.7109375" style="323" customWidth="1"/>
    <col min="5123" max="5123" width="14.28515625" style="323" customWidth="1"/>
    <col min="5124" max="5124" width="14" style="323" customWidth="1"/>
    <col min="5125" max="5129" width="15.42578125" style="323" customWidth="1"/>
    <col min="5130" max="5376" width="9.140625" style="323"/>
    <col min="5377" max="5377" width="41.7109375" style="323" customWidth="1"/>
    <col min="5378" max="5378" width="11.7109375" style="323" customWidth="1"/>
    <col min="5379" max="5379" width="14.28515625" style="323" customWidth="1"/>
    <col min="5380" max="5380" width="14" style="323" customWidth="1"/>
    <col min="5381" max="5385" width="15.42578125" style="323" customWidth="1"/>
    <col min="5386" max="5632" width="9.140625" style="323"/>
    <col min="5633" max="5633" width="41.7109375" style="323" customWidth="1"/>
    <col min="5634" max="5634" width="11.7109375" style="323" customWidth="1"/>
    <col min="5635" max="5635" width="14.28515625" style="323" customWidth="1"/>
    <col min="5636" max="5636" width="14" style="323" customWidth="1"/>
    <col min="5637" max="5641" width="15.42578125" style="323" customWidth="1"/>
    <col min="5642" max="5888" width="9.140625" style="323"/>
    <col min="5889" max="5889" width="41.7109375" style="323" customWidth="1"/>
    <col min="5890" max="5890" width="11.7109375" style="323" customWidth="1"/>
    <col min="5891" max="5891" width="14.28515625" style="323" customWidth="1"/>
    <col min="5892" max="5892" width="14" style="323" customWidth="1"/>
    <col min="5893" max="5897" width="15.42578125" style="323" customWidth="1"/>
    <col min="5898" max="6144" width="9.140625" style="323"/>
    <col min="6145" max="6145" width="41.7109375" style="323" customWidth="1"/>
    <col min="6146" max="6146" width="11.7109375" style="323" customWidth="1"/>
    <col min="6147" max="6147" width="14.28515625" style="323" customWidth="1"/>
    <col min="6148" max="6148" width="14" style="323" customWidth="1"/>
    <col min="6149" max="6153" width="15.42578125" style="323" customWidth="1"/>
    <col min="6154" max="6400" width="9.140625" style="323"/>
    <col min="6401" max="6401" width="41.7109375" style="323" customWidth="1"/>
    <col min="6402" max="6402" width="11.7109375" style="323" customWidth="1"/>
    <col min="6403" max="6403" width="14.28515625" style="323" customWidth="1"/>
    <col min="6404" max="6404" width="14" style="323" customWidth="1"/>
    <col min="6405" max="6409" width="15.42578125" style="323" customWidth="1"/>
    <col min="6410" max="6656" width="9.140625" style="323"/>
    <col min="6657" max="6657" width="41.7109375" style="323" customWidth="1"/>
    <col min="6658" max="6658" width="11.7109375" style="323" customWidth="1"/>
    <col min="6659" max="6659" width="14.28515625" style="323" customWidth="1"/>
    <col min="6660" max="6660" width="14" style="323" customWidth="1"/>
    <col min="6661" max="6665" width="15.42578125" style="323" customWidth="1"/>
    <col min="6666" max="6912" width="9.140625" style="323"/>
    <col min="6913" max="6913" width="41.7109375" style="323" customWidth="1"/>
    <col min="6914" max="6914" width="11.7109375" style="323" customWidth="1"/>
    <col min="6915" max="6915" width="14.28515625" style="323" customWidth="1"/>
    <col min="6916" max="6916" width="14" style="323" customWidth="1"/>
    <col min="6917" max="6921" width="15.42578125" style="323" customWidth="1"/>
    <col min="6922" max="7168" width="9.140625" style="323"/>
    <col min="7169" max="7169" width="41.7109375" style="323" customWidth="1"/>
    <col min="7170" max="7170" width="11.7109375" style="323" customWidth="1"/>
    <col min="7171" max="7171" width="14.28515625" style="323" customWidth="1"/>
    <col min="7172" max="7172" width="14" style="323" customWidth="1"/>
    <col min="7173" max="7177" width="15.42578125" style="323" customWidth="1"/>
    <col min="7178" max="7424" width="9.140625" style="323"/>
    <col min="7425" max="7425" width="41.7109375" style="323" customWidth="1"/>
    <col min="7426" max="7426" width="11.7109375" style="323" customWidth="1"/>
    <col min="7427" max="7427" width="14.28515625" style="323" customWidth="1"/>
    <col min="7428" max="7428" width="14" style="323" customWidth="1"/>
    <col min="7429" max="7433" width="15.42578125" style="323" customWidth="1"/>
    <col min="7434" max="7680" width="9.140625" style="323"/>
    <col min="7681" max="7681" width="41.7109375" style="323" customWidth="1"/>
    <col min="7682" max="7682" width="11.7109375" style="323" customWidth="1"/>
    <col min="7683" max="7683" width="14.28515625" style="323" customWidth="1"/>
    <col min="7684" max="7684" width="14" style="323" customWidth="1"/>
    <col min="7685" max="7689" width="15.42578125" style="323" customWidth="1"/>
    <col min="7690" max="7936" width="9.140625" style="323"/>
    <col min="7937" max="7937" width="41.7109375" style="323" customWidth="1"/>
    <col min="7938" max="7938" width="11.7109375" style="323" customWidth="1"/>
    <col min="7939" max="7939" width="14.28515625" style="323" customWidth="1"/>
    <col min="7940" max="7940" width="14" style="323" customWidth="1"/>
    <col min="7941" max="7945" width="15.42578125" style="323" customWidth="1"/>
    <col min="7946" max="8192" width="9.140625" style="323"/>
    <col min="8193" max="8193" width="41.7109375" style="323" customWidth="1"/>
    <col min="8194" max="8194" width="11.7109375" style="323" customWidth="1"/>
    <col min="8195" max="8195" width="14.28515625" style="323" customWidth="1"/>
    <col min="8196" max="8196" width="14" style="323" customWidth="1"/>
    <col min="8197" max="8201" width="15.42578125" style="323" customWidth="1"/>
    <col min="8202" max="8448" width="9.140625" style="323"/>
    <col min="8449" max="8449" width="41.7109375" style="323" customWidth="1"/>
    <col min="8450" max="8450" width="11.7109375" style="323" customWidth="1"/>
    <col min="8451" max="8451" width="14.28515625" style="323" customWidth="1"/>
    <col min="8452" max="8452" width="14" style="323" customWidth="1"/>
    <col min="8453" max="8457" width="15.42578125" style="323" customWidth="1"/>
    <col min="8458" max="8704" width="9.140625" style="323"/>
    <col min="8705" max="8705" width="41.7109375" style="323" customWidth="1"/>
    <col min="8706" max="8706" width="11.7109375" style="323" customWidth="1"/>
    <col min="8707" max="8707" width="14.28515625" style="323" customWidth="1"/>
    <col min="8708" max="8708" width="14" style="323" customWidth="1"/>
    <col min="8709" max="8713" width="15.42578125" style="323" customWidth="1"/>
    <col min="8714" max="8960" width="9.140625" style="323"/>
    <col min="8961" max="8961" width="41.7109375" style="323" customWidth="1"/>
    <col min="8962" max="8962" width="11.7109375" style="323" customWidth="1"/>
    <col min="8963" max="8963" width="14.28515625" style="323" customWidth="1"/>
    <col min="8964" max="8964" width="14" style="323" customWidth="1"/>
    <col min="8965" max="8969" width="15.42578125" style="323" customWidth="1"/>
    <col min="8970" max="9216" width="9.140625" style="323"/>
    <col min="9217" max="9217" width="41.7109375" style="323" customWidth="1"/>
    <col min="9218" max="9218" width="11.7109375" style="323" customWidth="1"/>
    <col min="9219" max="9219" width="14.28515625" style="323" customWidth="1"/>
    <col min="9220" max="9220" width="14" style="323" customWidth="1"/>
    <col min="9221" max="9225" width="15.42578125" style="323" customWidth="1"/>
    <col min="9226" max="9472" width="9.140625" style="323"/>
    <col min="9473" max="9473" width="41.7109375" style="323" customWidth="1"/>
    <col min="9474" max="9474" width="11.7109375" style="323" customWidth="1"/>
    <col min="9475" max="9475" width="14.28515625" style="323" customWidth="1"/>
    <col min="9476" max="9476" width="14" style="323" customWidth="1"/>
    <col min="9477" max="9481" width="15.42578125" style="323" customWidth="1"/>
    <col min="9482" max="9728" width="9.140625" style="323"/>
    <col min="9729" max="9729" width="41.7109375" style="323" customWidth="1"/>
    <col min="9730" max="9730" width="11.7109375" style="323" customWidth="1"/>
    <col min="9731" max="9731" width="14.28515625" style="323" customWidth="1"/>
    <col min="9732" max="9732" width="14" style="323" customWidth="1"/>
    <col min="9733" max="9737" width="15.42578125" style="323" customWidth="1"/>
    <col min="9738" max="9984" width="9.140625" style="323"/>
    <col min="9985" max="9985" width="41.7109375" style="323" customWidth="1"/>
    <col min="9986" max="9986" width="11.7109375" style="323" customWidth="1"/>
    <col min="9987" max="9987" width="14.28515625" style="323" customWidth="1"/>
    <col min="9988" max="9988" width="14" style="323" customWidth="1"/>
    <col min="9989" max="9993" width="15.42578125" style="323" customWidth="1"/>
    <col min="9994" max="10240" width="9.140625" style="323"/>
    <col min="10241" max="10241" width="41.7109375" style="323" customWidth="1"/>
    <col min="10242" max="10242" width="11.7109375" style="323" customWidth="1"/>
    <col min="10243" max="10243" width="14.28515625" style="323" customWidth="1"/>
    <col min="10244" max="10244" width="14" style="323" customWidth="1"/>
    <col min="10245" max="10249" width="15.42578125" style="323" customWidth="1"/>
    <col min="10250" max="10496" width="9.140625" style="323"/>
    <col min="10497" max="10497" width="41.7109375" style="323" customWidth="1"/>
    <col min="10498" max="10498" width="11.7109375" style="323" customWidth="1"/>
    <col min="10499" max="10499" width="14.28515625" style="323" customWidth="1"/>
    <col min="10500" max="10500" width="14" style="323" customWidth="1"/>
    <col min="10501" max="10505" width="15.42578125" style="323" customWidth="1"/>
    <col min="10506" max="10752" width="9.140625" style="323"/>
    <col min="10753" max="10753" width="41.7109375" style="323" customWidth="1"/>
    <col min="10754" max="10754" width="11.7109375" style="323" customWidth="1"/>
    <col min="10755" max="10755" width="14.28515625" style="323" customWidth="1"/>
    <col min="10756" max="10756" width="14" style="323" customWidth="1"/>
    <col min="10757" max="10761" width="15.42578125" style="323" customWidth="1"/>
    <col min="10762" max="11008" width="9.140625" style="323"/>
    <col min="11009" max="11009" width="41.7109375" style="323" customWidth="1"/>
    <col min="11010" max="11010" width="11.7109375" style="323" customWidth="1"/>
    <col min="11011" max="11011" width="14.28515625" style="323" customWidth="1"/>
    <col min="11012" max="11012" width="14" style="323" customWidth="1"/>
    <col min="11013" max="11017" width="15.42578125" style="323" customWidth="1"/>
    <col min="11018" max="11264" width="9.140625" style="323"/>
    <col min="11265" max="11265" width="41.7109375" style="323" customWidth="1"/>
    <col min="11266" max="11266" width="11.7109375" style="323" customWidth="1"/>
    <col min="11267" max="11267" width="14.28515625" style="323" customWidth="1"/>
    <col min="11268" max="11268" width="14" style="323" customWidth="1"/>
    <col min="11269" max="11273" width="15.42578125" style="323" customWidth="1"/>
    <col min="11274" max="11520" width="9.140625" style="323"/>
    <col min="11521" max="11521" width="41.7109375" style="323" customWidth="1"/>
    <col min="11522" max="11522" width="11.7109375" style="323" customWidth="1"/>
    <col min="11523" max="11523" width="14.28515625" style="323" customWidth="1"/>
    <col min="11524" max="11524" width="14" style="323" customWidth="1"/>
    <col min="11525" max="11529" width="15.42578125" style="323" customWidth="1"/>
    <col min="11530" max="11776" width="9.140625" style="323"/>
    <col min="11777" max="11777" width="41.7109375" style="323" customWidth="1"/>
    <col min="11778" max="11778" width="11.7109375" style="323" customWidth="1"/>
    <col min="11779" max="11779" width="14.28515625" style="323" customWidth="1"/>
    <col min="11780" max="11780" width="14" style="323" customWidth="1"/>
    <col min="11781" max="11785" width="15.42578125" style="323" customWidth="1"/>
    <col min="11786" max="12032" width="9.140625" style="323"/>
    <col min="12033" max="12033" width="41.7109375" style="323" customWidth="1"/>
    <col min="12034" max="12034" width="11.7109375" style="323" customWidth="1"/>
    <col min="12035" max="12035" width="14.28515625" style="323" customWidth="1"/>
    <col min="12036" max="12036" width="14" style="323" customWidth="1"/>
    <col min="12037" max="12041" width="15.42578125" style="323" customWidth="1"/>
    <col min="12042" max="12288" width="9.140625" style="323"/>
    <col min="12289" max="12289" width="41.7109375" style="323" customWidth="1"/>
    <col min="12290" max="12290" width="11.7109375" style="323" customWidth="1"/>
    <col min="12291" max="12291" width="14.28515625" style="323" customWidth="1"/>
    <col min="12292" max="12292" width="14" style="323" customWidth="1"/>
    <col min="12293" max="12297" width="15.42578125" style="323" customWidth="1"/>
    <col min="12298" max="12544" width="9.140625" style="323"/>
    <col min="12545" max="12545" width="41.7109375" style="323" customWidth="1"/>
    <col min="12546" max="12546" width="11.7109375" style="323" customWidth="1"/>
    <col min="12547" max="12547" width="14.28515625" style="323" customWidth="1"/>
    <col min="12548" max="12548" width="14" style="323" customWidth="1"/>
    <col min="12549" max="12553" width="15.42578125" style="323" customWidth="1"/>
    <col min="12554" max="12800" width="9.140625" style="323"/>
    <col min="12801" max="12801" width="41.7109375" style="323" customWidth="1"/>
    <col min="12802" max="12802" width="11.7109375" style="323" customWidth="1"/>
    <col min="12803" max="12803" width="14.28515625" style="323" customWidth="1"/>
    <col min="12804" max="12804" width="14" style="323" customWidth="1"/>
    <col min="12805" max="12809" width="15.42578125" style="323" customWidth="1"/>
    <col min="12810" max="13056" width="9.140625" style="323"/>
    <col min="13057" max="13057" width="41.7109375" style="323" customWidth="1"/>
    <col min="13058" max="13058" width="11.7109375" style="323" customWidth="1"/>
    <col min="13059" max="13059" width="14.28515625" style="323" customWidth="1"/>
    <col min="13060" max="13060" width="14" style="323" customWidth="1"/>
    <col min="13061" max="13065" width="15.42578125" style="323" customWidth="1"/>
    <col min="13066" max="13312" width="9.140625" style="323"/>
    <col min="13313" max="13313" width="41.7109375" style="323" customWidth="1"/>
    <col min="13314" max="13314" width="11.7109375" style="323" customWidth="1"/>
    <col min="13315" max="13315" width="14.28515625" style="323" customWidth="1"/>
    <col min="13316" max="13316" width="14" style="323" customWidth="1"/>
    <col min="13317" max="13321" width="15.42578125" style="323" customWidth="1"/>
    <col min="13322" max="13568" width="9.140625" style="323"/>
    <col min="13569" max="13569" width="41.7109375" style="323" customWidth="1"/>
    <col min="13570" max="13570" width="11.7109375" style="323" customWidth="1"/>
    <col min="13571" max="13571" width="14.28515625" style="323" customWidth="1"/>
    <col min="13572" max="13572" width="14" style="323" customWidth="1"/>
    <col min="13573" max="13577" width="15.42578125" style="323" customWidth="1"/>
    <col min="13578" max="13824" width="9.140625" style="323"/>
    <col min="13825" max="13825" width="41.7109375" style="323" customWidth="1"/>
    <col min="13826" max="13826" width="11.7109375" style="323" customWidth="1"/>
    <col min="13827" max="13827" width="14.28515625" style="323" customWidth="1"/>
    <col min="13828" max="13828" width="14" style="323" customWidth="1"/>
    <col min="13829" max="13833" width="15.42578125" style="323" customWidth="1"/>
    <col min="13834" max="14080" width="9.140625" style="323"/>
    <col min="14081" max="14081" width="41.7109375" style="323" customWidth="1"/>
    <col min="14082" max="14082" width="11.7109375" style="323" customWidth="1"/>
    <col min="14083" max="14083" width="14.28515625" style="323" customWidth="1"/>
    <col min="14084" max="14084" width="14" style="323" customWidth="1"/>
    <col min="14085" max="14089" width="15.42578125" style="323" customWidth="1"/>
    <col min="14090" max="14336" width="9.140625" style="323"/>
    <col min="14337" max="14337" width="41.7109375" style="323" customWidth="1"/>
    <col min="14338" max="14338" width="11.7109375" style="323" customWidth="1"/>
    <col min="14339" max="14339" width="14.28515625" style="323" customWidth="1"/>
    <col min="14340" max="14340" width="14" style="323" customWidth="1"/>
    <col min="14341" max="14345" width="15.42578125" style="323" customWidth="1"/>
    <col min="14346" max="14592" width="9.140625" style="323"/>
    <col min="14593" max="14593" width="41.7109375" style="323" customWidth="1"/>
    <col min="14594" max="14594" width="11.7109375" style="323" customWidth="1"/>
    <col min="14595" max="14595" width="14.28515625" style="323" customWidth="1"/>
    <col min="14596" max="14596" width="14" style="323" customWidth="1"/>
    <col min="14597" max="14601" width="15.42578125" style="323" customWidth="1"/>
    <col min="14602" max="14848" width="9.140625" style="323"/>
    <col min="14849" max="14849" width="41.7109375" style="323" customWidth="1"/>
    <col min="14850" max="14850" width="11.7109375" style="323" customWidth="1"/>
    <col min="14851" max="14851" width="14.28515625" style="323" customWidth="1"/>
    <col min="14852" max="14852" width="14" style="323" customWidth="1"/>
    <col min="14853" max="14857" width="15.42578125" style="323" customWidth="1"/>
    <col min="14858" max="15104" width="9.140625" style="323"/>
    <col min="15105" max="15105" width="41.7109375" style="323" customWidth="1"/>
    <col min="15106" max="15106" width="11.7109375" style="323" customWidth="1"/>
    <col min="15107" max="15107" width="14.28515625" style="323" customWidth="1"/>
    <col min="15108" max="15108" width="14" style="323" customWidth="1"/>
    <col min="15109" max="15113" width="15.42578125" style="323" customWidth="1"/>
    <col min="15114" max="15360" width="9.140625" style="323"/>
    <col min="15361" max="15361" width="41.7109375" style="323" customWidth="1"/>
    <col min="15362" max="15362" width="11.7109375" style="323" customWidth="1"/>
    <col min="15363" max="15363" width="14.28515625" style="323" customWidth="1"/>
    <col min="15364" max="15364" width="14" style="323" customWidth="1"/>
    <col min="15365" max="15369" width="15.42578125" style="323" customWidth="1"/>
    <col min="15370" max="15616" width="9.140625" style="323"/>
    <col min="15617" max="15617" width="41.7109375" style="323" customWidth="1"/>
    <col min="15618" max="15618" width="11.7109375" style="323" customWidth="1"/>
    <col min="15619" max="15619" width="14.28515625" style="323" customWidth="1"/>
    <col min="15620" max="15620" width="14" style="323" customWidth="1"/>
    <col min="15621" max="15625" width="15.42578125" style="323" customWidth="1"/>
    <col min="15626" max="15872" width="9.140625" style="323"/>
    <col min="15873" max="15873" width="41.7109375" style="323" customWidth="1"/>
    <col min="15874" max="15874" width="11.7109375" style="323" customWidth="1"/>
    <col min="15875" max="15875" width="14.28515625" style="323" customWidth="1"/>
    <col min="15876" max="15876" width="14" style="323" customWidth="1"/>
    <col min="15877" max="15881" width="15.42578125" style="323" customWidth="1"/>
    <col min="15882" max="16128" width="9.140625" style="323"/>
    <col min="16129" max="16129" width="41.7109375" style="323" customWidth="1"/>
    <col min="16130" max="16130" width="11.7109375" style="323" customWidth="1"/>
    <col min="16131" max="16131" width="14.28515625" style="323" customWidth="1"/>
    <col min="16132" max="16132" width="14" style="323" customWidth="1"/>
    <col min="16133" max="16137" width="15.42578125" style="323" customWidth="1"/>
    <col min="16138" max="16384" width="9.140625" style="323"/>
  </cols>
  <sheetData>
    <row r="2" spans="1:9">
      <c r="A2" s="955" t="s">
        <v>1042</v>
      </c>
      <c r="B2" s="955"/>
      <c r="C2" s="955"/>
      <c r="D2" s="955"/>
      <c r="E2" s="955"/>
      <c r="F2" s="955"/>
      <c r="G2" s="955"/>
      <c r="H2" s="955"/>
      <c r="I2" s="955"/>
    </row>
    <row r="3" spans="1:9">
      <c r="A3" s="358"/>
      <c r="B3" s="358"/>
      <c r="C3" s="358"/>
      <c r="D3" s="358"/>
      <c r="E3" s="358"/>
      <c r="F3" s="358"/>
      <c r="G3" s="358"/>
      <c r="H3" s="358"/>
      <c r="I3" s="358"/>
    </row>
    <row r="4" spans="1:9">
      <c r="A4" s="956" t="s">
        <v>924</v>
      </c>
      <c r="B4" s="957"/>
      <c r="C4" s="957"/>
      <c r="D4" s="957"/>
      <c r="E4" s="957"/>
      <c r="F4" s="957"/>
      <c r="G4" s="957"/>
      <c r="H4" s="957"/>
      <c r="I4" s="957"/>
    </row>
    <row r="5" spans="1:9">
      <c r="A5" s="957"/>
      <c r="B5" s="957"/>
      <c r="C5" s="957"/>
      <c r="D5" s="957"/>
      <c r="E5" s="957"/>
      <c r="F5" s="957"/>
      <c r="G5" s="957"/>
      <c r="H5" s="957"/>
      <c r="I5" s="957"/>
    </row>
    <row r="6" spans="1:9">
      <c r="A6" s="957"/>
      <c r="B6" s="957"/>
      <c r="C6" s="957"/>
      <c r="D6" s="957"/>
      <c r="E6" s="957"/>
      <c r="F6" s="957"/>
      <c r="G6" s="957"/>
      <c r="H6" s="957"/>
      <c r="I6" s="957"/>
    </row>
    <row r="7" spans="1:9">
      <c r="A7" s="359"/>
      <c r="B7" s="359"/>
      <c r="C7" s="359"/>
      <c r="D7" s="359"/>
      <c r="E7" s="359"/>
      <c r="F7" s="359"/>
      <c r="G7" s="359"/>
      <c r="H7" s="359"/>
      <c r="I7" s="359"/>
    </row>
    <row r="8" spans="1:9" ht="16.5" thickBot="1">
      <c r="E8" s="958" t="s">
        <v>7</v>
      </c>
      <c r="F8" s="958"/>
      <c r="G8" s="958"/>
      <c r="H8" s="958"/>
      <c r="I8" s="958"/>
    </row>
    <row r="9" spans="1:9" s="360" customFormat="1" ht="16.5" thickBot="1">
      <c r="A9" s="952" t="s">
        <v>0</v>
      </c>
      <c r="B9" s="952" t="s">
        <v>561</v>
      </c>
      <c r="C9" s="960" t="s">
        <v>629</v>
      </c>
      <c r="D9" s="952" t="s">
        <v>832</v>
      </c>
      <c r="E9" s="954" t="s">
        <v>562</v>
      </c>
      <c r="F9" s="954"/>
      <c r="G9" s="954"/>
      <c r="H9" s="954"/>
      <c r="I9" s="954"/>
    </row>
    <row r="10" spans="1:9" s="360" customFormat="1" ht="16.5" thickBot="1">
      <c r="A10" s="959"/>
      <c r="B10" s="959"/>
      <c r="C10" s="961"/>
      <c r="D10" s="959"/>
      <c r="E10" s="952" t="s">
        <v>576</v>
      </c>
      <c r="F10" s="952" t="s">
        <v>630</v>
      </c>
      <c r="G10" s="952" t="s">
        <v>833</v>
      </c>
      <c r="H10" s="954" t="s">
        <v>834</v>
      </c>
      <c r="I10" s="954" t="s">
        <v>631</v>
      </c>
    </row>
    <row r="11" spans="1:9" s="360" customFormat="1" ht="66" customHeight="1" thickBot="1">
      <c r="A11" s="953"/>
      <c r="B11" s="953"/>
      <c r="C11" s="962"/>
      <c r="D11" s="953"/>
      <c r="E11" s="953"/>
      <c r="F11" s="953"/>
      <c r="G11" s="953"/>
      <c r="H11" s="954"/>
      <c r="I11" s="954"/>
    </row>
    <row r="12" spans="1:9">
      <c r="A12" s="361" t="s">
        <v>563</v>
      </c>
      <c r="B12" s="362"/>
      <c r="C12" s="363"/>
      <c r="D12" s="363"/>
      <c r="E12" s="363"/>
      <c r="F12" s="363"/>
      <c r="G12" s="363"/>
      <c r="H12" s="363"/>
      <c r="I12" s="363"/>
    </row>
    <row r="13" spans="1:9">
      <c r="A13" s="364" t="s">
        <v>564</v>
      </c>
      <c r="B13" s="365"/>
      <c r="C13" s="366"/>
      <c r="D13" s="366"/>
      <c r="E13" s="366"/>
      <c r="F13" s="366"/>
      <c r="G13" s="366"/>
      <c r="H13" s="366"/>
      <c r="I13" s="366"/>
    </row>
    <row r="14" spans="1:9" ht="26.25" thickBot="1">
      <c r="A14" s="367" t="s">
        <v>565</v>
      </c>
      <c r="B14" s="368">
        <v>2011</v>
      </c>
      <c r="C14" s="369">
        <v>152125000</v>
      </c>
      <c r="D14" s="369">
        <f>SUM(E14:I14)</f>
        <v>88978774</v>
      </c>
      <c r="E14" s="369">
        <v>11481132</v>
      </c>
      <c r="F14" s="369">
        <v>11481132</v>
      </c>
      <c r="G14" s="369">
        <v>11481132</v>
      </c>
      <c r="H14" s="369">
        <f>4*11481132</f>
        <v>45924528</v>
      </c>
      <c r="I14" s="369">
        <f>8610850</f>
        <v>8610850</v>
      </c>
    </row>
    <row r="15" spans="1:9" ht="16.5" thickBot="1">
      <c r="A15" s="370" t="s">
        <v>566</v>
      </c>
      <c r="B15" s="371"/>
      <c r="C15" s="372">
        <f>C14</f>
        <v>152125000</v>
      </c>
      <c r="D15" s="372">
        <f>SUM(E15:I15)</f>
        <v>88978774</v>
      </c>
      <c r="E15" s="372">
        <f>E14</f>
        <v>11481132</v>
      </c>
      <c r="F15" s="372">
        <f>F14</f>
        <v>11481132</v>
      </c>
      <c r="G15" s="372">
        <f>G14</f>
        <v>11481132</v>
      </c>
      <c r="H15" s="372">
        <f>H14</f>
        <v>45924528</v>
      </c>
      <c r="I15" s="372">
        <f>I14</f>
        <v>8610850</v>
      </c>
    </row>
    <row r="16" spans="1:9" s="376" customFormat="1" ht="16.5" thickBot="1">
      <c r="A16" s="373" t="s">
        <v>567</v>
      </c>
      <c r="B16" s="374"/>
      <c r="C16" s="375">
        <f>SUM(C15)</f>
        <v>152125000</v>
      </c>
      <c r="D16" s="375">
        <f t="shared" ref="D16:I16" si="0">SUM(D15)</f>
        <v>88978774</v>
      </c>
      <c r="E16" s="375">
        <f t="shared" si="0"/>
        <v>11481132</v>
      </c>
      <c r="F16" s="375">
        <f t="shared" si="0"/>
        <v>11481132</v>
      </c>
      <c r="G16" s="375">
        <f t="shared" si="0"/>
        <v>11481132</v>
      </c>
      <c r="H16" s="375">
        <f t="shared" si="0"/>
        <v>45924528</v>
      </c>
      <c r="I16" s="375">
        <f t="shared" si="0"/>
        <v>8610850</v>
      </c>
    </row>
  </sheetData>
  <mergeCells count="13">
    <mergeCell ref="G10:G11"/>
    <mergeCell ref="H10:H11"/>
    <mergeCell ref="I10:I11"/>
    <mergeCell ref="A2:I2"/>
    <mergeCell ref="A4:I6"/>
    <mergeCell ref="E8:I8"/>
    <mergeCell ref="A9:A11"/>
    <mergeCell ref="B9:B11"/>
    <mergeCell ref="C9:C11"/>
    <mergeCell ref="D9:D11"/>
    <mergeCell ref="E9:I9"/>
    <mergeCell ref="E10:E11"/>
    <mergeCell ref="F10:F11"/>
  </mergeCells>
  <pageMargins left="0.7" right="0.7" top="0.75" bottom="0.75" header="0.3" footer="0.3"/>
  <pageSetup paperSize="9" scale="5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zoomScale="98" zoomScaleSheetLayoutView="98" workbookViewId="0"/>
  </sheetViews>
  <sheetFormatPr defaultRowHeight="12.75"/>
  <cols>
    <col min="1" max="1" width="67.140625" style="381" customWidth="1"/>
    <col min="2" max="2" width="21.5703125" style="380" customWidth="1"/>
    <col min="3" max="3" width="28.28515625" style="380" customWidth="1"/>
    <col min="4" max="256" width="9.140625" style="381"/>
    <col min="257" max="257" width="67.140625" style="381" customWidth="1"/>
    <col min="258" max="258" width="21.5703125" style="381" customWidth="1"/>
    <col min="259" max="259" width="28.28515625" style="381" customWidth="1"/>
    <col min="260" max="512" width="9.140625" style="381"/>
    <col min="513" max="513" width="67.140625" style="381" customWidth="1"/>
    <col min="514" max="514" width="21.5703125" style="381" customWidth="1"/>
    <col min="515" max="515" width="28.28515625" style="381" customWidth="1"/>
    <col min="516" max="768" width="9.140625" style="381"/>
    <col min="769" max="769" width="67.140625" style="381" customWidth="1"/>
    <col min="770" max="770" width="21.5703125" style="381" customWidth="1"/>
    <col min="771" max="771" width="28.28515625" style="381" customWidth="1"/>
    <col min="772" max="1024" width="9.140625" style="381"/>
    <col min="1025" max="1025" width="67.140625" style="381" customWidth="1"/>
    <col min="1026" max="1026" width="21.5703125" style="381" customWidth="1"/>
    <col min="1027" max="1027" width="28.28515625" style="381" customWidth="1"/>
    <col min="1028" max="1280" width="9.140625" style="381"/>
    <col min="1281" max="1281" width="67.140625" style="381" customWidth="1"/>
    <col min="1282" max="1282" width="21.5703125" style="381" customWidth="1"/>
    <col min="1283" max="1283" width="28.28515625" style="381" customWidth="1"/>
    <col min="1284" max="1536" width="9.140625" style="381"/>
    <col min="1537" max="1537" width="67.140625" style="381" customWidth="1"/>
    <col min="1538" max="1538" width="21.5703125" style="381" customWidth="1"/>
    <col min="1539" max="1539" width="28.28515625" style="381" customWidth="1"/>
    <col min="1540" max="1792" width="9.140625" style="381"/>
    <col min="1793" max="1793" width="67.140625" style="381" customWidth="1"/>
    <col min="1794" max="1794" width="21.5703125" style="381" customWidth="1"/>
    <col min="1795" max="1795" width="28.28515625" style="381" customWidth="1"/>
    <col min="1796" max="2048" width="9.140625" style="381"/>
    <col min="2049" max="2049" width="67.140625" style="381" customWidth="1"/>
    <col min="2050" max="2050" width="21.5703125" style="381" customWidth="1"/>
    <col min="2051" max="2051" width="28.28515625" style="381" customWidth="1"/>
    <col min="2052" max="2304" width="9.140625" style="381"/>
    <col min="2305" max="2305" width="67.140625" style="381" customWidth="1"/>
    <col min="2306" max="2306" width="21.5703125" style="381" customWidth="1"/>
    <col min="2307" max="2307" width="28.28515625" style="381" customWidth="1"/>
    <col min="2308" max="2560" width="9.140625" style="381"/>
    <col min="2561" max="2561" width="67.140625" style="381" customWidth="1"/>
    <col min="2562" max="2562" width="21.5703125" style="381" customWidth="1"/>
    <col min="2563" max="2563" width="28.28515625" style="381" customWidth="1"/>
    <col min="2564" max="2816" width="9.140625" style="381"/>
    <col min="2817" max="2817" width="67.140625" style="381" customWidth="1"/>
    <col min="2818" max="2818" width="21.5703125" style="381" customWidth="1"/>
    <col min="2819" max="2819" width="28.28515625" style="381" customWidth="1"/>
    <col min="2820" max="3072" width="9.140625" style="381"/>
    <col min="3073" max="3073" width="67.140625" style="381" customWidth="1"/>
    <col min="3074" max="3074" width="21.5703125" style="381" customWidth="1"/>
    <col min="3075" max="3075" width="28.28515625" style="381" customWidth="1"/>
    <col min="3076" max="3328" width="9.140625" style="381"/>
    <col min="3329" max="3329" width="67.140625" style="381" customWidth="1"/>
    <col min="3330" max="3330" width="21.5703125" style="381" customWidth="1"/>
    <col min="3331" max="3331" width="28.28515625" style="381" customWidth="1"/>
    <col min="3332" max="3584" width="9.140625" style="381"/>
    <col min="3585" max="3585" width="67.140625" style="381" customWidth="1"/>
    <col min="3586" max="3586" width="21.5703125" style="381" customWidth="1"/>
    <col min="3587" max="3587" width="28.28515625" style="381" customWidth="1"/>
    <col min="3588" max="3840" width="9.140625" style="381"/>
    <col min="3841" max="3841" width="67.140625" style="381" customWidth="1"/>
    <col min="3842" max="3842" width="21.5703125" style="381" customWidth="1"/>
    <col min="3843" max="3843" width="28.28515625" style="381" customWidth="1"/>
    <col min="3844" max="4096" width="9.140625" style="381"/>
    <col min="4097" max="4097" width="67.140625" style="381" customWidth="1"/>
    <col min="4098" max="4098" width="21.5703125" style="381" customWidth="1"/>
    <col min="4099" max="4099" width="28.28515625" style="381" customWidth="1"/>
    <col min="4100" max="4352" width="9.140625" style="381"/>
    <col min="4353" max="4353" width="67.140625" style="381" customWidth="1"/>
    <col min="4354" max="4354" width="21.5703125" style="381" customWidth="1"/>
    <col min="4355" max="4355" width="28.28515625" style="381" customWidth="1"/>
    <col min="4356" max="4608" width="9.140625" style="381"/>
    <col min="4609" max="4609" width="67.140625" style="381" customWidth="1"/>
    <col min="4610" max="4610" width="21.5703125" style="381" customWidth="1"/>
    <col min="4611" max="4611" width="28.28515625" style="381" customWidth="1"/>
    <col min="4612" max="4864" width="9.140625" style="381"/>
    <col min="4865" max="4865" width="67.140625" style="381" customWidth="1"/>
    <col min="4866" max="4866" width="21.5703125" style="381" customWidth="1"/>
    <col min="4867" max="4867" width="28.28515625" style="381" customWidth="1"/>
    <col min="4868" max="5120" width="9.140625" style="381"/>
    <col min="5121" max="5121" width="67.140625" style="381" customWidth="1"/>
    <col min="5122" max="5122" width="21.5703125" style="381" customWidth="1"/>
    <col min="5123" max="5123" width="28.28515625" style="381" customWidth="1"/>
    <col min="5124" max="5376" width="9.140625" style="381"/>
    <col min="5377" max="5377" width="67.140625" style="381" customWidth="1"/>
    <col min="5378" max="5378" width="21.5703125" style="381" customWidth="1"/>
    <col min="5379" max="5379" width="28.28515625" style="381" customWidth="1"/>
    <col min="5380" max="5632" width="9.140625" style="381"/>
    <col min="5633" max="5633" width="67.140625" style="381" customWidth="1"/>
    <col min="5634" max="5634" width="21.5703125" style="381" customWidth="1"/>
    <col min="5635" max="5635" width="28.28515625" style="381" customWidth="1"/>
    <col min="5636" max="5888" width="9.140625" style="381"/>
    <col min="5889" max="5889" width="67.140625" style="381" customWidth="1"/>
    <col min="5890" max="5890" width="21.5703125" style="381" customWidth="1"/>
    <col min="5891" max="5891" width="28.28515625" style="381" customWidth="1"/>
    <col min="5892" max="6144" width="9.140625" style="381"/>
    <col min="6145" max="6145" width="67.140625" style="381" customWidth="1"/>
    <col min="6146" max="6146" width="21.5703125" style="381" customWidth="1"/>
    <col min="6147" max="6147" width="28.28515625" style="381" customWidth="1"/>
    <col min="6148" max="6400" width="9.140625" style="381"/>
    <col min="6401" max="6401" width="67.140625" style="381" customWidth="1"/>
    <col min="6402" max="6402" width="21.5703125" style="381" customWidth="1"/>
    <col min="6403" max="6403" width="28.28515625" style="381" customWidth="1"/>
    <col min="6404" max="6656" width="9.140625" style="381"/>
    <col min="6657" max="6657" width="67.140625" style="381" customWidth="1"/>
    <col min="6658" max="6658" width="21.5703125" style="381" customWidth="1"/>
    <col min="6659" max="6659" width="28.28515625" style="381" customWidth="1"/>
    <col min="6660" max="6912" width="9.140625" style="381"/>
    <col min="6913" max="6913" width="67.140625" style="381" customWidth="1"/>
    <col min="6914" max="6914" width="21.5703125" style="381" customWidth="1"/>
    <col min="6915" max="6915" width="28.28515625" style="381" customWidth="1"/>
    <col min="6916" max="7168" width="9.140625" style="381"/>
    <col min="7169" max="7169" width="67.140625" style="381" customWidth="1"/>
    <col min="7170" max="7170" width="21.5703125" style="381" customWidth="1"/>
    <col min="7171" max="7171" width="28.28515625" style="381" customWidth="1"/>
    <col min="7172" max="7424" width="9.140625" style="381"/>
    <col min="7425" max="7425" width="67.140625" style="381" customWidth="1"/>
    <col min="7426" max="7426" width="21.5703125" style="381" customWidth="1"/>
    <col min="7427" max="7427" width="28.28515625" style="381" customWidth="1"/>
    <col min="7428" max="7680" width="9.140625" style="381"/>
    <col min="7681" max="7681" width="67.140625" style="381" customWidth="1"/>
    <col min="7682" max="7682" width="21.5703125" style="381" customWidth="1"/>
    <col min="7683" max="7683" width="28.28515625" style="381" customWidth="1"/>
    <col min="7684" max="7936" width="9.140625" style="381"/>
    <col min="7937" max="7937" width="67.140625" style="381" customWidth="1"/>
    <col min="7938" max="7938" width="21.5703125" style="381" customWidth="1"/>
    <col min="7939" max="7939" width="28.28515625" style="381" customWidth="1"/>
    <col min="7940" max="8192" width="9.140625" style="381"/>
    <col min="8193" max="8193" width="67.140625" style="381" customWidth="1"/>
    <col min="8194" max="8194" width="21.5703125" style="381" customWidth="1"/>
    <col min="8195" max="8195" width="28.28515625" style="381" customWidth="1"/>
    <col min="8196" max="8448" width="9.140625" style="381"/>
    <col min="8449" max="8449" width="67.140625" style="381" customWidth="1"/>
    <col min="8450" max="8450" width="21.5703125" style="381" customWidth="1"/>
    <col min="8451" max="8451" width="28.28515625" style="381" customWidth="1"/>
    <col min="8452" max="8704" width="9.140625" style="381"/>
    <col min="8705" max="8705" width="67.140625" style="381" customWidth="1"/>
    <col min="8706" max="8706" width="21.5703125" style="381" customWidth="1"/>
    <col min="8707" max="8707" width="28.28515625" style="381" customWidth="1"/>
    <col min="8708" max="8960" width="9.140625" style="381"/>
    <col min="8961" max="8961" width="67.140625" style="381" customWidth="1"/>
    <col min="8962" max="8962" width="21.5703125" style="381" customWidth="1"/>
    <col min="8963" max="8963" width="28.28515625" style="381" customWidth="1"/>
    <col min="8964" max="9216" width="9.140625" style="381"/>
    <col min="9217" max="9217" width="67.140625" style="381" customWidth="1"/>
    <col min="9218" max="9218" width="21.5703125" style="381" customWidth="1"/>
    <col min="9219" max="9219" width="28.28515625" style="381" customWidth="1"/>
    <col min="9220" max="9472" width="9.140625" style="381"/>
    <col min="9473" max="9473" width="67.140625" style="381" customWidth="1"/>
    <col min="9474" max="9474" width="21.5703125" style="381" customWidth="1"/>
    <col min="9475" max="9475" width="28.28515625" style="381" customWidth="1"/>
    <col min="9476" max="9728" width="9.140625" style="381"/>
    <col min="9729" max="9729" width="67.140625" style="381" customWidth="1"/>
    <col min="9730" max="9730" width="21.5703125" style="381" customWidth="1"/>
    <col min="9731" max="9731" width="28.28515625" style="381" customWidth="1"/>
    <col min="9732" max="9984" width="9.140625" style="381"/>
    <col min="9985" max="9985" width="67.140625" style="381" customWidth="1"/>
    <col min="9986" max="9986" width="21.5703125" style="381" customWidth="1"/>
    <col min="9987" max="9987" width="28.28515625" style="381" customWidth="1"/>
    <col min="9988" max="10240" width="9.140625" style="381"/>
    <col min="10241" max="10241" width="67.140625" style="381" customWidth="1"/>
    <col min="10242" max="10242" width="21.5703125" style="381" customWidth="1"/>
    <col min="10243" max="10243" width="28.28515625" style="381" customWidth="1"/>
    <col min="10244" max="10496" width="9.140625" style="381"/>
    <col min="10497" max="10497" width="67.140625" style="381" customWidth="1"/>
    <col min="10498" max="10498" width="21.5703125" style="381" customWidth="1"/>
    <col min="10499" max="10499" width="28.28515625" style="381" customWidth="1"/>
    <col min="10500" max="10752" width="9.140625" style="381"/>
    <col min="10753" max="10753" width="67.140625" style="381" customWidth="1"/>
    <col min="10754" max="10754" width="21.5703125" style="381" customWidth="1"/>
    <col min="10755" max="10755" width="28.28515625" style="381" customWidth="1"/>
    <col min="10756" max="11008" width="9.140625" style="381"/>
    <col min="11009" max="11009" width="67.140625" style="381" customWidth="1"/>
    <col min="11010" max="11010" width="21.5703125" style="381" customWidth="1"/>
    <col min="11011" max="11011" width="28.28515625" style="381" customWidth="1"/>
    <col min="11012" max="11264" width="9.140625" style="381"/>
    <col min="11265" max="11265" width="67.140625" style="381" customWidth="1"/>
    <col min="11266" max="11266" width="21.5703125" style="381" customWidth="1"/>
    <col min="11267" max="11267" width="28.28515625" style="381" customWidth="1"/>
    <col min="11268" max="11520" width="9.140625" style="381"/>
    <col min="11521" max="11521" width="67.140625" style="381" customWidth="1"/>
    <col min="11522" max="11522" width="21.5703125" style="381" customWidth="1"/>
    <col min="11523" max="11523" width="28.28515625" style="381" customWidth="1"/>
    <col min="11524" max="11776" width="9.140625" style="381"/>
    <col min="11777" max="11777" width="67.140625" style="381" customWidth="1"/>
    <col min="11778" max="11778" width="21.5703125" style="381" customWidth="1"/>
    <col min="11779" max="11779" width="28.28515625" style="381" customWidth="1"/>
    <col min="11780" max="12032" width="9.140625" style="381"/>
    <col min="12033" max="12033" width="67.140625" style="381" customWidth="1"/>
    <col min="12034" max="12034" width="21.5703125" style="381" customWidth="1"/>
    <col min="12035" max="12035" width="28.28515625" style="381" customWidth="1"/>
    <col min="12036" max="12288" width="9.140625" style="381"/>
    <col min="12289" max="12289" width="67.140625" style="381" customWidth="1"/>
    <col min="12290" max="12290" width="21.5703125" style="381" customWidth="1"/>
    <col min="12291" max="12291" width="28.28515625" style="381" customWidth="1"/>
    <col min="12292" max="12544" width="9.140625" style="381"/>
    <col min="12545" max="12545" width="67.140625" style="381" customWidth="1"/>
    <col min="12546" max="12546" width="21.5703125" style="381" customWidth="1"/>
    <col min="12547" max="12547" width="28.28515625" style="381" customWidth="1"/>
    <col min="12548" max="12800" width="9.140625" style="381"/>
    <col min="12801" max="12801" width="67.140625" style="381" customWidth="1"/>
    <col min="12802" max="12802" width="21.5703125" style="381" customWidth="1"/>
    <col min="12803" max="12803" width="28.28515625" style="381" customWidth="1"/>
    <col min="12804" max="13056" width="9.140625" style="381"/>
    <col min="13057" max="13057" width="67.140625" style="381" customWidth="1"/>
    <col min="13058" max="13058" width="21.5703125" style="381" customWidth="1"/>
    <col min="13059" max="13059" width="28.28515625" style="381" customWidth="1"/>
    <col min="13060" max="13312" width="9.140625" style="381"/>
    <col min="13313" max="13313" width="67.140625" style="381" customWidth="1"/>
    <col min="13314" max="13314" width="21.5703125" style="381" customWidth="1"/>
    <col min="13315" max="13315" width="28.28515625" style="381" customWidth="1"/>
    <col min="13316" max="13568" width="9.140625" style="381"/>
    <col min="13569" max="13569" width="67.140625" style="381" customWidth="1"/>
    <col min="13570" max="13570" width="21.5703125" style="381" customWidth="1"/>
    <col min="13571" max="13571" width="28.28515625" style="381" customWidth="1"/>
    <col min="13572" max="13824" width="9.140625" style="381"/>
    <col min="13825" max="13825" width="67.140625" style="381" customWidth="1"/>
    <col min="13826" max="13826" width="21.5703125" style="381" customWidth="1"/>
    <col min="13827" max="13827" width="28.28515625" style="381" customWidth="1"/>
    <col min="13828" max="14080" width="9.140625" style="381"/>
    <col min="14081" max="14081" width="67.140625" style="381" customWidth="1"/>
    <col min="14082" max="14082" width="21.5703125" style="381" customWidth="1"/>
    <col min="14083" max="14083" width="28.28515625" style="381" customWidth="1"/>
    <col min="14084" max="14336" width="9.140625" style="381"/>
    <col min="14337" max="14337" width="67.140625" style="381" customWidth="1"/>
    <col min="14338" max="14338" width="21.5703125" style="381" customWidth="1"/>
    <col min="14339" max="14339" width="28.28515625" style="381" customWidth="1"/>
    <col min="14340" max="14592" width="9.140625" style="381"/>
    <col min="14593" max="14593" width="67.140625" style="381" customWidth="1"/>
    <col min="14594" max="14594" width="21.5703125" style="381" customWidth="1"/>
    <col min="14595" max="14595" width="28.28515625" style="381" customWidth="1"/>
    <col min="14596" max="14848" width="9.140625" style="381"/>
    <col min="14849" max="14849" width="67.140625" style="381" customWidth="1"/>
    <col min="14850" max="14850" width="21.5703125" style="381" customWidth="1"/>
    <col min="14851" max="14851" width="28.28515625" style="381" customWidth="1"/>
    <col min="14852" max="15104" width="9.140625" style="381"/>
    <col min="15105" max="15105" width="67.140625" style="381" customWidth="1"/>
    <col min="15106" max="15106" width="21.5703125" style="381" customWidth="1"/>
    <col min="15107" max="15107" width="28.28515625" style="381" customWidth="1"/>
    <col min="15108" max="15360" width="9.140625" style="381"/>
    <col min="15361" max="15361" width="67.140625" style="381" customWidth="1"/>
    <col min="15362" max="15362" width="21.5703125" style="381" customWidth="1"/>
    <col min="15363" max="15363" width="28.28515625" style="381" customWidth="1"/>
    <col min="15364" max="15616" width="9.140625" style="381"/>
    <col min="15617" max="15617" width="67.140625" style="381" customWidth="1"/>
    <col min="15618" max="15618" width="21.5703125" style="381" customWidth="1"/>
    <col min="15619" max="15619" width="28.28515625" style="381" customWidth="1"/>
    <col min="15620" max="15872" width="9.140625" style="381"/>
    <col min="15873" max="15873" width="67.140625" style="381" customWidth="1"/>
    <col min="15874" max="15874" width="21.5703125" style="381" customWidth="1"/>
    <col min="15875" max="15875" width="28.28515625" style="381" customWidth="1"/>
    <col min="15876" max="16128" width="9.140625" style="381"/>
    <col min="16129" max="16129" width="67.140625" style="381" customWidth="1"/>
    <col min="16130" max="16130" width="21.5703125" style="381" customWidth="1"/>
    <col min="16131" max="16131" width="28.28515625" style="381" customWidth="1"/>
    <col min="16132" max="16384" width="9.140625" style="381"/>
  </cols>
  <sheetData>
    <row r="1" spans="1:3" s="377" customFormat="1">
      <c r="A1" s="418" t="s">
        <v>1043</v>
      </c>
      <c r="B1" s="378"/>
      <c r="C1" s="378"/>
    </row>
    <row r="2" spans="1:3" s="377" customFormat="1">
      <c r="B2" s="378"/>
      <c r="C2" s="378"/>
    </row>
    <row r="3" spans="1:3">
      <c r="A3" s="379"/>
    </row>
    <row r="4" spans="1:3" ht="15.75">
      <c r="A4" s="967" t="s">
        <v>835</v>
      </c>
      <c r="B4" s="967"/>
      <c r="C4" s="967"/>
    </row>
    <row r="5" spans="1:3" ht="15.75">
      <c r="A5" s="382"/>
      <c r="B5" s="383"/>
      <c r="C5" s="383"/>
    </row>
    <row r="6" spans="1:3" ht="15.75">
      <c r="A6" s="382"/>
      <c r="B6" s="383"/>
      <c r="C6" s="383"/>
    </row>
    <row r="7" spans="1:3" ht="15.75">
      <c r="A7" s="382"/>
      <c r="B7" s="383"/>
      <c r="C7" s="383"/>
    </row>
    <row r="8" spans="1:3" ht="16.5" thickBot="1">
      <c r="A8" s="382"/>
    </row>
    <row r="9" spans="1:3" s="385" customFormat="1" ht="32.25" customHeight="1" thickBot="1">
      <c r="A9" s="968" t="s">
        <v>568</v>
      </c>
      <c r="B9" s="970" t="s">
        <v>1011</v>
      </c>
      <c r="C9" s="384" t="s">
        <v>271</v>
      </c>
    </row>
    <row r="10" spans="1:3" s="385" customFormat="1" ht="16.5" thickBot="1">
      <c r="A10" s="968"/>
      <c r="B10" s="971"/>
      <c r="C10" s="386" t="s">
        <v>632</v>
      </c>
    </row>
    <row r="11" spans="1:3" s="385" customFormat="1" ht="16.5" thickBot="1">
      <c r="A11" s="968"/>
      <c r="B11" s="972"/>
      <c r="C11" s="387"/>
    </row>
    <row r="12" spans="1:3" ht="33" customHeight="1" thickBot="1">
      <c r="A12" s="963" t="s">
        <v>927</v>
      </c>
      <c r="B12" s="969" t="s">
        <v>571</v>
      </c>
      <c r="C12" s="969" t="s">
        <v>571</v>
      </c>
    </row>
    <row r="13" spans="1:3" ht="33" customHeight="1" thickBot="1">
      <c r="A13" s="964"/>
      <c r="B13" s="965"/>
      <c r="C13" s="965"/>
    </row>
    <row r="14" spans="1:3" ht="58.5" customHeight="1" thickBot="1">
      <c r="A14" s="388" t="s">
        <v>928</v>
      </c>
      <c r="B14" s="389" t="s">
        <v>571</v>
      </c>
      <c r="C14" s="728" t="s">
        <v>571</v>
      </c>
    </row>
    <row r="15" spans="1:3" ht="33" customHeight="1" thickBot="1">
      <c r="A15" s="963" t="s">
        <v>569</v>
      </c>
      <c r="B15" s="965">
        <v>844</v>
      </c>
      <c r="C15" s="965">
        <v>25795352</v>
      </c>
    </row>
    <row r="16" spans="1:3" ht="33" customHeight="1" thickBot="1">
      <c r="A16" s="964"/>
      <c r="B16" s="966"/>
      <c r="C16" s="966"/>
    </row>
    <row r="17" spans="1:3" s="418" customFormat="1" ht="58.5" customHeight="1" thickBot="1">
      <c r="A17" s="756" t="s">
        <v>570</v>
      </c>
      <c r="B17" s="757" t="s">
        <v>571</v>
      </c>
      <c r="C17" s="758">
        <v>1018600</v>
      </c>
    </row>
    <row r="18" spans="1:3" ht="58.5" customHeight="1" thickBot="1">
      <c r="A18" s="388" t="s">
        <v>572</v>
      </c>
      <c r="B18" s="728">
        <v>134</v>
      </c>
      <c r="C18" s="728">
        <v>2343009</v>
      </c>
    </row>
    <row r="19" spans="1:3" s="418" customFormat="1" ht="58.5" customHeight="1" thickBot="1">
      <c r="A19" s="756" t="s">
        <v>929</v>
      </c>
      <c r="B19" s="758" t="s">
        <v>571</v>
      </c>
      <c r="C19" s="758" t="s">
        <v>571</v>
      </c>
    </row>
    <row r="20" spans="1:3" s="418" customFormat="1" ht="58.5" customHeight="1" thickBot="1">
      <c r="A20" s="756" t="s">
        <v>1008</v>
      </c>
      <c r="B20" s="758">
        <v>1</v>
      </c>
      <c r="C20" s="758">
        <v>60000000</v>
      </c>
    </row>
    <row r="21" spans="1:3" ht="51.75" customHeight="1" thickBot="1">
      <c r="A21" s="756" t="s">
        <v>1009</v>
      </c>
      <c r="B21" s="390">
        <v>1</v>
      </c>
      <c r="C21" s="390">
        <v>1000000</v>
      </c>
    </row>
    <row r="22" spans="1:3" ht="51.75" customHeight="1" thickBot="1">
      <c r="A22" s="756" t="s">
        <v>1010</v>
      </c>
      <c r="B22" s="734">
        <v>1</v>
      </c>
      <c r="C22" s="734">
        <v>3900000</v>
      </c>
    </row>
  </sheetData>
  <mergeCells count="9">
    <mergeCell ref="A15:A16"/>
    <mergeCell ref="B15:B16"/>
    <mergeCell ref="C15:C16"/>
    <mergeCell ref="A4:C4"/>
    <mergeCell ref="A9:A11"/>
    <mergeCell ref="A12:A13"/>
    <mergeCell ref="B12:B13"/>
    <mergeCell ref="C12:C13"/>
    <mergeCell ref="B9:B11"/>
  </mergeCells>
  <pageMargins left="0.7" right="0.7" top="0.75" bottom="0.75" header="0.3" footer="0.3"/>
  <pageSetup paperSize="9" scale="74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41"/>
  <sheetViews>
    <sheetView view="pageBreakPreview" zoomScale="112" zoomScaleSheetLayoutView="112" workbookViewId="0"/>
  </sheetViews>
  <sheetFormatPr defaultRowHeight="15"/>
  <cols>
    <col min="1" max="1" width="9.140625" style="242"/>
    <col min="2" max="2" width="65.28515625" style="20" customWidth="1"/>
    <col min="3" max="3" width="18.85546875" style="20" customWidth="1"/>
    <col min="4" max="11" width="15.7109375" style="20" hidden="1" customWidth="1"/>
    <col min="12" max="15" width="15.7109375" style="25" hidden="1" customWidth="1"/>
    <col min="16" max="18" width="19" style="20" customWidth="1"/>
    <col min="19" max="19" width="17.140625" style="20" customWidth="1"/>
    <col min="20" max="21" width="18" style="20" customWidth="1"/>
    <col min="22" max="22" width="17.85546875" style="20" customWidth="1"/>
    <col min="23" max="257" width="9.140625" style="20"/>
    <col min="258" max="258" width="65.28515625" style="20" customWidth="1"/>
    <col min="259" max="259" width="15.140625" style="20" customWidth="1"/>
    <col min="260" max="271" width="0" style="20" hidden="1" customWidth="1"/>
    <col min="272" max="277" width="15.7109375" style="20" customWidth="1"/>
    <col min="278" max="278" width="17.85546875" style="20" customWidth="1"/>
    <col min="279" max="513" width="9.140625" style="20"/>
    <col min="514" max="514" width="65.28515625" style="20" customWidth="1"/>
    <col min="515" max="515" width="15.140625" style="20" customWidth="1"/>
    <col min="516" max="527" width="0" style="20" hidden="1" customWidth="1"/>
    <col min="528" max="533" width="15.7109375" style="20" customWidth="1"/>
    <col min="534" max="534" width="17.85546875" style="20" customWidth="1"/>
    <col min="535" max="769" width="9.140625" style="20"/>
    <col min="770" max="770" width="65.28515625" style="20" customWidth="1"/>
    <col min="771" max="771" width="15.140625" style="20" customWidth="1"/>
    <col min="772" max="783" width="0" style="20" hidden="1" customWidth="1"/>
    <col min="784" max="789" width="15.7109375" style="20" customWidth="1"/>
    <col min="790" max="790" width="17.85546875" style="20" customWidth="1"/>
    <col min="791" max="1025" width="9.140625" style="20"/>
    <col min="1026" max="1026" width="65.28515625" style="20" customWidth="1"/>
    <col min="1027" max="1027" width="15.140625" style="20" customWidth="1"/>
    <col min="1028" max="1039" width="0" style="20" hidden="1" customWidth="1"/>
    <col min="1040" max="1045" width="15.7109375" style="20" customWidth="1"/>
    <col min="1046" max="1046" width="17.85546875" style="20" customWidth="1"/>
    <col min="1047" max="1281" width="9.140625" style="20"/>
    <col min="1282" max="1282" width="65.28515625" style="20" customWidth="1"/>
    <col min="1283" max="1283" width="15.140625" style="20" customWidth="1"/>
    <col min="1284" max="1295" width="0" style="20" hidden="1" customWidth="1"/>
    <col min="1296" max="1301" width="15.7109375" style="20" customWidth="1"/>
    <col min="1302" max="1302" width="17.85546875" style="20" customWidth="1"/>
    <col min="1303" max="1537" width="9.140625" style="20"/>
    <col min="1538" max="1538" width="65.28515625" style="20" customWidth="1"/>
    <col min="1539" max="1539" width="15.140625" style="20" customWidth="1"/>
    <col min="1540" max="1551" width="0" style="20" hidden="1" customWidth="1"/>
    <col min="1552" max="1557" width="15.7109375" style="20" customWidth="1"/>
    <col min="1558" max="1558" width="17.85546875" style="20" customWidth="1"/>
    <col min="1559" max="1793" width="9.140625" style="20"/>
    <col min="1794" max="1794" width="65.28515625" style="20" customWidth="1"/>
    <col min="1795" max="1795" width="15.140625" style="20" customWidth="1"/>
    <col min="1796" max="1807" width="0" style="20" hidden="1" customWidth="1"/>
    <col min="1808" max="1813" width="15.7109375" style="20" customWidth="1"/>
    <col min="1814" max="1814" width="17.85546875" style="20" customWidth="1"/>
    <col min="1815" max="2049" width="9.140625" style="20"/>
    <col min="2050" max="2050" width="65.28515625" style="20" customWidth="1"/>
    <col min="2051" max="2051" width="15.140625" style="20" customWidth="1"/>
    <col min="2052" max="2063" width="0" style="20" hidden="1" customWidth="1"/>
    <col min="2064" max="2069" width="15.7109375" style="20" customWidth="1"/>
    <col min="2070" max="2070" width="17.85546875" style="20" customWidth="1"/>
    <col min="2071" max="2305" width="9.140625" style="20"/>
    <col min="2306" max="2306" width="65.28515625" style="20" customWidth="1"/>
    <col min="2307" max="2307" width="15.140625" style="20" customWidth="1"/>
    <col min="2308" max="2319" width="0" style="20" hidden="1" customWidth="1"/>
    <col min="2320" max="2325" width="15.7109375" style="20" customWidth="1"/>
    <col min="2326" max="2326" width="17.85546875" style="20" customWidth="1"/>
    <col min="2327" max="2561" width="9.140625" style="20"/>
    <col min="2562" max="2562" width="65.28515625" style="20" customWidth="1"/>
    <col min="2563" max="2563" width="15.140625" style="20" customWidth="1"/>
    <col min="2564" max="2575" width="0" style="20" hidden="1" customWidth="1"/>
    <col min="2576" max="2581" width="15.7109375" style="20" customWidth="1"/>
    <col min="2582" max="2582" width="17.85546875" style="20" customWidth="1"/>
    <col min="2583" max="2817" width="9.140625" style="20"/>
    <col min="2818" max="2818" width="65.28515625" style="20" customWidth="1"/>
    <col min="2819" max="2819" width="15.140625" style="20" customWidth="1"/>
    <col min="2820" max="2831" width="0" style="20" hidden="1" customWidth="1"/>
    <col min="2832" max="2837" width="15.7109375" style="20" customWidth="1"/>
    <col min="2838" max="2838" width="17.85546875" style="20" customWidth="1"/>
    <col min="2839" max="3073" width="9.140625" style="20"/>
    <col min="3074" max="3074" width="65.28515625" style="20" customWidth="1"/>
    <col min="3075" max="3075" width="15.140625" style="20" customWidth="1"/>
    <col min="3076" max="3087" width="0" style="20" hidden="1" customWidth="1"/>
    <col min="3088" max="3093" width="15.7109375" style="20" customWidth="1"/>
    <col min="3094" max="3094" width="17.85546875" style="20" customWidth="1"/>
    <col min="3095" max="3329" width="9.140625" style="20"/>
    <col min="3330" max="3330" width="65.28515625" style="20" customWidth="1"/>
    <col min="3331" max="3331" width="15.140625" style="20" customWidth="1"/>
    <col min="3332" max="3343" width="0" style="20" hidden="1" customWidth="1"/>
    <col min="3344" max="3349" width="15.7109375" style="20" customWidth="1"/>
    <col min="3350" max="3350" width="17.85546875" style="20" customWidth="1"/>
    <col min="3351" max="3585" width="9.140625" style="20"/>
    <col min="3586" max="3586" width="65.28515625" style="20" customWidth="1"/>
    <col min="3587" max="3587" width="15.140625" style="20" customWidth="1"/>
    <col min="3588" max="3599" width="0" style="20" hidden="1" customWidth="1"/>
    <col min="3600" max="3605" width="15.7109375" style="20" customWidth="1"/>
    <col min="3606" max="3606" width="17.85546875" style="20" customWidth="1"/>
    <col min="3607" max="3841" width="9.140625" style="20"/>
    <col min="3842" max="3842" width="65.28515625" style="20" customWidth="1"/>
    <col min="3843" max="3843" width="15.140625" style="20" customWidth="1"/>
    <col min="3844" max="3855" width="0" style="20" hidden="1" customWidth="1"/>
    <col min="3856" max="3861" width="15.7109375" style="20" customWidth="1"/>
    <col min="3862" max="3862" width="17.85546875" style="20" customWidth="1"/>
    <col min="3863" max="4097" width="9.140625" style="20"/>
    <col min="4098" max="4098" width="65.28515625" style="20" customWidth="1"/>
    <col min="4099" max="4099" width="15.140625" style="20" customWidth="1"/>
    <col min="4100" max="4111" width="0" style="20" hidden="1" customWidth="1"/>
    <col min="4112" max="4117" width="15.7109375" style="20" customWidth="1"/>
    <col min="4118" max="4118" width="17.85546875" style="20" customWidth="1"/>
    <col min="4119" max="4353" width="9.140625" style="20"/>
    <col min="4354" max="4354" width="65.28515625" style="20" customWidth="1"/>
    <col min="4355" max="4355" width="15.140625" style="20" customWidth="1"/>
    <col min="4356" max="4367" width="0" style="20" hidden="1" customWidth="1"/>
    <col min="4368" max="4373" width="15.7109375" style="20" customWidth="1"/>
    <col min="4374" max="4374" width="17.85546875" style="20" customWidth="1"/>
    <col min="4375" max="4609" width="9.140625" style="20"/>
    <col min="4610" max="4610" width="65.28515625" style="20" customWidth="1"/>
    <col min="4611" max="4611" width="15.140625" style="20" customWidth="1"/>
    <col min="4612" max="4623" width="0" style="20" hidden="1" customWidth="1"/>
    <col min="4624" max="4629" width="15.7109375" style="20" customWidth="1"/>
    <col min="4630" max="4630" width="17.85546875" style="20" customWidth="1"/>
    <col min="4631" max="4865" width="9.140625" style="20"/>
    <col min="4866" max="4866" width="65.28515625" style="20" customWidth="1"/>
    <col min="4867" max="4867" width="15.140625" style="20" customWidth="1"/>
    <col min="4868" max="4879" width="0" style="20" hidden="1" customWidth="1"/>
    <col min="4880" max="4885" width="15.7109375" style="20" customWidth="1"/>
    <col min="4886" max="4886" width="17.85546875" style="20" customWidth="1"/>
    <col min="4887" max="5121" width="9.140625" style="20"/>
    <col min="5122" max="5122" width="65.28515625" style="20" customWidth="1"/>
    <col min="5123" max="5123" width="15.140625" style="20" customWidth="1"/>
    <col min="5124" max="5135" width="0" style="20" hidden="1" customWidth="1"/>
    <col min="5136" max="5141" width="15.7109375" style="20" customWidth="1"/>
    <col min="5142" max="5142" width="17.85546875" style="20" customWidth="1"/>
    <col min="5143" max="5377" width="9.140625" style="20"/>
    <col min="5378" max="5378" width="65.28515625" style="20" customWidth="1"/>
    <col min="5379" max="5379" width="15.140625" style="20" customWidth="1"/>
    <col min="5380" max="5391" width="0" style="20" hidden="1" customWidth="1"/>
    <col min="5392" max="5397" width="15.7109375" style="20" customWidth="1"/>
    <col min="5398" max="5398" width="17.85546875" style="20" customWidth="1"/>
    <col min="5399" max="5633" width="9.140625" style="20"/>
    <col min="5634" max="5634" width="65.28515625" style="20" customWidth="1"/>
    <col min="5635" max="5635" width="15.140625" style="20" customWidth="1"/>
    <col min="5636" max="5647" width="0" style="20" hidden="1" customWidth="1"/>
    <col min="5648" max="5653" width="15.7109375" style="20" customWidth="1"/>
    <col min="5654" max="5654" width="17.85546875" style="20" customWidth="1"/>
    <col min="5655" max="5889" width="9.140625" style="20"/>
    <col min="5890" max="5890" width="65.28515625" style="20" customWidth="1"/>
    <col min="5891" max="5891" width="15.140625" style="20" customWidth="1"/>
    <col min="5892" max="5903" width="0" style="20" hidden="1" customWidth="1"/>
    <col min="5904" max="5909" width="15.7109375" style="20" customWidth="1"/>
    <col min="5910" max="5910" width="17.85546875" style="20" customWidth="1"/>
    <col min="5911" max="6145" width="9.140625" style="20"/>
    <col min="6146" max="6146" width="65.28515625" style="20" customWidth="1"/>
    <col min="6147" max="6147" width="15.140625" style="20" customWidth="1"/>
    <col min="6148" max="6159" width="0" style="20" hidden="1" customWidth="1"/>
    <col min="6160" max="6165" width="15.7109375" style="20" customWidth="1"/>
    <col min="6166" max="6166" width="17.85546875" style="20" customWidth="1"/>
    <col min="6167" max="6401" width="9.140625" style="20"/>
    <col min="6402" max="6402" width="65.28515625" style="20" customWidth="1"/>
    <col min="6403" max="6403" width="15.140625" style="20" customWidth="1"/>
    <col min="6404" max="6415" width="0" style="20" hidden="1" customWidth="1"/>
    <col min="6416" max="6421" width="15.7109375" style="20" customWidth="1"/>
    <col min="6422" max="6422" width="17.85546875" style="20" customWidth="1"/>
    <col min="6423" max="6657" width="9.140625" style="20"/>
    <col min="6658" max="6658" width="65.28515625" style="20" customWidth="1"/>
    <col min="6659" max="6659" width="15.140625" style="20" customWidth="1"/>
    <col min="6660" max="6671" width="0" style="20" hidden="1" customWidth="1"/>
    <col min="6672" max="6677" width="15.7109375" style="20" customWidth="1"/>
    <col min="6678" max="6678" width="17.85546875" style="20" customWidth="1"/>
    <col min="6679" max="6913" width="9.140625" style="20"/>
    <col min="6914" max="6914" width="65.28515625" style="20" customWidth="1"/>
    <col min="6915" max="6915" width="15.140625" style="20" customWidth="1"/>
    <col min="6916" max="6927" width="0" style="20" hidden="1" customWidth="1"/>
    <col min="6928" max="6933" width="15.7109375" style="20" customWidth="1"/>
    <col min="6934" max="6934" width="17.85546875" style="20" customWidth="1"/>
    <col min="6935" max="7169" width="9.140625" style="20"/>
    <col min="7170" max="7170" width="65.28515625" style="20" customWidth="1"/>
    <col min="7171" max="7171" width="15.140625" style="20" customWidth="1"/>
    <col min="7172" max="7183" width="0" style="20" hidden="1" customWidth="1"/>
    <col min="7184" max="7189" width="15.7109375" style="20" customWidth="1"/>
    <col min="7190" max="7190" width="17.85546875" style="20" customWidth="1"/>
    <col min="7191" max="7425" width="9.140625" style="20"/>
    <col min="7426" max="7426" width="65.28515625" style="20" customWidth="1"/>
    <col min="7427" max="7427" width="15.140625" style="20" customWidth="1"/>
    <col min="7428" max="7439" width="0" style="20" hidden="1" customWidth="1"/>
    <col min="7440" max="7445" width="15.7109375" style="20" customWidth="1"/>
    <col min="7446" max="7446" width="17.85546875" style="20" customWidth="1"/>
    <col min="7447" max="7681" width="9.140625" style="20"/>
    <col min="7682" max="7682" width="65.28515625" style="20" customWidth="1"/>
    <col min="7683" max="7683" width="15.140625" style="20" customWidth="1"/>
    <col min="7684" max="7695" width="0" style="20" hidden="1" customWidth="1"/>
    <col min="7696" max="7701" width="15.7109375" style="20" customWidth="1"/>
    <col min="7702" max="7702" width="17.85546875" style="20" customWidth="1"/>
    <col min="7703" max="7937" width="9.140625" style="20"/>
    <col min="7938" max="7938" width="65.28515625" style="20" customWidth="1"/>
    <col min="7939" max="7939" width="15.140625" style="20" customWidth="1"/>
    <col min="7940" max="7951" width="0" style="20" hidden="1" customWidth="1"/>
    <col min="7952" max="7957" width="15.7109375" style="20" customWidth="1"/>
    <col min="7958" max="7958" width="17.85546875" style="20" customWidth="1"/>
    <col min="7959" max="8193" width="9.140625" style="20"/>
    <col min="8194" max="8194" width="65.28515625" style="20" customWidth="1"/>
    <col min="8195" max="8195" width="15.140625" style="20" customWidth="1"/>
    <col min="8196" max="8207" width="0" style="20" hidden="1" customWidth="1"/>
    <col min="8208" max="8213" width="15.7109375" style="20" customWidth="1"/>
    <col min="8214" max="8214" width="17.85546875" style="20" customWidth="1"/>
    <col min="8215" max="8449" width="9.140625" style="20"/>
    <col min="8450" max="8450" width="65.28515625" style="20" customWidth="1"/>
    <col min="8451" max="8451" width="15.140625" style="20" customWidth="1"/>
    <col min="8452" max="8463" width="0" style="20" hidden="1" customWidth="1"/>
    <col min="8464" max="8469" width="15.7109375" style="20" customWidth="1"/>
    <col min="8470" max="8470" width="17.85546875" style="20" customWidth="1"/>
    <col min="8471" max="8705" width="9.140625" style="20"/>
    <col min="8706" max="8706" width="65.28515625" style="20" customWidth="1"/>
    <col min="8707" max="8707" width="15.140625" style="20" customWidth="1"/>
    <col min="8708" max="8719" width="0" style="20" hidden="1" customWidth="1"/>
    <col min="8720" max="8725" width="15.7109375" style="20" customWidth="1"/>
    <col min="8726" max="8726" width="17.85546875" style="20" customWidth="1"/>
    <col min="8727" max="8961" width="9.140625" style="20"/>
    <col min="8962" max="8962" width="65.28515625" style="20" customWidth="1"/>
    <col min="8963" max="8963" width="15.140625" style="20" customWidth="1"/>
    <col min="8964" max="8975" width="0" style="20" hidden="1" customWidth="1"/>
    <col min="8976" max="8981" width="15.7109375" style="20" customWidth="1"/>
    <col min="8982" max="8982" width="17.85546875" style="20" customWidth="1"/>
    <col min="8983" max="9217" width="9.140625" style="20"/>
    <col min="9218" max="9218" width="65.28515625" style="20" customWidth="1"/>
    <col min="9219" max="9219" width="15.140625" style="20" customWidth="1"/>
    <col min="9220" max="9231" width="0" style="20" hidden="1" customWidth="1"/>
    <col min="9232" max="9237" width="15.7109375" style="20" customWidth="1"/>
    <col min="9238" max="9238" width="17.85546875" style="20" customWidth="1"/>
    <col min="9239" max="9473" width="9.140625" style="20"/>
    <col min="9474" max="9474" width="65.28515625" style="20" customWidth="1"/>
    <col min="9475" max="9475" width="15.140625" style="20" customWidth="1"/>
    <col min="9476" max="9487" width="0" style="20" hidden="1" customWidth="1"/>
    <col min="9488" max="9493" width="15.7109375" style="20" customWidth="1"/>
    <col min="9494" max="9494" width="17.85546875" style="20" customWidth="1"/>
    <col min="9495" max="9729" width="9.140625" style="20"/>
    <col min="9730" max="9730" width="65.28515625" style="20" customWidth="1"/>
    <col min="9731" max="9731" width="15.140625" style="20" customWidth="1"/>
    <col min="9732" max="9743" width="0" style="20" hidden="1" customWidth="1"/>
    <col min="9744" max="9749" width="15.7109375" style="20" customWidth="1"/>
    <col min="9750" max="9750" width="17.85546875" style="20" customWidth="1"/>
    <col min="9751" max="9985" width="9.140625" style="20"/>
    <col min="9986" max="9986" width="65.28515625" style="20" customWidth="1"/>
    <col min="9987" max="9987" width="15.140625" style="20" customWidth="1"/>
    <col min="9988" max="9999" width="0" style="20" hidden="1" customWidth="1"/>
    <col min="10000" max="10005" width="15.7109375" style="20" customWidth="1"/>
    <col min="10006" max="10006" width="17.85546875" style="20" customWidth="1"/>
    <col min="10007" max="10241" width="9.140625" style="20"/>
    <col min="10242" max="10242" width="65.28515625" style="20" customWidth="1"/>
    <col min="10243" max="10243" width="15.140625" style="20" customWidth="1"/>
    <col min="10244" max="10255" width="0" style="20" hidden="1" customWidth="1"/>
    <col min="10256" max="10261" width="15.7109375" style="20" customWidth="1"/>
    <col min="10262" max="10262" width="17.85546875" style="20" customWidth="1"/>
    <col min="10263" max="10497" width="9.140625" style="20"/>
    <col min="10498" max="10498" width="65.28515625" style="20" customWidth="1"/>
    <col min="10499" max="10499" width="15.140625" style="20" customWidth="1"/>
    <col min="10500" max="10511" width="0" style="20" hidden="1" customWidth="1"/>
    <col min="10512" max="10517" width="15.7109375" style="20" customWidth="1"/>
    <col min="10518" max="10518" width="17.85546875" style="20" customWidth="1"/>
    <col min="10519" max="10753" width="9.140625" style="20"/>
    <col min="10754" max="10754" width="65.28515625" style="20" customWidth="1"/>
    <col min="10755" max="10755" width="15.140625" style="20" customWidth="1"/>
    <col min="10756" max="10767" width="0" style="20" hidden="1" customWidth="1"/>
    <col min="10768" max="10773" width="15.7109375" style="20" customWidth="1"/>
    <col min="10774" max="10774" width="17.85546875" style="20" customWidth="1"/>
    <col min="10775" max="11009" width="9.140625" style="20"/>
    <col min="11010" max="11010" width="65.28515625" style="20" customWidth="1"/>
    <col min="11011" max="11011" width="15.140625" style="20" customWidth="1"/>
    <col min="11012" max="11023" width="0" style="20" hidden="1" customWidth="1"/>
    <col min="11024" max="11029" width="15.7109375" style="20" customWidth="1"/>
    <col min="11030" max="11030" width="17.85546875" style="20" customWidth="1"/>
    <col min="11031" max="11265" width="9.140625" style="20"/>
    <col min="11266" max="11266" width="65.28515625" style="20" customWidth="1"/>
    <col min="11267" max="11267" width="15.140625" style="20" customWidth="1"/>
    <col min="11268" max="11279" width="0" style="20" hidden="1" customWidth="1"/>
    <col min="11280" max="11285" width="15.7109375" style="20" customWidth="1"/>
    <col min="11286" max="11286" width="17.85546875" style="20" customWidth="1"/>
    <col min="11287" max="11521" width="9.140625" style="20"/>
    <col min="11522" max="11522" width="65.28515625" style="20" customWidth="1"/>
    <col min="11523" max="11523" width="15.140625" style="20" customWidth="1"/>
    <col min="11524" max="11535" width="0" style="20" hidden="1" customWidth="1"/>
    <col min="11536" max="11541" width="15.7109375" style="20" customWidth="1"/>
    <col min="11542" max="11542" width="17.85546875" style="20" customWidth="1"/>
    <col min="11543" max="11777" width="9.140625" style="20"/>
    <col min="11778" max="11778" width="65.28515625" style="20" customWidth="1"/>
    <col min="11779" max="11779" width="15.140625" style="20" customWidth="1"/>
    <col min="11780" max="11791" width="0" style="20" hidden="1" customWidth="1"/>
    <col min="11792" max="11797" width="15.7109375" style="20" customWidth="1"/>
    <col min="11798" max="11798" width="17.85546875" style="20" customWidth="1"/>
    <col min="11799" max="12033" width="9.140625" style="20"/>
    <col min="12034" max="12034" width="65.28515625" style="20" customWidth="1"/>
    <col min="12035" max="12035" width="15.140625" style="20" customWidth="1"/>
    <col min="12036" max="12047" width="0" style="20" hidden="1" customWidth="1"/>
    <col min="12048" max="12053" width="15.7109375" style="20" customWidth="1"/>
    <col min="12054" max="12054" width="17.85546875" style="20" customWidth="1"/>
    <col min="12055" max="12289" width="9.140625" style="20"/>
    <col min="12290" max="12290" width="65.28515625" style="20" customWidth="1"/>
    <col min="12291" max="12291" width="15.140625" style="20" customWidth="1"/>
    <col min="12292" max="12303" width="0" style="20" hidden="1" customWidth="1"/>
    <col min="12304" max="12309" width="15.7109375" style="20" customWidth="1"/>
    <col min="12310" max="12310" width="17.85546875" style="20" customWidth="1"/>
    <col min="12311" max="12545" width="9.140625" style="20"/>
    <col min="12546" max="12546" width="65.28515625" style="20" customWidth="1"/>
    <col min="12547" max="12547" width="15.140625" style="20" customWidth="1"/>
    <col min="12548" max="12559" width="0" style="20" hidden="1" customWidth="1"/>
    <col min="12560" max="12565" width="15.7109375" style="20" customWidth="1"/>
    <col min="12566" max="12566" width="17.85546875" style="20" customWidth="1"/>
    <col min="12567" max="12801" width="9.140625" style="20"/>
    <col min="12802" max="12802" width="65.28515625" style="20" customWidth="1"/>
    <col min="12803" max="12803" width="15.140625" style="20" customWidth="1"/>
    <col min="12804" max="12815" width="0" style="20" hidden="1" customWidth="1"/>
    <col min="12816" max="12821" width="15.7109375" style="20" customWidth="1"/>
    <col min="12822" max="12822" width="17.85546875" style="20" customWidth="1"/>
    <col min="12823" max="13057" width="9.140625" style="20"/>
    <col min="13058" max="13058" width="65.28515625" style="20" customWidth="1"/>
    <col min="13059" max="13059" width="15.140625" style="20" customWidth="1"/>
    <col min="13060" max="13071" width="0" style="20" hidden="1" customWidth="1"/>
    <col min="13072" max="13077" width="15.7109375" style="20" customWidth="1"/>
    <col min="13078" max="13078" width="17.85546875" style="20" customWidth="1"/>
    <col min="13079" max="13313" width="9.140625" style="20"/>
    <col min="13314" max="13314" width="65.28515625" style="20" customWidth="1"/>
    <col min="13315" max="13315" width="15.140625" style="20" customWidth="1"/>
    <col min="13316" max="13327" width="0" style="20" hidden="1" customWidth="1"/>
    <col min="13328" max="13333" width="15.7109375" style="20" customWidth="1"/>
    <col min="13334" max="13334" width="17.85546875" style="20" customWidth="1"/>
    <col min="13335" max="13569" width="9.140625" style="20"/>
    <col min="13570" max="13570" width="65.28515625" style="20" customWidth="1"/>
    <col min="13571" max="13571" width="15.140625" style="20" customWidth="1"/>
    <col min="13572" max="13583" width="0" style="20" hidden="1" customWidth="1"/>
    <col min="13584" max="13589" width="15.7109375" style="20" customWidth="1"/>
    <col min="13590" max="13590" width="17.85546875" style="20" customWidth="1"/>
    <col min="13591" max="13825" width="9.140625" style="20"/>
    <col min="13826" max="13826" width="65.28515625" style="20" customWidth="1"/>
    <col min="13827" max="13827" width="15.140625" style="20" customWidth="1"/>
    <col min="13828" max="13839" width="0" style="20" hidden="1" customWidth="1"/>
    <col min="13840" max="13845" width="15.7109375" style="20" customWidth="1"/>
    <col min="13846" max="13846" width="17.85546875" style="20" customWidth="1"/>
    <col min="13847" max="14081" width="9.140625" style="20"/>
    <col min="14082" max="14082" width="65.28515625" style="20" customWidth="1"/>
    <col min="14083" max="14083" width="15.140625" style="20" customWidth="1"/>
    <col min="14084" max="14095" width="0" style="20" hidden="1" customWidth="1"/>
    <col min="14096" max="14101" width="15.7109375" style="20" customWidth="1"/>
    <col min="14102" max="14102" width="17.85546875" style="20" customWidth="1"/>
    <col min="14103" max="14337" width="9.140625" style="20"/>
    <col min="14338" max="14338" width="65.28515625" style="20" customWidth="1"/>
    <col min="14339" max="14339" width="15.140625" style="20" customWidth="1"/>
    <col min="14340" max="14351" width="0" style="20" hidden="1" customWidth="1"/>
    <col min="14352" max="14357" width="15.7109375" style="20" customWidth="1"/>
    <col min="14358" max="14358" width="17.85546875" style="20" customWidth="1"/>
    <col min="14359" max="14593" width="9.140625" style="20"/>
    <col min="14594" max="14594" width="65.28515625" style="20" customWidth="1"/>
    <col min="14595" max="14595" width="15.140625" style="20" customWidth="1"/>
    <col min="14596" max="14607" width="0" style="20" hidden="1" customWidth="1"/>
    <col min="14608" max="14613" width="15.7109375" style="20" customWidth="1"/>
    <col min="14614" max="14614" width="17.85546875" style="20" customWidth="1"/>
    <col min="14615" max="14849" width="9.140625" style="20"/>
    <col min="14850" max="14850" width="65.28515625" style="20" customWidth="1"/>
    <col min="14851" max="14851" width="15.140625" style="20" customWidth="1"/>
    <col min="14852" max="14863" width="0" style="20" hidden="1" customWidth="1"/>
    <col min="14864" max="14869" width="15.7109375" style="20" customWidth="1"/>
    <col min="14870" max="14870" width="17.85546875" style="20" customWidth="1"/>
    <col min="14871" max="15105" width="9.140625" style="20"/>
    <col min="15106" max="15106" width="65.28515625" style="20" customWidth="1"/>
    <col min="15107" max="15107" width="15.140625" style="20" customWidth="1"/>
    <col min="15108" max="15119" width="0" style="20" hidden="1" customWidth="1"/>
    <col min="15120" max="15125" width="15.7109375" style="20" customWidth="1"/>
    <col min="15126" max="15126" width="17.85546875" style="20" customWidth="1"/>
    <col min="15127" max="15361" width="9.140625" style="20"/>
    <col min="15362" max="15362" width="65.28515625" style="20" customWidth="1"/>
    <col min="15363" max="15363" width="15.140625" style="20" customWidth="1"/>
    <col min="15364" max="15375" width="0" style="20" hidden="1" customWidth="1"/>
    <col min="15376" max="15381" width="15.7109375" style="20" customWidth="1"/>
    <col min="15382" max="15382" width="17.85546875" style="20" customWidth="1"/>
    <col min="15383" max="15617" width="9.140625" style="20"/>
    <col min="15618" max="15618" width="65.28515625" style="20" customWidth="1"/>
    <col min="15619" max="15619" width="15.140625" style="20" customWidth="1"/>
    <col min="15620" max="15631" width="0" style="20" hidden="1" customWidth="1"/>
    <col min="15632" max="15637" width="15.7109375" style="20" customWidth="1"/>
    <col min="15638" max="15638" width="17.85546875" style="20" customWidth="1"/>
    <col min="15639" max="15873" width="9.140625" style="20"/>
    <col min="15874" max="15874" width="65.28515625" style="20" customWidth="1"/>
    <col min="15875" max="15875" width="15.140625" style="20" customWidth="1"/>
    <col min="15876" max="15887" width="0" style="20" hidden="1" customWidth="1"/>
    <col min="15888" max="15893" width="15.7109375" style="20" customWidth="1"/>
    <col min="15894" max="15894" width="17.85546875" style="20" customWidth="1"/>
    <col min="15895" max="16129" width="9.140625" style="20"/>
    <col min="16130" max="16130" width="65.28515625" style="20" customWidth="1"/>
    <col min="16131" max="16131" width="15.140625" style="20" customWidth="1"/>
    <col min="16132" max="16143" width="0" style="20" hidden="1" customWidth="1"/>
    <col min="16144" max="16149" width="15.7109375" style="20" customWidth="1"/>
    <col min="16150" max="16150" width="17.85546875" style="20" customWidth="1"/>
    <col min="16151" max="16384" width="9.140625" style="20"/>
  </cols>
  <sheetData>
    <row r="1" spans="1:23">
      <c r="A1" s="240" t="s">
        <v>1044</v>
      </c>
      <c r="B1" s="241"/>
      <c r="C1" s="241"/>
    </row>
    <row r="2" spans="1:23">
      <c r="B2" s="241"/>
      <c r="C2" s="241"/>
    </row>
    <row r="3" spans="1:23" ht="15.75">
      <c r="B3" s="984" t="s">
        <v>836</v>
      </c>
      <c r="C3" s="984"/>
      <c r="D3" s="984"/>
      <c r="E3" s="984"/>
      <c r="F3" s="984"/>
      <c r="G3" s="984"/>
      <c r="H3" s="984"/>
      <c r="I3" s="984"/>
      <c r="J3" s="984"/>
      <c r="K3" s="984"/>
      <c r="L3" s="984"/>
      <c r="M3" s="984"/>
      <c r="N3" s="984"/>
      <c r="O3" s="984"/>
      <c r="P3" s="984"/>
      <c r="Q3" s="984"/>
      <c r="R3" s="984"/>
      <c r="S3" s="984"/>
      <c r="T3" s="984"/>
      <c r="U3" s="984"/>
      <c r="V3" s="984"/>
      <c r="W3" s="984"/>
    </row>
    <row r="4" spans="1:23" ht="15.75">
      <c r="A4" s="985" t="s">
        <v>420</v>
      </c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985"/>
      <c r="W4" s="985"/>
    </row>
    <row r="5" spans="1:23" ht="15.75">
      <c r="B5" s="133"/>
      <c r="C5" s="133"/>
      <c r="D5" s="133"/>
      <c r="E5" s="133"/>
      <c r="F5" s="133"/>
      <c r="G5" s="133"/>
    </row>
    <row r="6" spans="1:23" ht="15.75">
      <c r="B6" s="133"/>
      <c r="C6" s="133"/>
      <c r="D6" s="133"/>
      <c r="E6" s="133"/>
      <c r="F6" s="133"/>
      <c r="G6" s="133"/>
    </row>
    <row r="7" spans="1:23" ht="15.75" thickBot="1">
      <c r="A7" s="986" t="s">
        <v>7</v>
      </c>
      <c r="B7" s="986"/>
      <c r="C7" s="986"/>
      <c r="D7" s="986"/>
      <c r="E7" s="986"/>
      <c r="F7" s="986"/>
      <c r="G7" s="986"/>
      <c r="H7" s="986"/>
      <c r="I7" s="986"/>
      <c r="J7" s="986"/>
      <c r="K7" s="986"/>
      <c r="L7" s="986"/>
      <c r="M7" s="986"/>
      <c r="N7" s="986"/>
      <c r="O7" s="986"/>
      <c r="P7" s="986"/>
      <c r="Q7" s="986"/>
      <c r="R7" s="986"/>
      <c r="S7" s="986"/>
      <c r="T7" s="986"/>
      <c r="U7" s="986"/>
      <c r="V7" s="986"/>
      <c r="W7" s="243"/>
    </row>
    <row r="8" spans="1:23" s="244" customFormat="1" ht="15" customHeight="1" thickBot="1">
      <c r="A8" s="987" t="s">
        <v>421</v>
      </c>
      <c r="B8" s="990" t="s">
        <v>0</v>
      </c>
      <c r="C8" s="991"/>
      <c r="D8" s="996" t="s">
        <v>371</v>
      </c>
      <c r="E8" s="997"/>
      <c r="F8" s="997"/>
      <c r="G8" s="998"/>
      <c r="H8" s="999" t="s">
        <v>372</v>
      </c>
      <c r="I8" s="1000"/>
      <c r="J8" s="1000"/>
      <c r="K8" s="1001"/>
      <c r="L8" s="999" t="s">
        <v>384</v>
      </c>
      <c r="M8" s="1000"/>
      <c r="N8" s="1000"/>
      <c r="O8" s="1001"/>
      <c r="P8" s="999" t="s">
        <v>422</v>
      </c>
      <c r="Q8" s="1000"/>
      <c r="R8" s="1000"/>
      <c r="S8" s="1000"/>
      <c r="T8" s="1000"/>
      <c r="U8" s="1001"/>
      <c r="V8" s="1002" t="s">
        <v>455</v>
      </c>
    </row>
    <row r="9" spans="1:23" s="244" customFormat="1" ht="15" customHeight="1" thickBot="1">
      <c r="A9" s="988"/>
      <c r="B9" s="992"/>
      <c r="C9" s="993"/>
      <c r="D9" s="977" t="s">
        <v>423</v>
      </c>
      <c r="E9" s="978"/>
      <c r="F9" s="975" t="s">
        <v>424</v>
      </c>
      <c r="G9" s="976"/>
      <c r="H9" s="977" t="s">
        <v>423</v>
      </c>
      <c r="I9" s="978"/>
      <c r="J9" s="975" t="s">
        <v>424</v>
      </c>
      <c r="K9" s="976"/>
      <c r="L9" s="977" t="s">
        <v>423</v>
      </c>
      <c r="M9" s="978"/>
      <c r="N9" s="975" t="s">
        <v>424</v>
      </c>
      <c r="O9" s="976"/>
      <c r="P9" s="977" t="s">
        <v>423</v>
      </c>
      <c r="Q9" s="1005"/>
      <c r="R9" s="978"/>
      <c r="S9" s="975" t="s">
        <v>424</v>
      </c>
      <c r="T9" s="1006"/>
      <c r="U9" s="976"/>
      <c r="V9" s="1003"/>
    </row>
    <row r="10" spans="1:23" s="244" customFormat="1" ht="29.25" thickBot="1">
      <c r="A10" s="989"/>
      <c r="B10" s="994"/>
      <c r="C10" s="995"/>
      <c r="D10" s="245" t="s">
        <v>343</v>
      </c>
      <c r="E10" s="245" t="s">
        <v>344</v>
      </c>
      <c r="F10" s="245" t="s">
        <v>343</v>
      </c>
      <c r="G10" s="245" t="s">
        <v>344</v>
      </c>
      <c r="H10" s="245" t="s">
        <v>343</v>
      </c>
      <c r="I10" s="245" t="s">
        <v>344</v>
      </c>
      <c r="J10" s="245" t="s">
        <v>343</v>
      </c>
      <c r="K10" s="245" t="s">
        <v>344</v>
      </c>
      <c r="L10" s="245" t="s">
        <v>343</v>
      </c>
      <c r="M10" s="245" t="s">
        <v>344</v>
      </c>
      <c r="N10" s="245" t="s">
        <v>343</v>
      </c>
      <c r="O10" s="245" t="s">
        <v>344</v>
      </c>
      <c r="P10" s="245" t="s">
        <v>343</v>
      </c>
      <c r="Q10" s="245" t="s">
        <v>344</v>
      </c>
      <c r="R10" s="245" t="s">
        <v>285</v>
      </c>
      <c r="S10" s="245" t="s">
        <v>343</v>
      </c>
      <c r="T10" s="245" t="s">
        <v>344</v>
      </c>
      <c r="U10" s="245" t="s">
        <v>285</v>
      </c>
      <c r="V10" s="1004"/>
    </row>
    <row r="11" spans="1:23">
      <c r="A11" s="246"/>
      <c r="B11" s="247" t="s">
        <v>425</v>
      </c>
      <c r="C11" s="248"/>
      <c r="D11" s="249"/>
      <c r="E11" s="249"/>
      <c r="F11" s="249"/>
      <c r="G11" s="249"/>
      <c r="H11" s="249"/>
      <c r="I11" s="249"/>
      <c r="J11" s="249"/>
      <c r="K11" s="249"/>
      <c r="L11" s="250"/>
      <c r="M11" s="250"/>
      <c r="N11" s="250"/>
      <c r="O11" s="250"/>
      <c r="P11" s="251"/>
      <c r="Q11" s="250"/>
      <c r="R11" s="251"/>
      <c r="S11" s="251"/>
      <c r="T11" s="251"/>
      <c r="U11" s="251"/>
      <c r="V11" s="252"/>
    </row>
    <row r="12" spans="1:23" s="19" customFormat="1">
      <c r="A12" s="981" t="s">
        <v>426</v>
      </c>
      <c r="B12" s="253" t="s">
        <v>332</v>
      </c>
      <c r="C12" s="254"/>
      <c r="D12" s="255">
        <v>1608914</v>
      </c>
      <c r="E12" s="255">
        <v>1504362</v>
      </c>
      <c r="F12" s="255"/>
      <c r="G12" s="255"/>
      <c r="H12" s="255">
        <v>16660</v>
      </c>
      <c r="I12" s="255">
        <v>149266</v>
      </c>
      <c r="J12" s="255"/>
      <c r="K12" s="255"/>
      <c r="L12" s="256"/>
      <c r="M12" s="256"/>
      <c r="N12" s="256"/>
      <c r="O12" s="256"/>
      <c r="P12" s="255">
        <f>SUM('6. sz. melléklet'!D89)</f>
        <v>1758904909</v>
      </c>
      <c r="Q12" s="255">
        <f>SUM('6. sz. melléklet'!E89)</f>
        <v>2499293583</v>
      </c>
      <c r="R12" s="255">
        <f>SUM('6. sz. melléklet'!F89)</f>
        <v>2446203530</v>
      </c>
      <c r="S12" s="255"/>
      <c r="T12" s="255"/>
      <c r="U12" s="255"/>
      <c r="V12" s="257"/>
    </row>
    <row r="13" spans="1:23" s="19" customFormat="1">
      <c r="A13" s="982"/>
      <c r="B13" s="253" t="s">
        <v>427</v>
      </c>
      <c r="C13" s="254"/>
      <c r="D13" s="255"/>
      <c r="E13" s="255"/>
      <c r="F13" s="255"/>
      <c r="G13" s="255"/>
      <c r="H13" s="255"/>
      <c r="I13" s="255"/>
      <c r="J13" s="255"/>
      <c r="K13" s="255"/>
      <c r="L13" s="256"/>
      <c r="M13" s="256"/>
      <c r="N13" s="256"/>
      <c r="O13" s="256"/>
      <c r="P13" s="255"/>
      <c r="Q13" s="256"/>
      <c r="R13" s="255"/>
      <c r="S13" s="255"/>
      <c r="T13" s="255"/>
      <c r="U13" s="255"/>
      <c r="V13" s="257"/>
    </row>
    <row r="14" spans="1:23" s="19" customFormat="1">
      <c r="A14" s="982"/>
      <c r="B14" s="258" t="s">
        <v>428</v>
      </c>
      <c r="C14" s="255"/>
      <c r="D14" s="255"/>
      <c r="E14" s="255"/>
      <c r="F14" s="255"/>
      <c r="G14" s="255"/>
      <c r="H14" s="255"/>
      <c r="I14" s="255"/>
      <c r="J14" s="255"/>
      <c r="K14" s="255"/>
      <c r="L14" s="256"/>
      <c r="M14" s="256"/>
      <c r="N14" s="256"/>
      <c r="O14" s="256"/>
      <c r="P14" s="255"/>
      <c r="Q14" s="256"/>
      <c r="R14" s="255"/>
      <c r="S14" s="255"/>
      <c r="T14" s="255"/>
      <c r="U14" s="255"/>
      <c r="V14" s="257"/>
    </row>
    <row r="15" spans="1:23" s="19" customFormat="1">
      <c r="A15" s="982"/>
      <c r="B15" s="253" t="s">
        <v>429</v>
      </c>
      <c r="C15" s="255"/>
      <c r="D15" s="255"/>
      <c r="E15" s="255"/>
      <c r="F15" s="255"/>
      <c r="G15" s="255"/>
      <c r="H15" s="255"/>
      <c r="I15" s="255"/>
      <c r="J15" s="255"/>
      <c r="K15" s="255"/>
      <c r="L15" s="256"/>
      <c r="M15" s="256"/>
      <c r="N15" s="256"/>
      <c r="O15" s="256"/>
      <c r="P15" s="255"/>
      <c r="Q15" s="256"/>
      <c r="R15" s="255"/>
      <c r="S15" s="255"/>
      <c r="T15" s="255"/>
      <c r="U15" s="255"/>
      <c r="V15" s="257"/>
    </row>
    <row r="16" spans="1:23" s="19" customFormat="1">
      <c r="A16" s="983"/>
      <c r="B16" s="253" t="s">
        <v>452</v>
      </c>
      <c r="C16" s="255"/>
      <c r="D16" s="255"/>
      <c r="E16" s="255">
        <v>515463</v>
      </c>
      <c r="F16" s="255"/>
      <c r="G16" s="255"/>
      <c r="H16" s="255"/>
      <c r="I16" s="255"/>
      <c r="J16" s="255"/>
      <c r="K16" s="255"/>
      <c r="L16" s="256"/>
      <c r="M16" s="256"/>
      <c r="N16" s="256"/>
      <c r="O16" s="256"/>
      <c r="P16" s="255"/>
      <c r="Q16" s="256"/>
      <c r="R16" s="255"/>
      <c r="S16" s="255"/>
      <c r="T16" s="255"/>
      <c r="U16" s="255"/>
      <c r="V16" s="257"/>
    </row>
    <row r="17" spans="1:22">
      <c r="A17" s="259" t="s">
        <v>430</v>
      </c>
      <c r="B17" s="260" t="s">
        <v>431</v>
      </c>
      <c r="C17" s="261"/>
      <c r="D17" s="255">
        <v>581900</v>
      </c>
      <c r="E17" s="255">
        <v>384599</v>
      </c>
      <c r="F17" s="255"/>
      <c r="G17" s="255"/>
      <c r="H17" s="255"/>
      <c r="I17" s="255"/>
      <c r="J17" s="255"/>
      <c r="K17" s="255"/>
      <c r="L17" s="256">
        <v>500</v>
      </c>
      <c r="M17" s="256">
        <v>204801</v>
      </c>
      <c r="N17" s="256"/>
      <c r="O17" s="256"/>
      <c r="P17" s="255">
        <f>SUM('6. sz. melléklet'!D106)</f>
        <v>650730000</v>
      </c>
      <c r="Q17" s="255">
        <f>SUM('6. sz. melléklet'!E106)</f>
        <v>690730000</v>
      </c>
      <c r="R17" s="255">
        <f>SUM('6. sz. melléklet'!F106)</f>
        <v>692378730</v>
      </c>
      <c r="S17" s="255"/>
      <c r="T17" s="255"/>
      <c r="U17" s="255"/>
      <c r="V17" s="262"/>
    </row>
    <row r="18" spans="1:22">
      <c r="A18" s="259" t="s">
        <v>432</v>
      </c>
      <c r="B18" s="258" t="s">
        <v>433</v>
      </c>
      <c r="C18" s="263"/>
      <c r="D18" s="255">
        <v>442024</v>
      </c>
      <c r="E18" s="255">
        <v>118250</v>
      </c>
      <c r="F18" s="255"/>
      <c r="G18" s="255"/>
      <c r="H18" s="255">
        <v>11500</v>
      </c>
      <c r="I18" s="255">
        <v>253392</v>
      </c>
      <c r="J18" s="255"/>
      <c r="K18" s="255"/>
      <c r="L18" s="256"/>
      <c r="M18" s="256"/>
      <c r="N18" s="256"/>
      <c r="O18" s="256"/>
      <c r="P18" s="255">
        <f>SUM('6. sz. melléklet'!D107)</f>
        <v>501664953</v>
      </c>
      <c r="Q18" s="255">
        <f>SUM('6. sz. melléklet'!E107)</f>
        <v>473723573</v>
      </c>
      <c r="R18" s="255">
        <f>SUM('6. sz. melléklet'!F107)</f>
        <v>331358543</v>
      </c>
      <c r="S18" s="255"/>
      <c r="T18" s="255"/>
      <c r="U18" s="255"/>
      <c r="V18" s="262"/>
    </row>
    <row r="19" spans="1:22">
      <c r="A19" s="264" t="s">
        <v>453</v>
      </c>
      <c r="B19" s="258" t="s">
        <v>434</v>
      </c>
      <c r="C19" s="263"/>
      <c r="D19" s="255"/>
      <c r="E19" s="255">
        <v>8650</v>
      </c>
      <c r="F19" s="255"/>
      <c r="G19" s="255"/>
      <c r="H19" s="255"/>
      <c r="I19" s="255"/>
      <c r="J19" s="255"/>
      <c r="K19" s="255"/>
      <c r="L19" s="256"/>
      <c r="M19" s="256"/>
      <c r="N19" s="256"/>
      <c r="O19" s="256"/>
      <c r="P19" s="255">
        <f>SUM('6. sz. melléklet'!D112)</f>
        <v>0</v>
      </c>
      <c r="Q19" s="255">
        <f>SUM('6. sz. melléklet'!E112)</f>
        <v>0</v>
      </c>
      <c r="R19" s="255">
        <f>SUM('6. sz. melléklet'!F112)</f>
        <v>9600000</v>
      </c>
      <c r="S19" s="255"/>
      <c r="T19" s="255"/>
      <c r="U19" s="255"/>
      <c r="V19" s="262"/>
    </row>
    <row r="20" spans="1:22">
      <c r="A20" s="259" t="s">
        <v>435</v>
      </c>
      <c r="B20" s="260" t="s">
        <v>403</v>
      </c>
      <c r="C20" s="261"/>
      <c r="D20" s="255"/>
      <c r="E20" s="255"/>
      <c r="F20" s="255">
        <f>686733-2717-47096</f>
        <v>636920</v>
      </c>
      <c r="G20" s="255">
        <v>1007644</v>
      </c>
      <c r="H20" s="255"/>
      <c r="I20" s="255"/>
      <c r="J20" s="255">
        <f>42737+2717</f>
        <v>45454</v>
      </c>
      <c r="K20" s="255">
        <v>47821</v>
      </c>
      <c r="L20" s="256"/>
      <c r="M20" s="256"/>
      <c r="N20" s="256">
        <v>47096</v>
      </c>
      <c r="O20" s="256">
        <v>47096</v>
      </c>
      <c r="P20" s="255"/>
      <c r="Q20" s="256">
        <f t="shared" ref="Q20:Q24" si="0">SUM(E20,I20,M20)</f>
        <v>0</v>
      </c>
      <c r="R20" s="255"/>
      <c r="S20" s="256">
        <f>SUM('10. sz. melléklet'!B19)</f>
        <v>887761150</v>
      </c>
      <c r="T20" s="256">
        <f>SUM('10. sz. melléklet'!C19)</f>
        <v>1305707868</v>
      </c>
      <c r="U20" s="256">
        <f>SUM('10. sz. melléklet'!D19)</f>
        <v>1297033313</v>
      </c>
      <c r="V20" s="575"/>
    </row>
    <row r="21" spans="1:22">
      <c r="A21" s="259" t="s">
        <v>436</v>
      </c>
      <c r="B21" s="258" t="s">
        <v>404</v>
      </c>
      <c r="C21" s="263"/>
      <c r="D21" s="255"/>
      <c r="E21" s="255"/>
      <c r="F21" s="255">
        <f>181065-734-12716</f>
        <v>167615</v>
      </c>
      <c r="G21" s="255">
        <v>222862</v>
      </c>
      <c r="H21" s="255"/>
      <c r="I21" s="255"/>
      <c r="J21" s="255">
        <f>12220+734</f>
        <v>12954</v>
      </c>
      <c r="K21" s="255">
        <v>14238</v>
      </c>
      <c r="L21" s="256"/>
      <c r="M21" s="256"/>
      <c r="N21" s="256">
        <v>12716</v>
      </c>
      <c r="O21" s="256">
        <v>12716</v>
      </c>
      <c r="P21" s="255"/>
      <c r="Q21" s="256">
        <f t="shared" si="0"/>
        <v>0</v>
      </c>
      <c r="R21" s="255"/>
      <c r="S21" s="256">
        <f>SUM('10. sz. melléklet'!F19)</f>
        <v>173440341</v>
      </c>
      <c r="T21" s="256">
        <f>SUM('10. sz. melléklet'!G19)</f>
        <v>251684344</v>
      </c>
      <c r="U21" s="256">
        <f>SUM('10. sz. melléklet'!H19)</f>
        <v>239861804</v>
      </c>
      <c r="V21" s="575"/>
    </row>
    <row r="22" spans="1:22">
      <c r="A22" s="259" t="s">
        <v>437</v>
      </c>
      <c r="B22" s="258" t="s">
        <v>405</v>
      </c>
      <c r="C22" s="263"/>
      <c r="D22" s="265"/>
      <c r="E22" s="265"/>
      <c r="F22" s="265">
        <f>586352-22709-17667</f>
        <v>545976</v>
      </c>
      <c r="G22" s="265">
        <v>589248</v>
      </c>
      <c r="H22" s="265"/>
      <c r="I22" s="265"/>
      <c r="J22" s="265">
        <f>60987+22709</f>
        <v>83696</v>
      </c>
      <c r="K22" s="265">
        <v>178545</v>
      </c>
      <c r="L22" s="266"/>
      <c r="M22" s="266"/>
      <c r="N22" s="266">
        <v>17667</v>
      </c>
      <c r="O22" s="256">
        <v>17667</v>
      </c>
      <c r="P22" s="255"/>
      <c r="Q22" s="256">
        <f t="shared" si="0"/>
        <v>0</v>
      </c>
      <c r="R22" s="255"/>
      <c r="S22" s="256">
        <f>SUM('10. sz. melléklet'!J19)</f>
        <v>878854608</v>
      </c>
      <c r="T22" s="256">
        <f>SUM('10. sz. melléklet'!K19)</f>
        <v>1060872818</v>
      </c>
      <c r="U22" s="256">
        <f>SUM('10. sz. melléklet'!L19)</f>
        <v>803519713</v>
      </c>
      <c r="V22" s="575"/>
    </row>
    <row r="23" spans="1:22" ht="21.75" customHeight="1">
      <c r="A23" s="259" t="s">
        <v>438</v>
      </c>
      <c r="B23" s="260" t="s">
        <v>439</v>
      </c>
      <c r="C23" s="261"/>
      <c r="D23" s="265"/>
      <c r="E23" s="265"/>
      <c r="F23" s="265">
        <f>244297-94027</f>
        <v>150270</v>
      </c>
      <c r="G23" s="265">
        <v>38119</v>
      </c>
      <c r="H23" s="265"/>
      <c r="I23" s="265"/>
      <c r="J23" s="265">
        <v>5730</v>
      </c>
      <c r="K23" s="265">
        <v>5730</v>
      </c>
      <c r="L23" s="266"/>
      <c r="M23" s="266"/>
      <c r="N23" s="266">
        <v>94027</v>
      </c>
      <c r="O23" s="256">
        <v>127322</v>
      </c>
      <c r="P23" s="255"/>
      <c r="Q23" s="256">
        <f t="shared" si="0"/>
        <v>0</v>
      </c>
      <c r="R23" s="255"/>
      <c r="S23" s="256">
        <f>SUM('10. sz. melléklet'!N19)</f>
        <v>61790000</v>
      </c>
      <c r="T23" s="256">
        <f>SUM('10. sz. melléklet'!O19)</f>
        <v>83407500</v>
      </c>
      <c r="U23" s="256">
        <f>SUM('10. sz. melléklet'!P19)</f>
        <v>60134588</v>
      </c>
      <c r="V23" s="575"/>
    </row>
    <row r="24" spans="1:22" ht="15.75" thickBot="1">
      <c r="A24" s="259" t="s">
        <v>440</v>
      </c>
      <c r="B24" s="260" t="s">
        <v>407</v>
      </c>
      <c r="C24" s="261"/>
      <c r="D24" s="255"/>
      <c r="E24" s="255"/>
      <c r="F24" s="255">
        <v>718143</v>
      </c>
      <c r="G24" s="255">
        <v>857708</v>
      </c>
      <c r="H24" s="255"/>
      <c r="I24" s="255"/>
      <c r="J24" s="255">
        <v>115328</v>
      </c>
      <c r="K24" s="255">
        <v>156324</v>
      </c>
      <c r="L24" s="256"/>
      <c r="M24" s="256"/>
      <c r="N24" s="256"/>
      <c r="O24" s="256"/>
      <c r="P24" s="255"/>
      <c r="Q24" s="256">
        <f t="shared" si="0"/>
        <v>0</v>
      </c>
      <c r="R24" s="255"/>
      <c r="S24" s="256">
        <f>SUM('10. sz. melléklet'!R19)</f>
        <v>1774724646</v>
      </c>
      <c r="T24" s="256">
        <f>SUM('10. sz. melléklet'!S19)</f>
        <v>2828134073</v>
      </c>
      <c r="U24" s="256">
        <f>SUM('10. sz. melléklet'!T19)</f>
        <v>1038253351</v>
      </c>
      <c r="V24" s="575"/>
    </row>
    <row r="25" spans="1:22" ht="15.75" customHeight="1" thickBot="1">
      <c r="A25" s="979" t="s">
        <v>442</v>
      </c>
      <c r="B25" s="980"/>
      <c r="C25" s="269"/>
      <c r="D25" s="270" t="e">
        <f>SUM(D12+D17+D18+#REF!)</f>
        <v>#REF!</v>
      </c>
      <c r="E25" s="270" t="e">
        <f>SUM(E12,E16,E17,E18,E19,#REF!,#REF!)</f>
        <v>#REF!</v>
      </c>
      <c r="F25" s="270" t="e">
        <f>SUM(F20+F21+F22+F23+F24+#REF!)</f>
        <v>#REF!</v>
      </c>
      <c r="G25" s="270" t="e">
        <f>SUM(G20+G21+G22+G23+G24+#REF!)</f>
        <v>#REF!</v>
      </c>
      <c r="H25" s="270" t="e">
        <f>SUM(H12+H17+H18+#REF!)</f>
        <v>#REF!</v>
      </c>
      <c r="I25" s="270" t="e">
        <f>SUM(I12,I16,I17,I18,I19,#REF!,#REF!)</f>
        <v>#REF!</v>
      </c>
      <c r="J25" s="270" t="e">
        <f>SUM(J20+J21+J22+J23+J24+#REF!)</f>
        <v>#REF!</v>
      </c>
      <c r="K25" s="270" t="e">
        <f>SUM(K20+K21+K22+K23+K24+#REF!)</f>
        <v>#REF!</v>
      </c>
      <c r="L25" s="271" t="e">
        <f>SUM(L12+L17+L18+#REF!)</f>
        <v>#REF!</v>
      </c>
      <c r="M25" s="271" t="e">
        <f>SUM(M12+M17+M18+#REF!)</f>
        <v>#REF!</v>
      </c>
      <c r="N25" s="271" t="e">
        <f>SUM(N20+N21+N22+N23+N24+#REF!)</f>
        <v>#REF!</v>
      </c>
      <c r="O25" s="271" t="e">
        <f>SUM(O20+O21+O22+O23+O24+#REF!)</f>
        <v>#REF!</v>
      </c>
      <c r="P25" s="270">
        <f t="shared" ref="P25:U25" si="1">SUM(P12:P24)</f>
        <v>2911299862</v>
      </c>
      <c r="Q25" s="270">
        <f t="shared" si="1"/>
        <v>3663747156</v>
      </c>
      <c r="R25" s="270">
        <f t="shared" si="1"/>
        <v>3479540803</v>
      </c>
      <c r="S25" s="271">
        <f t="shared" si="1"/>
        <v>3776570745</v>
      </c>
      <c r="T25" s="271">
        <f t="shared" si="1"/>
        <v>5529806603</v>
      </c>
      <c r="U25" s="271">
        <f t="shared" si="1"/>
        <v>3438802769</v>
      </c>
      <c r="V25" s="576">
        <f>R25-U25</f>
        <v>40738034</v>
      </c>
    </row>
    <row r="26" spans="1:22">
      <c r="A26" s="272"/>
      <c r="B26" s="273" t="s">
        <v>443</v>
      </c>
      <c r="C26" s="274"/>
      <c r="D26" s="251"/>
      <c r="E26" s="251"/>
      <c r="F26" s="251"/>
      <c r="G26" s="251"/>
      <c r="H26" s="251"/>
      <c r="I26" s="251"/>
      <c r="J26" s="251"/>
      <c r="K26" s="251"/>
      <c r="L26" s="250"/>
      <c r="M26" s="250"/>
      <c r="N26" s="250"/>
      <c r="O26" s="250"/>
      <c r="P26" s="251"/>
      <c r="Q26" s="250"/>
      <c r="R26" s="251"/>
      <c r="S26" s="250"/>
      <c r="T26" s="250"/>
      <c r="U26" s="250"/>
      <c r="V26" s="577"/>
    </row>
    <row r="27" spans="1:22">
      <c r="A27" s="259" t="s">
        <v>444</v>
      </c>
      <c r="B27" s="260" t="s">
        <v>333</v>
      </c>
      <c r="C27" s="261"/>
      <c r="D27" s="255"/>
      <c r="E27" s="255">
        <v>114682</v>
      </c>
      <c r="F27" s="255"/>
      <c r="G27" s="255"/>
      <c r="H27" s="255">
        <v>689612</v>
      </c>
      <c r="I27" s="255">
        <v>728638</v>
      </c>
      <c r="J27" s="255"/>
      <c r="K27" s="255"/>
      <c r="L27" s="256"/>
      <c r="M27" s="256"/>
      <c r="N27" s="256"/>
      <c r="O27" s="256"/>
      <c r="P27" s="255">
        <f>SUM('6. sz. melléklet'!D90)</f>
        <v>215340000</v>
      </c>
      <c r="Q27" s="255">
        <f>SUM('6. sz. melléklet'!E90)</f>
        <v>1489325539</v>
      </c>
      <c r="R27" s="255">
        <f>SUM('6. sz. melléklet'!F90)</f>
        <v>1486825539</v>
      </c>
      <c r="S27" s="256"/>
      <c r="T27" s="256"/>
      <c r="U27" s="256"/>
      <c r="V27" s="575"/>
    </row>
    <row r="28" spans="1:22">
      <c r="A28" s="259" t="s">
        <v>445</v>
      </c>
      <c r="B28" s="260" t="s">
        <v>336</v>
      </c>
      <c r="C28" s="261"/>
      <c r="D28" s="255"/>
      <c r="E28" s="255">
        <v>10300</v>
      </c>
      <c r="F28" s="255"/>
      <c r="G28" s="255"/>
      <c r="H28" s="255">
        <v>46545</v>
      </c>
      <c r="I28" s="255">
        <v>369</v>
      </c>
      <c r="J28" s="255"/>
      <c r="K28" s="255"/>
      <c r="L28" s="256"/>
      <c r="M28" s="256"/>
      <c r="N28" s="256"/>
      <c r="O28" s="256"/>
      <c r="P28" s="255">
        <f>SUM('6. sz. melléklet'!D111)</f>
        <v>129101736</v>
      </c>
      <c r="Q28" s="255">
        <f>SUM('6. sz. melléklet'!E111)</f>
        <v>129101736</v>
      </c>
      <c r="R28" s="255">
        <f>SUM('6. sz. melléklet'!F111)</f>
        <v>5957165</v>
      </c>
      <c r="S28" s="256"/>
      <c r="T28" s="256"/>
      <c r="U28" s="256"/>
      <c r="V28" s="575"/>
    </row>
    <row r="29" spans="1:22">
      <c r="A29" s="264" t="s">
        <v>454</v>
      </c>
      <c r="B29" s="260" t="s">
        <v>446</v>
      </c>
      <c r="C29" s="261"/>
      <c r="D29" s="255"/>
      <c r="E29" s="255">
        <v>2162</v>
      </c>
      <c r="F29" s="255"/>
      <c r="G29" s="255"/>
      <c r="H29" s="255"/>
      <c r="I29" s="255"/>
      <c r="J29" s="255"/>
      <c r="K29" s="255"/>
      <c r="L29" s="256"/>
      <c r="M29" s="256"/>
      <c r="N29" s="256"/>
      <c r="O29" s="256"/>
      <c r="P29" s="255">
        <f>SUM('6. sz. melléklet'!D113)</f>
        <v>0</v>
      </c>
      <c r="Q29" s="255">
        <f>SUM('6. sz. melléklet'!E113)</f>
        <v>1878840</v>
      </c>
      <c r="R29" s="255">
        <f>SUM('6. sz. melléklet'!F113)</f>
        <v>2273616</v>
      </c>
      <c r="S29" s="256"/>
      <c r="T29" s="256"/>
      <c r="U29" s="256"/>
      <c r="V29" s="575"/>
    </row>
    <row r="30" spans="1:22" ht="29.25" customHeight="1">
      <c r="A30" s="259" t="s">
        <v>447</v>
      </c>
      <c r="B30" s="260" t="s">
        <v>408</v>
      </c>
      <c r="C30" s="261"/>
      <c r="D30" s="255"/>
      <c r="E30" s="255"/>
      <c r="F30" s="255">
        <v>3015</v>
      </c>
      <c r="G30" s="255">
        <v>24463</v>
      </c>
      <c r="H30" s="255"/>
      <c r="I30" s="255"/>
      <c r="J30" s="255">
        <v>53998</v>
      </c>
      <c r="K30" s="255">
        <v>94305</v>
      </c>
      <c r="L30" s="256"/>
      <c r="M30" s="256"/>
      <c r="N30" s="256"/>
      <c r="O30" s="256"/>
      <c r="P30" s="255"/>
      <c r="Q30" s="255">
        <f t="shared" ref="Q30:Q32" si="2">SUM(E30,I30,M30)</f>
        <v>0</v>
      </c>
      <c r="R30" s="255"/>
      <c r="S30" s="256">
        <f>SUM('10. sz. melléklet'!V19)</f>
        <v>1295454406</v>
      </c>
      <c r="T30" s="256">
        <f>SUM('10. sz. melléklet'!W19)</f>
        <v>1343642303</v>
      </c>
      <c r="U30" s="256">
        <f>SUM('10. sz. melléklet'!X19)</f>
        <v>122368965</v>
      </c>
      <c r="V30" s="575"/>
    </row>
    <row r="31" spans="1:22">
      <c r="A31" s="259" t="s">
        <v>448</v>
      </c>
      <c r="B31" s="260" t="s">
        <v>409</v>
      </c>
      <c r="C31" s="261"/>
      <c r="D31" s="255"/>
      <c r="E31" s="255"/>
      <c r="F31" s="255">
        <v>147268</v>
      </c>
      <c r="G31" s="255">
        <v>170542</v>
      </c>
      <c r="H31" s="255"/>
      <c r="I31" s="255"/>
      <c r="J31" s="255">
        <v>718836</v>
      </c>
      <c r="K31" s="255">
        <v>716032</v>
      </c>
      <c r="L31" s="256"/>
      <c r="M31" s="256"/>
      <c r="N31" s="256"/>
      <c r="O31" s="256"/>
      <c r="P31" s="255"/>
      <c r="Q31" s="255">
        <f t="shared" si="2"/>
        <v>0</v>
      </c>
      <c r="R31" s="255"/>
      <c r="S31" s="256">
        <f>SUM('10. sz. melléklet'!AA19)</f>
        <v>797893548</v>
      </c>
      <c r="T31" s="256">
        <f>SUM('10. sz. melléklet'!AB19)</f>
        <v>1193580437</v>
      </c>
      <c r="U31" s="256">
        <f>SUM('10. sz. melléklet'!AC19)</f>
        <v>436243018</v>
      </c>
      <c r="V31" s="575"/>
    </row>
    <row r="32" spans="1:22" ht="15.75" thickBot="1">
      <c r="A32" s="259" t="s">
        <v>449</v>
      </c>
      <c r="B32" s="260" t="s">
        <v>450</v>
      </c>
      <c r="C32" s="267"/>
      <c r="D32" s="255"/>
      <c r="E32" s="255"/>
      <c r="F32" s="255"/>
      <c r="G32" s="255">
        <v>2000</v>
      </c>
      <c r="H32" s="255"/>
      <c r="I32" s="255"/>
      <c r="J32" s="255">
        <v>71228</v>
      </c>
      <c r="K32" s="255">
        <v>103468</v>
      </c>
      <c r="L32" s="256"/>
      <c r="M32" s="256"/>
      <c r="N32" s="256"/>
      <c r="O32" s="256"/>
      <c r="P32" s="255"/>
      <c r="Q32" s="255">
        <f t="shared" si="2"/>
        <v>0</v>
      </c>
      <c r="R32" s="255"/>
      <c r="S32" s="256">
        <f>SUM('10. sz. melléklet'!AE19)</f>
        <v>0</v>
      </c>
      <c r="T32" s="256">
        <f>SUM('10. sz. melléklet'!AF19)</f>
        <v>22356945</v>
      </c>
      <c r="U32" s="256">
        <f>SUM('10. sz. melléklet'!AG19)</f>
        <v>22356495</v>
      </c>
      <c r="V32" s="578"/>
    </row>
    <row r="33" spans="1:22" ht="15.75" customHeight="1" thickBot="1">
      <c r="A33" s="973" t="s">
        <v>451</v>
      </c>
      <c r="B33" s="974"/>
      <c r="C33" s="269"/>
      <c r="D33" s="270">
        <f>SUM(D27:D28)</f>
        <v>0</v>
      </c>
      <c r="E33" s="270">
        <f>SUM(E27:E32)</f>
        <v>127144</v>
      </c>
      <c r="F33" s="270">
        <f>SUM(F30:F32)</f>
        <v>150283</v>
      </c>
      <c r="G33" s="270">
        <f>SUM(G30:G32)</f>
        <v>197005</v>
      </c>
      <c r="H33" s="270">
        <f>SUM(H27:H28)</f>
        <v>736157</v>
      </c>
      <c r="I33" s="270">
        <f>SUM(I27:I29)</f>
        <v>729007</v>
      </c>
      <c r="J33" s="270">
        <f>SUM(J30:J32)</f>
        <v>844062</v>
      </c>
      <c r="K33" s="270">
        <f>SUM(K30:K32)</f>
        <v>913805</v>
      </c>
      <c r="L33" s="271">
        <f>SUM(L27:L28)</f>
        <v>0</v>
      </c>
      <c r="M33" s="271">
        <f>SUM(M27:M28)</f>
        <v>0</v>
      </c>
      <c r="N33" s="271">
        <f>SUM(N30:N32)</f>
        <v>0</v>
      </c>
      <c r="O33" s="271">
        <f>SUM(O30:O32)</f>
        <v>0</v>
      </c>
      <c r="P33" s="270">
        <f>SUM(P27:P32)</f>
        <v>344441736</v>
      </c>
      <c r="Q33" s="270">
        <f t="shared" ref="Q33:R33" si="3">SUM(Q27:Q32)</f>
        <v>1620306115</v>
      </c>
      <c r="R33" s="270">
        <f t="shared" si="3"/>
        <v>1495056320</v>
      </c>
      <c r="S33" s="579">
        <f>SUM(S30:S32)</f>
        <v>2093347954</v>
      </c>
      <c r="T33" s="579">
        <f>SUM(T30:T32)</f>
        <v>2559579685</v>
      </c>
      <c r="U33" s="579">
        <f>SUM(U30:U32)</f>
        <v>580968478</v>
      </c>
      <c r="V33" s="576">
        <f>R33-U33</f>
        <v>914087842</v>
      </c>
    </row>
    <row r="34" spans="1:22" s="391" customFormat="1" ht="15" customHeight="1" thickBot="1">
      <c r="A34" s="973" t="s">
        <v>642</v>
      </c>
      <c r="B34" s="974"/>
      <c r="C34" s="269"/>
      <c r="D34" s="270"/>
      <c r="E34" s="270"/>
      <c r="F34" s="270"/>
      <c r="G34" s="270"/>
      <c r="H34" s="270"/>
      <c r="I34" s="270"/>
      <c r="J34" s="270"/>
      <c r="K34" s="270"/>
      <c r="L34" s="271"/>
      <c r="M34" s="271"/>
      <c r="N34" s="271"/>
      <c r="O34" s="271"/>
      <c r="P34" s="270"/>
      <c r="Q34" s="270"/>
      <c r="R34" s="270"/>
      <c r="S34" s="271"/>
      <c r="T34" s="271"/>
      <c r="U34" s="271"/>
      <c r="V34" s="576"/>
    </row>
    <row r="35" spans="1:22" s="391" customFormat="1">
      <c r="A35" s="516" t="s">
        <v>441</v>
      </c>
      <c r="B35" s="521" t="s">
        <v>411</v>
      </c>
      <c r="C35" s="522"/>
      <c r="D35" s="523"/>
      <c r="E35" s="523"/>
      <c r="F35" s="523">
        <f>686733-2717-47096</f>
        <v>636920</v>
      </c>
      <c r="G35" s="523">
        <v>1007644</v>
      </c>
      <c r="H35" s="523"/>
      <c r="I35" s="523"/>
      <c r="J35" s="523">
        <f>42737+2717</f>
        <v>45454</v>
      </c>
      <c r="K35" s="523">
        <v>47821</v>
      </c>
      <c r="L35" s="524"/>
      <c r="M35" s="524"/>
      <c r="N35" s="524">
        <v>47096</v>
      </c>
      <c r="O35" s="524">
        <v>47096</v>
      </c>
      <c r="P35" s="523"/>
      <c r="Q35" s="524">
        <f t="shared" ref="Q35" si="4">SUM(E35,I35,M35)</f>
        <v>0</v>
      </c>
      <c r="R35" s="523"/>
      <c r="S35" s="524">
        <f>SUM('10. sz. melléklet'!AI19)</f>
        <v>58439181</v>
      </c>
      <c r="T35" s="524">
        <f>SUM('10. sz. melléklet'!AJ19)</f>
        <v>216790419</v>
      </c>
      <c r="U35" s="524">
        <f>SUM('10. sz. melléklet'!AK19)</f>
        <v>216790419</v>
      </c>
      <c r="V35" s="577"/>
    </row>
    <row r="36" spans="1:22" s="391" customFormat="1" ht="15.75" thickBot="1">
      <c r="A36" s="515" t="s">
        <v>330</v>
      </c>
      <c r="B36" s="525" t="s">
        <v>339</v>
      </c>
      <c r="C36" s="526"/>
      <c r="D36" s="268"/>
      <c r="E36" s="268"/>
      <c r="F36" s="268">
        <f>181065-734-12716</f>
        <v>167615</v>
      </c>
      <c r="G36" s="268">
        <v>222862</v>
      </c>
      <c r="H36" s="268"/>
      <c r="I36" s="268"/>
      <c r="J36" s="268">
        <f>12220+734</f>
        <v>12954</v>
      </c>
      <c r="K36" s="268">
        <v>14238</v>
      </c>
      <c r="L36" s="527"/>
      <c r="M36" s="527"/>
      <c r="N36" s="527">
        <v>12716</v>
      </c>
      <c r="O36" s="527">
        <v>12716</v>
      </c>
      <c r="P36" s="268">
        <f>SUM('6. sz. melléklet'!D119)</f>
        <v>2672616282</v>
      </c>
      <c r="Q36" s="268">
        <f>SUM('6. sz. melléklet'!E119)</f>
        <v>3022123436</v>
      </c>
      <c r="R36" s="268">
        <f>SUM('6. sz. melléklet'!F119)</f>
        <v>3083324693</v>
      </c>
      <c r="S36" s="527"/>
      <c r="T36" s="527"/>
      <c r="U36" s="527"/>
      <c r="V36" s="578"/>
    </row>
    <row r="37" spans="1:22" s="520" customFormat="1" ht="15.75" customHeight="1" thickBot="1">
      <c r="A37" s="973" t="s">
        <v>643</v>
      </c>
      <c r="B37" s="974"/>
      <c r="C37" s="528"/>
      <c r="D37" s="270"/>
      <c r="E37" s="270"/>
      <c r="F37" s="270"/>
      <c r="G37" s="270"/>
      <c r="H37" s="270"/>
      <c r="I37" s="270"/>
      <c r="J37" s="270"/>
      <c r="K37" s="270"/>
      <c r="L37" s="271"/>
      <c r="M37" s="271"/>
      <c r="N37" s="271"/>
      <c r="O37" s="271"/>
      <c r="P37" s="270">
        <f>SUM(P35:P36)</f>
        <v>2672616282</v>
      </c>
      <c r="Q37" s="270">
        <f t="shared" ref="Q37:U37" si="5">SUM(Q35:Q36)</f>
        <v>3022123436</v>
      </c>
      <c r="R37" s="270">
        <f t="shared" si="5"/>
        <v>3083324693</v>
      </c>
      <c r="S37" s="270">
        <f t="shared" si="5"/>
        <v>58439181</v>
      </c>
      <c r="T37" s="270">
        <f t="shared" si="5"/>
        <v>216790419</v>
      </c>
      <c r="U37" s="270">
        <f t="shared" si="5"/>
        <v>216790419</v>
      </c>
      <c r="V37" s="576">
        <f>R37-U37</f>
        <v>2866534274</v>
      </c>
    </row>
    <row r="38" spans="1:22" ht="15.75" customHeight="1" thickBot="1">
      <c r="A38" s="973" t="s">
        <v>364</v>
      </c>
      <c r="B38" s="974"/>
      <c r="C38" s="269"/>
      <c r="D38" s="270" t="e">
        <f t="shared" ref="D38:O38" si="6">D25+D33</f>
        <v>#REF!</v>
      </c>
      <c r="E38" s="270" t="e">
        <f t="shared" si="6"/>
        <v>#REF!</v>
      </c>
      <c r="F38" s="270" t="e">
        <f t="shared" si="6"/>
        <v>#REF!</v>
      </c>
      <c r="G38" s="270" t="e">
        <f t="shared" si="6"/>
        <v>#REF!</v>
      </c>
      <c r="H38" s="270" t="e">
        <f t="shared" si="6"/>
        <v>#REF!</v>
      </c>
      <c r="I38" s="270" t="e">
        <f t="shared" si="6"/>
        <v>#REF!</v>
      </c>
      <c r="J38" s="270" t="e">
        <f t="shared" si="6"/>
        <v>#REF!</v>
      </c>
      <c r="K38" s="270" t="e">
        <f t="shared" si="6"/>
        <v>#REF!</v>
      </c>
      <c r="L38" s="271" t="e">
        <f t="shared" si="6"/>
        <v>#REF!</v>
      </c>
      <c r="M38" s="270" t="e">
        <f t="shared" si="6"/>
        <v>#REF!</v>
      </c>
      <c r="N38" s="271" t="e">
        <f t="shared" si="6"/>
        <v>#REF!</v>
      </c>
      <c r="O38" s="270" t="e">
        <f t="shared" si="6"/>
        <v>#REF!</v>
      </c>
      <c r="P38" s="270">
        <f>P25+P33+P37</f>
        <v>5928357880</v>
      </c>
      <c r="Q38" s="270">
        <f>Q25+Q33+Q37</f>
        <v>8306176707</v>
      </c>
      <c r="R38" s="270">
        <f>R25+R33+R37</f>
        <v>8057921816</v>
      </c>
      <c r="S38" s="270">
        <f>S25+S33+S37</f>
        <v>5928357880</v>
      </c>
      <c r="T38" s="270">
        <f t="shared" ref="T38:U38" si="7">T25+T33+T37</f>
        <v>8306176707</v>
      </c>
      <c r="U38" s="270">
        <f t="shared" si="7"/>
        <v>4236561666</v>
      </c>
      <c r="V38" s="270">
        <f>V25+V33+V37</f>
        <v>3821360150</v>
      </c>
    </row>
    <row r="39" spans="1:22">
      <c r="S39" s="25"/>
      <c r="T39" s="25"/>
      <c r="U39" s="25"/>
      <c r="V39" s="25"/>
    </row>
    <row r="40" spans="1:22">
      <c r="S40" s="25"/>
      <c r="T40" s="25"/>
      <c r="U40" s="25"/>
      <c r="V40" s="580"/>
    </row>
    <row r="41" spans="1:22">
      <c r="S41" s="25"/>
      <c r="T41" s="25"/>
      <c r="U41" s="25"/>
      <c r="V41" s="25"/>
    </row>
  </sheetData>
  <mergeCells count="24">
    <mergeCell ref="B3:W3"/>
    <mergeCell ref="A4:W4"/>
    <mergeCell ref="A7:V7"/>
    <mergeCell ref="A8:A10"/>
    <mergeCell ref="B8:C10"/>
    <mergeCell ref="D8:G8"/>
    <mergeCell ref="H8:K8"/>
    <mergeCell ref="L8:O8"/>
    <mergeCell ref="P8:U8"/>
    <mergeCell ref="V8:V10"/>
    <mergeCell ref="P9:R9"/>
    <mergeCell ref="S9:U9"/>
    <mergeCell ref="H9:I9"/>
    <mergeCell ref="N9:O9"/>
    <mergeCell ref="A34:B34"/>
    <mergeCell ref="A37:B37"/>
    <mergeCell ref="A38:B38"/>
    <mergeCell ref="J9:K9"/>
    <mergeCell ref="L9:M9"/>
    <mergeCell ref="A25:B25"/>
    <mergeCell ref="A33:B33"/>
    <mergeCell ref="A12:A16"/>
    <mergeCell ref="D9:E9"/>
    <mergeCell ref="F9:G9"/>
  </mergeCells>
  <pageMargins left="0.7" right="0.7" top="0.75" bottom="0.75" header="0.3" footer="0.3"/>
  <pageSetup paperSize="9" scale="59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H803"/>
  <sheetViews>
    <sheetView view="pageBreakPreview" zoomScale="60" zoomScaleNormal="86" workbookViewId="0">
      <selection sqref="A1:XFD1"/>
    </sheetView>
  </sheetViews>
  <sheetFormatPr defaultRowHeight="15.75" thickBottom="1"/>
  <cols>
    <col min="1" max="1" width="80" style="302" customWidth="1"/>
    <col min="2" max="2" width="18.28515625" style="302" customWidth="1"/>
    <col min="3" max="5" width="21.7109375" style="732" customWidth="1"/>
    <col min="6" max="6" width="21.42578125" style="303" customWidth="1"/>
    <col min="7" max="8" width="21.7109375" style="732" customWidth="1"/>
    <col min="9" max="9" width="21.42578125" style="303" customWidth="1"/>
    <col min="10" max="10" width="21.7109375" style="732" customWidth="1"/>
    <col min="11" max="11" width="21.42578125" style="574" customWidth="1"/>
    <col min="12" max="13" width="21.42578125" style="303" customWidth="1"/>
    <col min="14" max="14" width="21.7109375" style="732" customWidth="1"/>
    <col min="15" max="16" width="21.42578125" style="303" customWidth="1"/>
    <col min="17" max="17" width="21.7109375" style="732" customWidth="1"/>
    <col min="18" max="19" width="21.42578125" style="303" customWidth="1"/>
    <col min="20" max="20" width="21.7109375" style="732" customWidth="1"/>
    <col min="21" max="21" width="21.42578125" style="303" customWidth="1"/>
    <col min="22" max="23" width="21.7109375" style="732" customWidth="1"/>
    <col min="24" max="24" width="24" style="283" customWidth="1"/>
    <col min="25" max="53" width="9.140625" style="283"/>
    <col min="54" max="54" width="9.140625" style="296"/>
    <col min="55" max="16384" width="9.140625" style="297"/>
  </cols>
  <sheetData>
    <row r="1" spans="1:86" s="281" customFormat="1" ht="18.75">
      <c r="A1" s="278" t="s">
        <v>1045</v>
      </c>
      <c r="B1" s="279"/>
      <c r="C1" s="279"/>
      <c r="D1" s="279"/>
      <c r="E1" s="279"/>
      <c r="F1" s="280"/>
      <c r="G1" s="279"/>
      <c r="H1" s="279"/>
      <c r="I1" s="280"/>
      <c r="J1" s="279"/>
      <c r="K1" s="565"/>
      <c r="L1" s="280"/>
      <c r="M1" s="280"/>
      <c r="N1" s="279"/>
      <c r="O1" s="280"/>
      <c r="P1" s="280"/>
      <c r="Q1" s="279"/>
      <c r="R1" s="280"/>
      <c r="S1" s="280"/>
      <c r="T1" s="279"/>
      <c r="U1" s="280"/>
      <c r="V1" s="279"/>
      <c r="W1" s="279"/>
    </row>
    <row r="2" spans="1:86" s="283" customFormat="1">
      <c r="A2" s="279"/>
      <c r="B2" s="279"/>
      <c r="C2" s="279"/>
      <c r="D2" s="279"/>
      <c r="E2" s="279"/>
      <c r="F2" s="282"/>
      <c r="G2" s="279"/>
      <c r="H2" s="279"/>
      <c r="I2" s="282"/>
      <c r="J2" s="279"/>
      <c r="K2" s="566"/>
      <c r="L2" s="282"/>
      <c r="M2" s="282"/>
      <c r="N2" s="279"/>
      <c r="O2" s="282"/>
      <c r="P2" s="282"/>
      <c r="Q2" s="279"/>
      <c r="R2" s="282"/>
      <c r="S2" s="282"/>
      <c r="T2" s="279"/>
      <c r="U2" s="282"/>
      <c r="V2" s="279"/>
      <c r="W2" s="279"/>
    </row>
    <row r="3" spans="1:86" s="283" customFormat="1" ht="30.75" customHeight="1">
      <c r="A3" s="913" t="s">
        <v>936</v>
      </c>
      <c r="B3" s="913"/>
      <c r="C3" s="913"/>
      <c r="D3" s="913"/>
      <c r="E3" s="913"/>
      <c r="F3" s="913"/>
      <c r="G3" s="913"/>
      <c r="H3" s="913"/>
      <c r="I3" s="913"/>
      <c r="J3" s="913"/>
      <c r="K3" s="913"/>
      <c r="L3" s="913"/>
      <c r="M3" s="913"/>
      <c r="N3" s="913"/>
      <c r="O3" s="913"/>
      <c r="P3" s="913"/>
      <c r="Q3" s="913"/>
      <c r="R3" s="913"/>
      <c r="S3" s="913"/>
      <c r="T3" s="913"/>
      <c r="U3" s="913"/>
      <c r="V3" s="913"/>
      <c r="W3" s="913"/>
    </row>
    <row r="4" spans="1:86" s="283" customFormat="1" ht="15">
      <c r="F4" s="282"/>
      <c r="I4" s="282"/>
      <c r="K4" s="566"/>
      <c r="L4" s="282"/>
      <c r="M4" s="282"/>
      <c r="O4" s="282"/>
      <c r="P4" s="282"/>
      <c r="R4" s="282"/>
      <c r="S4" s="282"/>
      <c r="U4" s="282"/>
    </row>
    <row r="5" spans="1:86" s="534" customFormat="1" ht="15.75" customHeight="1" thickBot="1">
      <c r="F5" s="535"/>
      <c r="I5" s="536"/>
      <c r="K5" s="567"/>
      <c r="L5" s="536"/>
      <c r="M5" s="536"/>
      <c r="O5" s="536"/>
      <c r="P5" s="536"/>
      <c r="R5" s="536"/>
      <c r="S5" s="536"/>
      <c r="U5" s="536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</row>
    <row r="6" spans="1:86" s="541" customFormat="1" ht="66.75" customHeight="1" thickBot="1">
      <c r="A6" s="1016" t="s">
        <v>560</v>
      </c>
      <c r="B6" s="1017"/>
      <c r="C6" s="1013" t="s">
        <v>931</v>
      </c>
      <c r="D6" s="1014"/>
      <c r="E6" s="1015"/>
      <c r="F6" s="1013" t="s">
        <v>932</v>
      </c>
      <c r="G6" s="1014"/>
      <c r="H6" s="1015"/>
      <c r="I6" s="1013" t="s">
        <v>933</v>
      </c>
      <c r="J6" s="1014"/>
      <c r="K6" s="1015"/>
      <c r="L6" s="1013" t="s">
        <v>934</v>
      </c>
      <c r="M6" s="1014"/>
      <c r="N6" s="1015"/>
      <c r="O6" s="1013" t="s">
        <v>1025</v>
      </c>
      <c r="P6" s="1014"/>
      <c r="Q6" s="1015"/>
      <c r="R6" s="1013" t="s">
        <v>1026</v>
      </c>
      <c r="S6" s="1014"/>
      <c r="T6" s="1015"/>
      <c r="U6" s="1013" t="s">
        <v>422</v>
      </c>
      <c r="V6" s="1014"/>
      <c r="W6" s="1015"/>
      <c r="X6" s="540"/>
      <c r="Y6" s="540"/>
      <c r="Z6" s="540"/>
      <c r="AA6" s="540"/>
      <c r="AB6" s="540"/>
      <c r="AC6" s="540"/>
      <c r="AD6" s="540"/>
      <c r="AE6" s="540"/>
      <c r="AF6" s="540"/>
      <c r="AG6" s="540"/>
      <c r="AH6" s="540"/>
      <c r="AI6" s="540"/>
      <c r="AJ6" s="540"/>
      <c r="AK6" s="540"/>
      <c r="AL6" s="540"/>
      <c r="AM6" s="540"/>
      <c r="AN6" s="540"/>
      <c r="AO6" s="540"/>
      <c r="AP6" s="540"/>
      <c r="AQ6" s="540"/>
      <c r="AR6" s="540"/>
      <c r="AS6" s="540"/>
      <c r="AT6" s="540"/>
      <c r="AU6" s="540"/>
      <c r="AV6" s="540"/>
      <c r="AW6" s="540"/>
      <c r="AX6" s="540"/>
      <c r="AY6" s="540"/>
      <c r="AZ6" s="540"/>
      <c r="BA6" s="540"/>
      <c r="BB6" s="540"/>
      <c r="BC6" s="540"/>
      <c r="BD6" s="540"/>
      <c r="BE6" s="540"/>
      <c r="BF6" s="540"/>
      <c r="BG6" s="540"/>
      <c r="BH6" s="540"/>
      <c r="BI6" s="540"/>
      <c r="BJ6" s="540"/>
      <c r="BK6" s="540"/>
      <c r="BL6" s="540"/>
      <c r="BM6" s="540"/>
      <c r="BN6" s="540"/>
      <c r="BO6" s="540"/>
      <c r="BP6" s="540"/>
      <c r="BQ6" s="540"/>
      <c r="BR6" s="540"/>
      <c r="BS6" s="540"/>
      <c r="BT6" s="540"/>
      <c r="BU6" s="540"/>
      <c r="BV6" s="540"/>
      <c r="BW6" s="540"/>
      <c r="BX6" s="540"/>
      <c r="BY6" s="540"/>
      <c r="BZ6" s="540"/>
      <c r="CA6" s="540"/>
      <c r="CB6" s="540"/>
      <c r="CC6" s="540"/>
      <c r="CD6" s="540"/>
      <c r="CE6" s="540"/>
      <c r="CF6" s="540"/>
      <c r="CG6" s="540"/>
      <c r="CH6" s="540"/>
    </row>
    <row r="7" spans="1:86" s="541" customFormat="1" ht="66.75" customHeight="1" thickBot="1">
      <c r="A7" s="1018"/>
      <c r="B7" s="1019"/>
      <c r="C7" s="775" t="s">
        <v>930</v>
      </c>
      <c r="D7" s="731" t="s">
        <v>935</v>
      </c>
      <c r="E7" s="731" t="s">
        <v>424</v>
      </c>
      <c r="F7" s="731" t="s">
        <v>930</v>
      </c>
      <c r="G7" s="731" t="s">
        <v>935</v>
      </c>
      <c r="H7" s="731" t="s">
        <v>424</v>
      </c>
      <c r="I7" s="731" t="s">
        <v>930</v>
      </c>
      <c r="J7" s="731" t="s">
        <v>935</v>
      </c>
      <c r="K7" s="731" t="s">
        <v>424</v>
      </c>
      <c r="L7" s="731" t="s">
        <v>930</v>
      </c>
      <c r="M7" s="731" t="s">
        <v>935</v>
      </c>
      <c r="N7" s="731" t="s">
        <v>424</v>
      </c>
      <c r="O7" s="731" t="s">
        <v>930</v>
      </c>
      <c r="P7" s="731" t="s">
        <v>935</v>
      </c>
      <c r="Q7" s="731" t="s">
        <v>424</v>
      </c>
      <c r="R7" s="731" t="s">
        <v>930</v>
      </c>
      <c r="S7" s="731" t="s">
        <v>935</v>
      </c>
      <c r="T7" s="731" t="s">
        <v>424</v>
      </c>
      <c r="U7" s="731" t="s">
        <v>930</v>
      </c>
      <c r="V7" s="731" t="s">
        <v>935</v>
      </c>
      <c r="W7" s="731" t="s">
        <v>424</v>
      </c>
      <c r="X7" s="540"/>
      <c r="Y7" s="540"/>
      <c r="Z7" s="540"/>
      <c r="AA7" s="540"/>
      <c r="AB7" s="540"/>
      <c r="AC7" s="540"/>
      <c r="AD7" s="540"/>
      <c r="AE7" s="540"/>
      <c r="AF7" s="540"/>
      <c r="AG7" s="540"/>
      <c r="AH7" s="540"/>
      <c r="AI7" s="540"/>
      <c r="AJ7" s="540"/>
      <c r="AK7" s="540"/>
      <c r="AL7" s="540"/>
      <c r="AM7" s="540"/>
      <c r="AN7" s="540"/>
      <c r="AO7" s="540"/>
      <c r="AP7" s="540"/>
      <c r="AQ7" s="540"/>
      <c r="AR7" s="540"/>
      <c r="AS7" s="540"/>
      <c r="AT7" s="540"/>
      <c r="AU7" s="540"/>
      <c r="AV7" s="540"/>
      <c r="AW7" s="540"/>
      <c r="AX7" s="540"/>
      <c r="AY7" s="540"/>
      <c r="AZ7" s="540"/>
      <c r="BA7" s="540"/>
      <c r="BB7" s="540"/>
      <c r="BC7" s="540"/>
      <c r="BD7" s="540"/>
      <c r="BE7" s="540"/>
      <c r="BF7" s="540"/>
      <c r="BG7" s="540"/>
      <c r="BH7" s="540"/>
      <c r="BI7" s="540"/>
      <c r="BJ7" s="540"/>
      <c r="BK7" s="540"/>
      <c r="BL7" s="540"/>
      <c r="BM7" s="540"/>
      <c r="BN7" s="540"/>
      <c r="BO7" s="540"/>
      <c r="BP7" s="540"/>
      <c r="BQ7" s="540"/>
      <c r="BR7" s="540"/>
      <c r="BS7" s="540"/>
      <c r="BT7" s="540"/>
      <c r="BU7" s="540"/>
      <c r="BV7" s="540"/>
      <c r="BW7" s="540"/>
      <c r="BX7" s="540"/>
      <c r="BY7" s="540"/>
      <c r="BZ7" s="540"/>
      <c r="CA7" s="540"/>
      <c r="CB7" s="540"/>
      <c r="CC7" s="540"/>
      <c r="CD7" s="540"/>
      <c r="CE7" s="540"/>
      <c r="CF7" s="540"/>
      <c r="CG7" s="540"/>
      <c r="CH7" s="540"/>
    </row>
    <row r="8" spans="1:86" s="401" customFormat="1" ht="57" customHeight="1" thickBot="1">
      <c r="A8" s="1007" t="s">
        <v>649</v>
      </c>
      <c r="B8" s="1008"/>
      <c r="C8" s="759">
        <v>9000000</v>
      </c>
      <c r="D8" s="398"/>
      <c r="E8" s="398">
        <v>2159999</v>
      </c>
      <c r="F8" s="759"/>
      <c r="G8" s="398"/>
      <c r="H8" s="398">
        <v>494983</v>
      </c>
      <c r="I8" s="759"/>
      <c r="J8" s="398"/>
      <c r="K8" s="759">
        <v>6345018</v>
      </c>
      <c r="L8" s="759"/>
      <c r="M8" s="398"/>
      <c r="N8" s="398"/>
      <c r="O8" s="759"/>
      <c r="P8" s="398"/>
      <c r="Q8" s="398"/>
      <c r="R8" s="759"/>
      <c r="S8" s="398"/>
      <c r="T8" s="398"/>
      <c r="U8" s="759">
        <f>SUM(C8+F8+I8+L8+O8+R8)</f>
        <v>9000000</v>
      </c>
      <c r="V8" s="759">
        <f t="shared" ref="V8:W8" si="0">SUM(D8+G8+J8+M8+P8+S8)</f>
        <v>0</v>
      </c>
      <c r="W8" s="759">
        <f t="shared" si="0"/>
        <v>9000000</v>
      </c>
      <c r="X8" s="771"/>
      <c r="Y8" s="771"/>
      <c r="Z8" s="76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0"/>
      <c r="AL8" s="400"/>
      <c r="AM8" s="400"/>
      <c r="AN8" s="400"/>
      <c r="AO8" s="400"/>
      <c r="AP8" s="400"/>
      <c r="AQ8" s="400"/>
      <c r="AR8" s="400"/>
      <c r="AS8" s="400"/>
      <c r="AT8" s="400"/>
      <c r="AU8" s="400"/>
      <c r="AV8" s="400"/>
      <c r="AW8" s="400"/>
      <c r="AX8" s="400"/>
      <c r="AY8" s="400"/>
      <c r="AZ8" s="400"/>
      <c r="BA8" s="400"/>
      <c r="BB8" s="400"/>
      <c r="BC8" s="400"/>
      <c r="BD8" s="400"/>
      <c r="BE8" s="400"/>
      <c r="BF8" s="400"/>
      <c r="BG8" s="400"/>
      <c r="BH8" s="400"/>
      <c r="BI8" s="400"/>
      <c r="BJ8" s="400"/>
      <c r="BK8" s="400"/>
      <c r="BL8" s="400"/>
      <c r="BM8" s="400"/>
      <c r="BN8" s="400"/>
      <c r="BO8" s="400"/>
      <c r="BP8" s="400"/>
      <c r="BQ8" s="400"/>
      <c r="BR8" s="400"/>
      <c r="BS8" s="400"/>
      <c r="BT8" s="400"/>
      <c r="BU8" s="400"/>
      <c r="BV8" s="400"/>
      <c r="BW8" s="400"/>
      <c r="BX8" s="400"/>
      <c r="BY8" s="400"/>
      <c r="BZ8" s="400"/>
      <c r="CA8" s="400"/>
      <c r="CB8" s="400"/>
      <c r="CC8" s="400"/>
      <c r="CD8" s="400"/>
      <c r="CE8" s="400"/>
      <c r="CF8" s="400"/>
      <c r="CG8" s="400"/>
      <c r="CH8" s="400"/>
    </row>
    <row r="9" spans="1:86" s="401" customFormat="1" ht="38.25" customHeight="1" thickBot="1">
      <c r="A9" s="669" t="s">
        <v>1024</v>
      </c>
      <c r="B9" s="814"/>
      <c r="C9" s="759">
        <v>1162000</v>
      </c>
      <c r="D9" s="317">
        <v>1000000</v>
      </c>
      <c r="E9" s="317"/>
      <c r="F9" s="759"/>
      <c r="G9" s="317"/>
      <c r="H9" s="317">
        <v>2162000</v>
      </c>
      <c r="I9" s="759"/>
      <c r="J9" s="317"/>
      <c r="K9" s="759"/>
      <c r="L9" s="759"/>
      <c r="M9" s="317"/>
      <c r="N9" s="317"/>
      <c r="O9" s="759"/>
      <c r="P9" s="317"/>
      <c r="Q9" s="317"/>
      <c r="R9" s="759"/>
      <c r="S9" s="317"/>
      <c r="T9" s="317"/>
      <c r="U9" s="759">
        <f t="shared" ref="U9:U25" si="1">SUM(C9+F9+I9+L9+O9+R9)</f>
        <v>1162000</v>
      </c>
      <c r="V9" s="759">
        <f t="shared" ref="V9:V25" si="2">SUM(D9+G9+J9+M9+P9+S9)</f>
        <v>1000000</v>
      </c>
      <c r="W9" s="759">
        <f t="shared" ref="W9:W25" si="3">SUM(E9+H9+K9+N9+Q9+T9)</f>
        <v>2162000</v>
      </c>
      <c r="X9" s="771"/>
      <c r="Y9" s="771"/>
      <c r="Z9" s="76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/>
      <c r="AL9" s="400"/>
      <c r="AM9" s="400"/>
      <c r="AN9" s="400"/>
      <c r="AO9" s="400"/>
      <c r="AP9" s="400"/>
      <c r="AQ9" s="400"/>
      <c r="AR9" s="400"/>
      <c r="AS9" s="400"/>
      <c r="AT9" s="400"/>
      <c r="AU9" s="400"/>
      <c r="AV9" s="400"/>
      <c r="AW9" s="400"/>
      <c r="AX9" s="400"/>
      <c r="AY9" s="400"/>
      <c r="AZ9" s="400"/>
      <c r="BA9" s="400"/>
      <c r="BB9" s="400"/>
      <c r="BC9" s="400"/>
      <c r="BD9" s="400"/>
      <c r="BE9" s="400"/>
      <c r="BF9" s="400"/>
      <c r="BG9" s="400"/>
      <c r="BH9" s="400"/>
      <c r="BI9" s="400"/>
      <c r="BJ9" s="400"/>
      <c r="BK9" s="400"/>
      <c r="BL9" s="400"/>
      <c r="BM9" s="400"/>
      <c r="BN9" s="400"/>
      <c r="BO9" s="400"/>
      <c r="BP9" s="400"/>
      <c r="BQ9" s="400"/>
      <c r="BR9" s="400"/>
      <c r="BS9" s="400"/>
      <c r="BT9" s="400"/>
      <c r="BU9" s="400"/>
      <c r="BV9" s="400"/>
      <c r="BW9" s="400"/>
      <c r="BX9" s="400"/>
      <c r="BY9" s="400"/>
      <c r="BZ9" s="400"/>
      <c r="CA9" s="400"/>
      <c r="CB9" s="400"/>
      <c r="CC9" s="400"/>
      <c r="CD9" s="400"/>
      <c r="CE9" s="400"/>
      <c r="CF9" s="400"/>
      <c r="CG9" s="400"/>
      <c r="CH9" s="400"/>
    </row>
    <row r="10" spans="1:86" s="401" customFormat="1" ht="43.5" customHeight="1" thickBot="1">
      <c r="A10" s="812" t="s">
        <v>1024</v>
      </c>
      <c r="B10" s="813"/>
      <c r="C10" s="759"/>
      <c r="D10" s="317"/>
      <c r="E10" s="317"/>
      <c r="F10" s="759">
        <v>536000</v>
      </c>
      <c r="G10" s="317">
        <v>1000000</v>
      </c>
      <c r="H10" s="317"/>
      <c r="I10" s="759"/>
      <c r="J10" s="317"/>
      <c r="K10" s="759">
        <v>1536000</v>
      </c>
      <c r="L10" s="759"/>
      <c r="M10" s="317"/>
      <c r="N10" s="317"/>
      <c r="O10" s="759"/>
      <c r="P10" s="317"/>
      <c r="Q10" s="317"/>
      <c r="R10" s="759"/>
      <c r="S10" s="317"/>
      <c r="T10" s="317"/>
      <c r="U10" s="759">
        <f t="shared" si="1"/>
        <v>536000</v>
      </c>
      <c r="V10" s="759">
        <f t="shared" si="2"/>
        <v>1000000</v>
      </c>
      <c r="W10" s="759">
        <f t="shared" si="3"/>
        <v>1536000</v>
      </c>
      <c r="X10" s="771"/>
      <c r="Y10" s="771"/>
      <c r="Z10" s="760"/>
      <c r="AA10" s="400"/>
      <c r="AB10" s="400"/>
      <c r="AC10" s="400"/>
      <c r="AD10" s="400"/>
      <c r="AE10" s="400"/>
      <c r="AF10" s="400"/>
      <c r="AG10" s="400"/>
      <c r="AH10" s="400"/>
      <c r="AI10" s="400"/>
      <c r="AJ10" s="400"/>
      <c r="AK10" s="400"/>
      <c r="AL10" s="400"/>
      <c r="AM10" s="400"/>
      <c r="AN10" s="400"/>
      <c r="AO10" s="400"/>
      <c r="AP10" s="400"/>
      <c r="AQ10" s="400"/>
      <c r="AR10" s="400"/>
      <c r="AS10" s="400"/>
      <c r="AT10" s="400"/>
      <c r="AU10" s="400"/>
      <c r="AV10" s="400"/>
      <c r="AW10" s="400"/>
      <c r="AX10" s="400"/>
      <c r="AY10" s="400"/>
      <c r="AZ10" s="400"/>
      <c r="BA10" s="400"/>
      <c r="BB10" s="400"/>
      <c r="BC10" s="400"/>
      <c r="BD10" s="400"/>
      <c r="BE10" s="400"/>
      <c r="BF10" s="400"/>
      <c r="BG10" s="400"/>
      <c r="BH10" s="400"/>
      <c r="BI10" s="400"/>
      <c r="BJ10" s="400"/>
      <c r="BK10" s="400"/>
      <c r="BL10" s="400"/>
      <c r="BM10" s="400"/>
      <c r="BN10" s="400"/>
      <c r="BO10" s="400"/>
      <c r="BP10" s="400"/>
      <c r="BQ10" s="400"/>
      <c r="BR10" s="400"/>
      <c r="BS10" s="400"/>
      <c r="BT10" s="400"/>
      <c r="BU10" s="400"/>
      <c r="BV10" s="400"/>
      <c r="BW10" s="400"/>
      <c r="BX10" s="400"/>
      <c r="BY10" s="400"/>
      <c r="BZ10" s="400"/>
      <c r="CA10" s="400"/>
      <c r="CB10" s="400"/>
      <c r="CC10" s="400"/>
      <c r="CD10" s="400"/>
      <c r="CE10" s="400"/>
      <c r="CF10" s="400"/>
      <c r="CG10" s="400"/>
      <c r="CH10" s="400"/>
    </row>
    <row r="11" spans="1:86" s="401" customFormat="1" ht="67.5" customHeight="1" thickBot="1">
      <c r="A11" s="917" t="s">
        <v>651</v>
      </c>
      <c r="B11" s="918"/>
      <c r="C11" s="759">
        <v>328900000</v>
      </c>
      <c r="D11" s="551"/>
      <c r="E11" s="551">
        <v>46653089</v>
      </c>
      <c r="F11" s="759">
        <v>554050000</v>
      </c>
      <c r="G11" s="551"/>
      <c r="H11" s="551">
        <v>47913434</v>
      </c>
      <c r="I11" s="759">
        <v>554050000</v>
      </c>
      <c r="J11" s="551"/>
      <c r="K11" s="759">
        <v>788383477</v>
      </c>
      <c r="L11" s="759"/>
      <c r="M11" s="317"/>
      <c r="N11" s="551">
        <v>554050000</v>
      </c>
      <c r="O11" s="759"/>
      <c r="P11" s="317"/>
      <c r="Q11" s="551"/>
      <c r="R11" s="759"/>
      <c r="S11" s="317"/>
      <c r="T11" s="551"/>
      <c r="U11" s="759">
        <f t="shared" si="1"/>
        <v>1437000000</v>
      </c>
      <c r="V11" s="759">
        <f t="shared" si="2"/>
        <v>0</v>
      </c>
      <c r="W11" s="759">
        <f t="shared" si="3"/>
        <v>1437000000</v>
      </c>
      <c r="X11" s="771"/>
      <c r="Y11" s="771"/>
      <c r="Z11" s="760"/>
      <c r="AA11" s="400"/>
      <c r="AB11" s="400"/>
      <c r="AC11" s="400"/>
      <c r="AD11" s="400"/>
      <c r="AE11" s="400"/>
      <c r="AF11" s="400"/>
      <c r="AG11" s="400"/>
      <c r="AH11" s="400"/>
      <c r="AI11" s="400"/>
      <c r="AJ11" s="400"/>
      <c r="AK11" s="400"/>
      <c r="AL11" s="400"/>
      <c r="AM11" s="400"/>
      <c r="AN11" s="400"/>
      <c r="AO11" s="400"/>
      <c r="AP11" s="400"/>
      <c r="AQ11" s="400"/>
      <c r="AR11" s="400"/>
      <c r="AS11" s="400"/>
      <c r="AT11" s="400"/>
      <c r="AU11" s="400"/>
      <c r="AV11" s="400"/>
      <c r="AW11" s="400"/>
      <c r="AX11" s="400"/>
      <c r="AY11" s="400"/>
      <c r="AZ11" s="400"/>
      <c r="BA11" s="400"/>
      <c r="BB11" s="400"/>
      <c r="BC11" s="400"/>
      <c r="BD11" s="400"/>
      <c r="BE11" s="400"/>
      <c r="BF11" s="400"/>
      <c r="BG11" s="400"/>
      <c r="BH11" s="400"/>
      <c r="BI11" s="400"/>
      <c r="BJ11" s="400"/>
      <c r="BK11" s="400"/>
      <c r="BL11" s="400"/>
      <c r="BM11" s="400"/>
      <c r="BN11" s="400"/>
      <c r="BO11" s="400"/>
      <c r="BP11" s="400"/>
      <c r="BQ11" s="400"/>
      <c r="BR11" s="400"/>
      <c r="BS11" s="400"/>
      <c r="BT11" s="400"/>
      <c r="BU11" s="400"/>
      <c r="BV11" s="400"/>
      <c r="BW11" s="400"/>
      <c r="BX11" s="400"/>
      <c r="BY11" s="400"/>
      <c r="BZ11" s="400"/>
      <c r="CA11" s="400"/>
      <c r="CB11" s="400"/>
      <c r="CC11" s="400"/>
      <c r="CD11" s="400"/>
      <c r="CE11" s="400"/>
      <c r="CF11" s="400"/>
      <c r="CG11" s="400"/>
      <c r="CH11" s="400"/>
    </row>
    <row r="12" spans="1:86" s="401" customFormat="1" ht="38.25" customHeight="1" thickBot="1">
      <c r="A12" s="911" t="s">
        <v>902</v>
      </c>
      <c r="B12" s="912"/>
      <c r="C12" s="811"/>
      <c r="D12" s="393"/>
      <c r="E12" s="393"/>
      <c r="F12" s="759">
        <v>400000000</v>
      </c>
      <c r="G12" s="393"/>
      <c r="H12" s="393"/>
      <c r="I12" s="759"/>
      <c r="J12" s="393"/>
      <c r="K12" s="759">
        <v>400000000</v>
      </c>
      <c r="L12" s="759"/>
      <c r="M12" s="398"/>
      <c r="N12" s="393"/>
      <c r="O12" s="759"/>
      <c r="P12" s="398"/>
      <c r="Q12" s="393"/>
      <c r="R12" s="759"/>
      <c r="S12" s="398"/>
      <c r="T12" s="393"/>
      <c r="U12" s="759">
        <f t="shared" si="1"/>
        <v>400000000</v>
      </c>
      <c r="V12" s="759">
        <f t="shared" si="2"/>
        <v>0</v>
      </c>
      <c r="W12" s="759">
        <f t="shared" si="3"/>
        <v>400000000</v>
      </c>
      <c r="X12" s="771"/>
      <c r="Y12" s="771"/>
      <c r="Z12" s="760"/>
      <c r="AA12" s="400"/>
      <c r="AB12" s="400"/>
      <c r="AC12" s="400"/>
      <c r="AD12" s="400"/>
      <c r="AE12" s="400"/>
      <c r="AF12" s="400"/>
      <c r="AG12" s="400"/>
      <c r="AH12" s="400"/>
      <c r="AI12" s="400"/>
      <c r="AJ12" s="400"/>
      <c r="AK12" s="400"/>
      <c r="AL12" s="400"/>
      <c r="AM12" s="400"/>
      <c r="AN12" s="400"/>
      <c r="AO12" s="400"/>
      <c r="AP12" s="400"/>
      <c r="AQ12" s="400"/>
      <c r="AR12" s="400"/>
      <c r="AS12" s="400"/>
      <c r="AT12" s="400"/>
      <c r="AU12" s="400"/>
      <c r="AV12" s="400"/>
      <c r="AW12" s="400"/>
      <c r="AX12" s="400"/>
      <c r="AY12" s="400"/>
      <c r="AZ12" s="400"/>
      <c r="BA12" s="400"/>
      <c r="BB12" s="400"/>
      <c r="BC12" s="400"/>
      <c r="BD12" s="400"/>
      <c r="BE12" s="400"/>
      <c r="BF12" s="400"/>
      <c r="BG12" s="400"/>
      <c r="BH12" s="400"/>
      <c r="BI12" s="400"/>
      <c r="BJ12" s="400"/>
      <c r="BK12" s="400"/>
      <c r="BL12" s="400"/>
      <c r="BM12" s="400"/>
      <c r="BN12" s="400"/>
      <c r="BO12" s="400"/>
      <c r="BP12" s="400"/>
      <c r="BQ12" s="400"/>
      <c r="BR12" s="400"/>
      <c r="BS12" s="400"/>
      <c r="BT12" s="400"/>
      <c r="BU12" s="400"/>
      <c r="BV12" s="400"/>
      <c r="BW12" s="400"/>
      <c r="BX12" s="400"/>
      <c r="BY12" s="400"/>
      <c r="BZ12" s="400"/>
      <c r="CA12" s="400"/>
      <c r="CB12" s="400"/>
      <c r="CC12" s="400"/>
      <c r="CD12" s="400"/>
      <c r="CE12" s="400"/>
      <c r="CF12" s="400"/>
      <c r="CG12" s="400"/>
      <c r="CH12" s="400"/>
    </row>
    <row r="13" spans="1:86" s="401" customFormat="1" ht="63.75" customHeight="1" thickBot="1">
      <c r="A13" s="911" t="s">
        <v>1012</v>
      </c>
      <c r="B13" s="912"/>
      <c r="C13" s="776">
        <v>838906063</v>
      </c>
      <c r="D13" s="423"/>
      <c r="E13" s="423"/>
      <c r="F13" s="759"/>
      <c r="G13" s="423"/>
      <c r="H13" s="423">
        <v>11350000</v>
      </c>
      <c r="I13" s="759">
        <v>41773932</v>
      </c>
      <c r="J13" s="423"/>
      <c r="K13" s="759">
        <v>869329995</v>
      </c>
      <c r="L13" s="759"/>
      <c r="M13" s="398"/>
      <c r="N13" s="423"/>
      <c r="O13" s="759"/>
      <c r="P13" s="398"/>
      <c r="Q13" s="423"/>
      <c r="R13" s="759"/>
      <c r="S13" s="398"/>
      <c r="T13" s="423"/>
      <c r="U13" s="759">
        <f t="shared" si="1"/>
        <v>880679995</v>
      </c>
      <c r="V13" s="759">
        <f t="shared" si="2"/>
        <v>0</v>
      </c>
      <c r="W13" s="759">
        <f t="shared" si="3"/>
        <v>880679995</v>
      </c>
      <c r="X13" s="771"/>
      <c r="Y13" s="771"/>
      <c r="Z13" s="76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  <c r="AR13" s="400"/>
      <c r="AS13" s="400"/>
      <c r="AT13" s="400"/>
      <c r="AU13" s="400"/>
      <c r="AV13" s="400"/>
      <c r="AW13" s="400"/>
      <c r="AX13" s="400"/>
      <c r="AY13" s="400"/>
      <c r="AZ13" s="400"/>
      <c r="BA13" s="400"/>
      <c r="BB13" s="400"/>
      <c r="BC13" s="400"/>
      <c r="BD13" s="400"/>
      <c r="BE13" s="400"/>
      <c r="BF13" s="400"/>
      <c r="BG13" s="400"/>
      <c r="BH13" s="400"/>
      <c r="BI13" s="400"/>
      <c r="BJ13" s="400"/>
      <c r="BK13" s="400"/>
      <c r="BL13" s="400"/>
      <c r="BM13" s="400"/>
      <c r="BN13" s="400"/>
      <c r="BO13" s="400"/>
      <c r="BP13" s="400"/>
      <c r="BQ13" s="400"/>
      <c r="BR13" s="400"/>
      <c r="BS13" s="400"/>
      <c r="BT13" s="400"/>
      <c r="BU13" s="400"/>
      <c r="BV13" s="400"/>
      <c r="BW13" s="400"/>
      <c r="BX13" s="400"/>
      <c r="BY13" s="400"/>
      <c r="BZ13" s="400"/>
      <c r="CA13" s="400"/>
      <c r="CB13" s="400"/>
      <c r="CC13" s="400"/>
      <c r="CD13" s="400"/>
      <c r="CE13" s="400"/>
      <c r="CF13" s="400"/>
      <c r="CG13" s="400"/>
      <c r="CH13" s="400"/>
    </row>
    <row r="14" spans="1:86" s="652" customFormat="1" ht="31.5" customHeight="1" thickBot="1">
      <c r="A14" s="911" t="s">
        <v>864</v>
      </c>
      <c r="B14" s="912"/>
      <c r="C14" s="776">
        <v>497503307</v>
      </c>
      <c r="D14" s="423"/>
      <c r="E14" s="423">
        <v>3951735</v>
      </c>
      <c r="F14" s="759"/>
      <c r="G14" s="423"/>
      <c r="H14" s="423">
        <v>30166365</v>
      </c>
      <c r="I14" s="759"/>
      <c r="J14" s="423"/>
      <c r="K14" s="759">
        <v>463385207</v>
      </c>
      <c r="L14" s="759"/>
      <c r="M14" s="398"/>
      <c r="N14" s="423"/>
      <c r="O14" s="759"/>
      <c r="P14" s="398"/>
      <c r="Q14" s="423"/>
      <c r="R14" s="759"/>
      <c r="S14" s="398"/>
      <c r="T14" s="423"/>
      <c r="U14" s="759">
        <f t="shared" si="1"/>
        <v>497503307</v>
      </c>
      <c r="V14" s="759">
        <f t="shared" si="2"/>
        <v>0</v>
      </c>
      <c r="W14" s="759">
        <f t="shared" si="3"/>
        <v>497503307</v>
      </c>
      <c r="X14" s="771"/>
      <c r="Y14" s="771"/>
      <c r="Z14" s="76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  <c r="AT14" s="400"/>
      <c r="AU14" s="400"/>
      <c r="AV14" s="400"/>
      <c r="AW14" s="400"/>
      <c r="AX14" s="400"/>
      <c r="AY14" s="400"/>
      <c r="AZ14" s="400"/>
      <c r="BA14" s="400"/>
      <c r="BB14" s="400"/>
      <c r="BC14" s="400"/>
      <c r="BD14" s="400"/>
      <c r="BE14" s="400"/>
      <c r="BF14" s="400"/>
      <c r="BG14" s="651"/>
      <c r="BH14" s="651"/>
      <c r="BI14" s="651"/>
      <c r="BJ14" s="651"/>
      <c r="BK14" s="651"/>
      <c r="BL14" s="651"/>
      <c r="BM14" s="651"/>
      <c r="BN14" s="651"/>
      <c r="BO14" s="651"/>
      <c r="BP14" s="651"/>
      <c r="BQ14" s="651"/>
      <c r="BR14" s="651"/>
      <c r="BS14" s="651"/>
      <c r="BT14" s="651"/>
      <c r="BU14" s="651"/>
      <c r="BV14" s="651"/>
      <c r="BW14" s="651"/>
      <c r="BX14" s="651"/>
      <c r="BY14" s="651"/>
      <c r="BZ14" s="651"/>
      <c r="CA14" s="651"/>
      <c r="CB14" s="651"/>
      <c r="CC14" s="651"/>
      <c r="CD14" s="651"/>
      <c r="CE14" s="651"/>
      <c r="CF14" s="651"/>
      <c r="CG14" s="651"/>
      <c r="CH14" s="651"/>
    </row>
    <row r="15" spans="1:86" s="401" customFormat="1" ht="57" customHeight="1" thickBot="1">
      <c r="A15" s="911" t="s">
        <v>865</v>
      </c>
      <c r="B15" s="912"/>
      <c r="C15" s="777">
        <v>85015021</v>
      </c>
      <c r="D15" s="551"/>
      <c r="E15" s="551">
        <v>35331271</v>
      </c>
      <c r="F15" s="759"/>
      <c r="G15" s="551"/>
      <c r="H15" s="551">
        <v>17224262</v>
      </c>
      <c r="I15" s="759"/>
      <c r="J15" s="551"/>
      <c r="K15" s="759">
        <v>32459488</v>
      </c>
      <c r="L15" s="759"/>
      <c r="M15" s="317"/>
      <c r="N15" s="551"/>
      <c r="O15" s="759"/>
      <c r="P15" s="317"/>
      <c r="Q15" s="551"/>
      <c r="R15" s="759"/>
      <c r="S15" s="317"/>
      <c r="T15" s="551"/>
      <c r="U15" s="759">
        <f t="shared" si="1"/>
        <v>85015021</v>
      </c>
      <c r="V15" s="759">
        <f t="shared" si="2"/>
        <v>0</v>
      </c>
      <c r="W15" s="759">
        <f t="shared" si="3"/>
        <v>85015021</v>
      </c>
      <c r="X15" s="771"/>
      <c r="Y15" s="771"/>
      <c r="Z15" s="760"/>
      <c r="AA15" s="400"/>
      <c r="AB15" s="400"/>
      <c r="AC15" s="400"/>
      <c r="AD15" s="400"/>
      <c r="AE15" s="400"/>
      <c r="AF15" s="400"/>
      <c r="AG15" s="400"/>
      <c r="AH15" s="400"/>
      <c r="AI15" s="400"/>
      <c r="AJ15" s="400"/>
      <c r="AK15" s="400"/>
      <c r="AL15" s="400"/>
      <c r="AM15" s="400"/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400"/>
      <c r="AY15" s="400"/>
      <c r="AZ15" s="400"/>
      <c r="BA15" s="400"/>
      <c r="BB15" s="400"/>
      <c r="BC15" s="400"/>
      <c r="BD15" s="400"/>
      <c r="BE15" s="400"/>
      <c r="BF15" s="400"/>
      <c r="BG15" s="400"/>
      <c r="BH15" s="400"/>
      <c r="BI15" s="400"/>
      <c r="BJ15" s="400"/>
      <c r="BK15" s="400"/>
      <c r="BL15" s="400"/>
      <c r="BM15" s="400"/>
      <c r="BN15" s="400"/>
      <c r="BO15" s="400"/>
      <c r="BP15" s="400"/>
      <c r="BQ15" s="400"/>
      <c r="BR15" s="400"/>
      <c r="BS15" s="400"/>
      <c r="BT15" s="400"/>
      <c r="BU15" s="400"/>
      <c r="BV15" s="400"/>
      <c r="BW15" s="400"/>
      <c r="BX15" s="400"/>
      <c r="BY15" s="400"/>
      <c r="BZ15" s="400"/>
      <c r="CA15" s="400"/>
      <c r="CB15" s="400"/>
      <c r="CC15" s="400"/>
      <c r="CD15" s="400"/>
      <c r="CE15" s="400"/>
      <c r="CF15" s="400"/>
      <c r="CG15" s="400"/>
      <c r="CH15" s="400"/>
    </row>
    <row r="16" spans="1:86" s="401" customFormat="1" ht="38.25" customHeight="1" thickBot="1">
      <c r="A16" s="911" t="s">
        <v>866</v>
      </c>
      <c r="B16" s="912"/>
      <c r="C16" s="777">
        <v>225000046</v>
      </c>
      <c r="D16" s="551"/>
      <c r="E16" s="551">
        <v>3566219</v>
      </c>
      <c r="F16" s="759"/>
      <c r="G16" s="551"/>
      <c r="H16" s="551">
        <v>172147086</v>
      </c>
      <c r="I16" s="759">
        <v>24999954</v>
      </c>
      <c r="J16" s="551"/>
      <c r="K16" s="759">
        <v>74286695</v>
      </c>
      <c r="L16" s="759"/>
      <c r="M16" s="317"/>
      <c r="N16" s="551"/>
      <c r="O16" s="759"/>
      <c r="P16" s="317"/>
      <c r="Q16" s="551"/>
      <c r="R16" s="759"/>
      <c r="S16" s="317"/>
      <c r="T16" s="551"/>
      <c r="U16" s="759">
        <f t="shared" si="1"/>
        <v>250000000</v>
      </c>
      <c r="V16" s="759">
        <f t="shared" si="2"/>
        <v>0</v>
      </c>
      <c r="W16" s="759">
        <f t="shared" si="3"/>
        <v>250000000</v>
      </c>
      <c r="X16" s="771"/>
      <c r="Y16" s="771"/>
      <c r="Z16" s="76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0"/>
      <c r="AP16" s="400"/>
      <c r="AQ16" s="400"/>
      <c r="AR16" s="400"/>
      <c r="AS16" s="400"/>
      <c r="AT16" s="400"/>
      <c r="AU16" s="400"/>
      <c r="AV16" s="400"/>
      <c r="AW16" s="400"/>
      <c r="AX16" s="400"/>
      <c r="AY16" s="400"/>
      <c r="AZ16" s="400"/>
      <c r="BA16" s="400"/>
      <c r="BB16" s="400"/>
      <c r="BC16" s="400"/>
      <c r="BD16" s="400"/>
      <c r="BE16" s="400"/>
      <c r="BF16" s="400"/>
      <c r="BG16" s="400"/>
      <c r="BH16" s="400"/>
      <c r="BI16" s="400"/>
      <c r="BJ16" s="400"/>
      <c r="BK16" s="400"/>
      <c r="BL16" s="400"/>
      <c r="BM16" s="400"/>
      <c r="BN16" s="400"/>
      <c r="BO16" s="400"/>
      <c r="BP16" s="400"/>
      <c r="BQ16" s="400"/>
      <c r="BR16" s="400"/>
      <c r="BS16" s="400"/>
      <c r="BT16" s="400"/>
      <c r="BU16" s="400"/>
      <c r="BV16" s="400"/>
      <c r="BW16" s="400"/>
      <c r="BX16" s="400"/>
      <c r="BY16" s="400"/>
      <c r="BZ16" s="400"/>
      <c r="CA16" s="400"/>
      <c r="CB16" s="400"/>
      <c r="CC16" s="400"/>
      <c r="CD16" s="400"/>
      <c r="CE16" s="400"/>
      <c r="CF16" s="400"/>
      <c r="CG16" s="400"/>
      <c r="CH16" s="400"/>
    </row>
    <row r="17" spans="1:86" s="401" customFormat="1" ht="38.25" customHeight="1" thickBot="1">
      <c r="A17" s="911" t="s">
        <v>867</v>
      </c>
      <c r="B17" s="912"/>
      <c r="C17" s="777">
        <v>200000000</v>
      </c>
      <c r="D17" s="551"/>
      <c r="E17" s="551">
        <v>4196635</v>
      </c>
      <c r="F17" s="759"/>
      <c r="G17" s="551"/>
      <c r="H17" s="551">
        <v>8791811</v>
      </c>
      <c r="I17" s="759"/>
      <c r="J17" s="551"/>
      <c r="K17" s="759">
        <v>187011554</v>
      </c>
      <c r="L17" s="759"/>
      <c r="M17" s="317"/>
      <c r="N17" s="551"/>
      <c r="O17" s="759"/>
      <c r="P17" s="317"/>
      <c r="Q17" s="551"/>
      <c r="R17" s="759"/>
      <c r="S17" s="317"/>
      <c r="T17" s="551"/>
      <c r="U17" s="759">
        <f t="shared" si="1"/>
        <v>200000000</v>
      </c>
      <c r="V17" s="759">
        <f t="shared" si="2"/>
        <v>0</v>
      </c>
      <c r="W17" s="759">
        <f t="shared" si="3"/>
        <v>200000000</v>
      </c>
      <c r="X17" s="771"/>
      <c r="Y17" s="771"/>
      <c r="Z17" s="76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AZ17" s="400"/>
      <c r="BA17" s="400"/>
      <c r="BB17" s="400"/>
      <c r="BC17" s="400"/>
      <c r="BD17" s="400"/>
      <c r="BE17" s="400"/>
      <c r="BF17" s="400"/>
      <c r="BG17" s="400"/>
      <c r="BH17" s="400"/>
      <c r="BI17" s="400"/>
      <c r="BJ17" s="400"/>
      <c r="BK17" s="400"/>
      <c r="BL17" s="400"/>
      <c r="BM17" s="400"/>
      <c r="BN17" s="400"/>
      <c r="BO17" s="400"/>
      <c r="BP17" s="400"/>
      <c r="BQ17" s="400"/>
      <c r="BR17" s="400"/>
      <c r="BS17" s="400"/>
      <c r="BT17" s="400"/>
      <c r="BU17" s="400"/>
      <c r="BV17" s="400"/>
      <c r="BW17" s="400"/>
      <c r="BX17" s="400"/>
      <c r="BY17" s="400"/>
      <c r="BZ17" s="400"/>
      <c r="CA17" s="400"/>
      <c r="CB17" s="400"/>
      <c r="CC17" s="400"/>
      <c r="CD17" s="400"/>
      <c r="CE17" s="400"/>
      <c r="CF17" s="400"/>
      <c r="CG17" s="400"/>
      <c r="CH17" s="400"/>
    </row>
    <row r="18" spans="1:86" s="401" customFormat="1" ht="38.25" customHeight="1" thickBot="1">
      <c r="A18" s="911" t="s">
        <v>868</v>
      </c>
      <c r="B18" s="912"/>
      <c r="C18" s="777">
        <v>127916054</v>
      </c>
      <c r="D18" s="551"/>
      <c r="E18" s="551">
        <v>7219731</v>
      </c>
      <c r="F18" s="759"/>
      <c r="G18" s="551"/>
      <c r="H18" s="551">
        <v>95813922</v>
      </c>
      <c r="I18" s="398"/>
      <c r="J18" s="551"/>
      <c r="K18" s="759">
        <v>24882401</v>
      </c>
      <c r="L18" s="398"/>
      <c r="M18" s="317"/>
      <c r="N18" s="551"/>
      <c r="O18" s="398"/>
      <c r="P18" s="317"/>
      <c r="Q18" s="551"/>
      <c r="R18" s="398"/>
      <c r="S18" s="317"/>
      <c r="T18" s="551"/>
      <c r="U18" s="759">
        <f t="shared" si="1"/>
        <v>127916054</v>
      </c>
      <c r="V18" s="759">
        <f t="shared" si="2"/>
        <v>0</v>
      </c>
      <c r="W18" s="759">
        <f t="shared" si="3"/>
        <v>127916054</v>
      </c>
      <c r="X18" s="771"/>
      <c r="Y18" s="771"/>
      <c r="Z18" s="76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400"/>
      <c r="AT18" s="400"/>
      <c r="AU18" s="400"/>
      <c r="AV18" s="400"/>
      <c r="AW18" s="400"/>
      <c r="AX18" s="400"/>
      <c r="AY18" s="400"/>
      <c r="AZ18" s="400"/>
      <c r="BA18" s="400"/>
      <c r="BB18" s="400"/>
      <c r="BC18" s="400"/>
      <c r="BD18" s="400"/>
      <c r="BE18" s="400"/>
      <c r="BF18" s="400"/>
      <c r="BG18" s="400"/>
      <c r="BH18" s="400"/>
      <c r="BI18" s="400"/>
      <c r="BJ18" s="400"/>
      <c r="BK18" s="400"/>
      <c r="BL18" s="400"/>
      <c r="BM18" s="400"/>
      <c r="BN18" s="400"/>
      <c r="BO18" s="400"/>
      <c r="BP18" s="400"/>
      <c r="BQ18" s="400"/>
      <c r="BR18" s="400"/>
      <c r="BS18" s="400"/>
      <c r="BT18" s="400"/>
      <c r="BU18" s="400"/>
      <c r="BV18" s="400"/>
      <c r="BW18" s="400"/>
      <c r="BX18" s="400"/>
      <c r="BY18" s="400"/>
      <c r="BZ18" s="400"/>
      <c r="CA18" s="400"/>
      <c r="CB18" s="400"/>
      <c r="CC18" s="400"/>
      <c r="CD18" s="400"/>
      <c r="CE18" s="400"/>
      <c r="CF18" s="400"/>
      <c r="CG18" s="400"/>
      <c r="CH18" s="400"/>
    </row>
    <row r="19" spans="1:86" s="401" customFormat="1" ht="30.75" customHeight="1" thickBot="1">
      <c r="A19" s="911" t="s">
        <v>870</v>
      </c>
      <c r="B19" s="912"/>
      <c r="C19" s="777">
        <v>200000000</v>
      </c>
      <c r="D19" s="551"/>
      <c r="E19" s="551">
        <v>213472</v>
      </c>
      <c r="F19" s="759"/>
      <c r="G19" s="551"/>
      <c r="H19" s="551">
        <v>93214678</v>
      </c>
      <c r="I19" s="759"/>
      <c r="J19" s="551"/>
      <c r="K19" s="759">
        <v>106571850</v>
      </c>
      <c r="L19" s="759"/>
      <c r="M19" s="317"/>
      <c r="N19" s="551"/>
      <c r="O19" s="759"/>
      <c r="P19" s="317"/>
      <c r="Q19" s="551"/>
      <c r="R19" s="759"/>
      <c r="S19" s="317"/>
      <c r="T19" s="551"/>
      <c r="U19" s="759">
        <f t="shared" si="1"/>
        <v>200000000</v>
      </c>
      <c r="V19" s="759">
        <f t="shared" si="2"/>
        <v>0</v>
      </c>
      <c r="W19" s="759">
        <f t="shared" si="3"/>
        <v>200000000</v>
      </c>
      <c r="X19" s="771"/>
      <c r="Y19" s="771"/>
      <c r="Z19" s="76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  <c r="AM19" s="400"/>
      <c r="AN19" s="400"/>
      <c r="AO19" s="400"/>
      <c r="AP19" s="400"/>
      <c r="AQ19" s="400"/>
      <c r="AR19" s="400"/>
      <c r="AS19" s="400"/>
      <c r="AT19" s="400"/>
      <c r="AU19" s="400"/>
      <c r="AV19" s="400"/>
      <c r="AW19" s="400"/>
      <c r="AX19" s="400"/>
      <c r="AY19" s="400"/>
      <c r="AZ19" s="400"/>
      <c r="BA19" s="400"/>
      <c r="BB19" s="400"/>
      <c r="BC19" s="400"/>
      <c r="BD19" s="400"/>
      <c r="BE19" s="400"/>
      <c r="BF19" s="400"/>
      <c r="BG19" s="400"/>
      <c r="BH19" s="400"/>
      <c r="BI19" s="400"/>
      <c r="BJ19" s="400"/>
      <c r="BK19" s="400"/>
      <c r="BL19" s="400"/>
      <c r="BM19" s="400"/>
      <c r="BN19" s="400"/>
      <c r="BO19" s="400"/>
      <c r="BP19" s="400"/>
      <c r="BQ19" s="400"/>
      <c r="BR19" s="400"/>
      <c r="BS19" s="400"/>
      <c r="BT19" s="400"/>
      <c r="BU19" s="400"/>
      <c r="BV19" s="400"/>
      <c r="BW19" s="400"/>
      <c r="BX19" s="400"/>
      <c r="BY19" s="400"/>
      <c r="BZ19" s="400"/>
      <c r="CA19" s="400"/>
      <c r="CB19" s="400"/>
      <c r="CC19" s="400"/>
      <c r="CD19" s="400"/>
      <c r="CE19" s="400"/>
      <c r="CF19" s="400"/>
      <c r="CG19" s="400"/>
      <c r="CH19" s="400"/>
    </row>
    <row r="20" spans="1:86" s="401" customFormat="1" ht="38.25" customHeight="1" thickBot="1">
      <c r="A20" s="911" t="s">
        <v>802</v>
      </c>
      <c r="B20" s="912"/>
      <c r="C20" s="777"/>
      <c r="D20" s="551"/>
      <c r="E20" s="551">
        <v>3505200</v>
      </c>
      <c r="F20" s="759">
        <v>215340000</v>
      </c>
      <c r="G20" s="551"/>
      <c r="H20" s="551">
        <v>3850000</v>
      </c>
      <c r="I20" s="759"/>
      <c r="J20" s="551"/>
      <c r="K20" s="759">
        <v>96494800</v>
      </c>
      <c r="L20" s="759"/>
      <c r="M20" s="317"/>
      <c r="N20" s="551">
        <v>111490000</v>
      </c>
      <c r="O20" s="759"/>
      <c r="P20" s="317"/>
      <c r="Q20" s="551"/>
      <c r="R20" s="759"/>
      <c r="S20" s="317"/>
      <c r="T20" s="551"/>
      <c r="U20" s="759">
        <f t="shared" si="1"/>
        <v>215340000</v>
      </c>
      <c r="V20" s="759">
        <f t="shared" si="2"/>
        <v>0</v>
      </c>
      <c r="W20" s="759">
        <f t="shared" si="3"/>
        <v>215340000</v>
      </c>
      <c r="X20" s="771"/>
      <c r="Y20" s="771"/>
      <c r="Z20" s="760"/>
      <c r="AA20" s="400"/>
      <c r="AB20" s="400"/>
      <c r="AC20" s="400"/>
      <c r="AD20" s="400"/>
      <c r="AE20" s="400"/>
      <c r="AF20" s="400"/>
      <c r="AG20" s="400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400"/>
      <c r="AT20" s="400"/>
      <c r="AU20" s="400"/>
      <c r="AV20" s="400"/>
      <c r="AW20" s="400"/>
      <c r="AX20" s="400"/>
      <c r="AY20" s="400"/>
      <c r="AZ20" s="400"/>
      <c r="BA20" s="400"/>
      <c r="BB20" s="400"/>
      <c r="BC20" s="400"/>
      <c r="BD20" s="400"/>
      <c r="BE20" s="400"/>
      <c r="BF20" s="400"/>
      <c r="BG20" s="400"/>
      <c r="BH20" s="400"/>
      <c r="BI20" s="400"/>
      <c r="BJ20" s="400"/>
      <c r="BK20" s="400"/>
      <c r="BL20" s="400"/>
      <c r="BM20" s="400"/>
      <c r="BN20" s="400"/>
      <c r="BO20" s="400"/>
      <c r="BP20" s="400"/>
      <c r="BQ20" s="400"/>
      <c r="BR20" s="400"/>
      <c r="BS20" s="400"/>
      <c r="BT20" s="400"/>
      <c r="BU20" s="400"/>
      <c r="BV20" s="400"/>
      <c r="BW20" s="400"/>
      <c r="BX20" s="400"/>
      <c r="BY20" s="400"/>
      <c r="BZ20" s="400"/>
      <c r="CA20" s="400"/>
      <c r="CB20" s="400"/>
      <c r="CC20" s="400"/>
      <c r="CD20" s="400"/>
      <c r="CE20" s="400"/>
      <c r="CF20" s="400"/>
      <c r="CG20" s="400"/>
      <c r="CH20" s="400"/>
    </row>
    <row r="21" spans="1:86" s="401" customFormat="1" ht="69" customHeight="1" thickBot="1">
      <c r="A21" s="911" t="s">
        <v>1013</v>
      </c>
      <c r="B21" s="912"/>
      <c r="C21" s="777"/>
      <c r="D21" s="551"/>
      <c r="E21" s="551"/>
      <c r="F21" s="759">
        <v>244000000</v>
      </c>
      <c r="G21" s="551"/>
      <c r="H21" s="551">
        <v>12255851</v>
      </c>
      <c r="I21" s="759"/>
      <c r="J21" s="551"/>
      <c r="K21" s="759">
        <v>231744149</v>
      </c>
      <c r="L21" s="759"/>
      <c r="M21" s="317"/>
      <c r="N21" s="551"/>
      <c r="O21" s="759"/>
      <c r="P21" s="317"/>
      <c r="Q21" s="551"/>
      <c r="R21" s="759"/>
      <c r="S21" s="317"/>
      <c r="T21" s="551"/>
      <c r="U21" s="759">
        <f t="shared" si="1"/>
        <v>244000000</v>
      </c>
      <c r="V21" s="759">
        <f t="shared" si="2"/>
        <v>0</v>
      </c>
      <c r="W21" s="759">
        <f t="shared" si="3"/>
        <v>244000000</v>
      </c>
      <c r="X21" s="771"/>
      <c r="Y21" s="771"/>
      <c r="Z21" s="76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0"/>
      <c r="BD21" s="400"/>
      <c r="BE21" s="400"/>
      <c r="BF21" s="400"/>
      <c r="BG21" s="400"/>
      <c r="BH21" s="400"/>
      <c r="BI21" s="400"/>
      <c r="BJ21" s="400"/>
      <c r="BK21" s="400"/>
      <c r="BL21" s="400"/>
      <c r="BM21" s="400"/>
      <c r="BN21" s="400"/>
      <c r="BO21" s="400"/>
      <c r="BP21" s="400"/>
      <c r="BQ21" s="400"/>
      <c r="BR21" s="400"/>
      <c r="BS21" s="400"/>
      <c r="BT21" s="400"/>
      <c r="BU21" s="400"/>
      <c r="BV21" s="400"/>
      <c r="BW21" s="400"/>
      <c r="BX21" s="400"/>
      <c r="BY21" s="400"/>
      <c r="BZ21" s="400"/>
      <c r="CA21" s="400"/>
      <c r="CB21" s="400"/>
      <c r="CC21" s="400"/>
      <c r="CD21" s="400"/>
      <c r="CE21" s="400"/>
      <c r="CF21" s="400"/>
      <c r="CG21" s="400"/>
      <c r="CH21" s="400"/>
    </row>
    <row r="22" spans="1:86" s="288" customFormat="1" ht="38.25" customHeight="1" thickBot="1">
      <c r="A22" s="1011" t="s">
        <v>808</v>
      </c>
      <c r="B22" s="1012"/>
      <c r="C22" s="776"/>
      <c r="D22" s="423"/>
      <c r="E22" s="423"/>
      <c r="F22" s="759"/>
      <c r="G22" s="423"/>
      <c r="H22" s="423">
        <v>4820000</v>
      </c>
      <c r="I22" s="759">
        <v>51714618</v>
      </c>
      <c r="J22" s="423"/>
      <c r="K22" s="759">
        <v>11723654</v>
      </c>
      <c r="L22" s="759"/>
      <c r="M22" s="398"/>
      <c r="N22" s="759">
        <v>11723654</v>
      </c>
      <c r="O22" s="759"/>
      <c r="P22" s="398"/>
      <c r="Q22" s="759">
        <v>11723655</v>
      </c>
      <c r="R22" s="759"/>
      <c r="S22" s="398"/>
      <c r="T22" s="759">
        <v>11723655</v>
      </c>
      <c r="U22" s="759">
        <f t="shared" si="1"/>
        <v>51714618</v>
      </c>
      <c r="V22" s="759">
        <f t="shared" si="2"/>
        <v>0</v>
      </c>
      <c r="W22" s="759">
        <f t="shared" si="3"/>
        <v>51714618</v>
      </c>
      <c r="X22" s="771"/>
      <c r="Y22" s="649"/>
      <c r="Z22" s="761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  <c r="AO22" s="408"/>
      <c r="AP22" s="408"/>
      <c r="AQ22" s="408"/>
      <c r="AR22" s="408"/>
      <c r="AS22" s="408"/>
      <c r="AT22" s="408"/>
      <c r="AU22" s="408"/>
      <c r="AV22" s="408"/>
      <c r="AW22" s="408"/>
      <c r="AX22" s="408"/>
      <c r="AY22" s="408"/>
      <c r="AZ22" s="408"/>
      <c r="BA22" s="408"/>
      <c r="BB22" s="408"/>
      <c r="BC22" s="408"/>
      <c r="BD22" s="408"/>
      <c r="BE22" s="408"/>
      <c r="BF22" s="408"/>
      <c r="BG22" s="408"/>
      <c r="BH22" s="408"/>
      <c r="BI22" s="408"/>
      <c r="BJ22" s="408"/>
      <c r="BK22" s="408"/>
      <c r="BL22" s="408"/>
      <c r="BM22" s="408"/>
      <c r="BN22" s="408"/>
      <c r="BO22" s="408"/>
      <c r="BP22" s="408"/>
      <c r="BQ22" s="408"/>
      <c r="BR22" s="408"/>
      <c r="BS22" s="408"/>
      <c r="BT22" s="408"/>
      <c r="BU22" s="408"/>
      <c r="BV22" s="408"/>
      <c r="BW22" s="408"/>
      <c r="BX22" s="408"/>
      <c r="BY22" s="408"/>
      <c r="BZ22" s="408"/>
      <c r="CA22" s="408"/>
      <c r="CB22" s="408"/>
      <c r="CC22" s="408"/>
      <c r="CD22" s="408"/>
      <c r="CE22" s="408"/>
      <c r="CF22" s="408"/>
      <c r="CG22" s="408"/>
      <c r="CH22" s="408"/>
    </row>
    <row r="23" spans="1:86" s="288" customFormat="1" ht="94.5" customHeight="1" thickBot="1">
      <c r="A23" s="1011" t="s">
        <v>810</v>
      </c>
      <c r="B23" s="1012"/>
      <c r="C23" s="776"/>
      <c r="D23" s="423"/>
      <c r="E23" s="423"/>
      <c r="F23" s="759">
        <v>20000000</v>
      </c>
      <c r="G23" s="423"/>
      <c r="H23" s="423">
        <v>12025</v>
      </c>
      <c r="I23" s="759"/>
      <c r="J23" s="423">
        <v>6666667</v>
      </c>
      <c r="K23" s="759">
        <v>26654642</v>
      </c>
      <c r="L23" s="759"/>
      <c r="M23" s="398"/>
      <c r="N23" s="423"/>
      <c r="O23" s="759"/>
      <c r="P23" s="398"/>
      <c r="Q23" s="423"/>
      <c r="R23" s="759"/>
      <c r="S23" s="398"/>
      <c r="T23" s="423"/>
      <c r="U23" s="759">
        <f t="shared" si="1"/>
        <v>20000000</v>
      </c>
      <c r="V23" s="759">
        <f t="shared" si="2"/>
        <v>6666667</v>
      </c>
      <c r="W23" s="759">
        <f t="shared" si="3"/>
        <v>26666667</v>
      </c>
      <c r="X23" s="771"/>
      <c r="Y23" s="649"/>
      <c r="Z23" s="761"/>
      <c r="AA23" s="408"/>
      <c r="AB23" s="408"/>
      <c r="AC23" s="408"/>
      <c r="AD23" s="408"/>
      <c r="AE23" s="408"/>
      <c r="AF23" s="408"/>
      <c r="AG23" s="408"/>
      <c r="AH23" s="408"/>
      <c r="AI23" s="408"/>
      <c r="AJ23" s="408"/>
      <c r="AK23" s="408"/>
      <c r="AL23" s="408"/>
      <c r="AM23" s="408"/>
      <c r="AN23" s="408"/>
      <c r="AO23" s="408"/>
      <c r="AP23" s="408"/>
      <c r="AQ23" s="408"/>
      <c r="AR23" s="408"/>
      <c r="AS23" s="408"/>
      <c r="AT23" s="408"/>
      <c r="AU23" s="408"/>
      <c r="AV23" s="408"/>
      <c r="AW23" s="408"/>
      <c r="AX23" s="408"/>
      <c r="AY23" s="408"/>
      <c r="AZ23" s="408"/>
      <c r="BA23" s="408"/>
      <c r="BB23" s="408"/>
      <c r="BC23" s="408"/>
      <c r="BD23" s="408"/>
      <c r="BE23" s="408"/>
      <c r="BF23" s="408"/>
      <c r="BG23" s="408"/>
      <c r="BH23" s="408"/>
      <c r="BI23" s="408"/>
      <c r="BJ23" s="408"/>
      <c r="BK23" s="408"/>
      <c r="BL23" s="408"/>
      <c r="BM23" s="408"/>
      <c r="BN23" s="408"/>
      <c r="BO23" s="408"/>
      <c r="BP23" s="408"/>
      <c r="BQ23" s="408"/>
      <c r="BR23" s="408"/>
      <c r="BS23" s="408"/>
      <c r="BT23" s="408"/>
      <c r="BU23" s="408"/>
      <c r="BV23" s="408"/>
      <c r="BW23" s="408"/>
      <c r="BX23" s="408"/>
      <c r="BY23" s="408"/>
      <c r="BZ23" s="408"/>
      <c r="CA23" s="408"/>
      <c r="CB23" s="408"/>
      <c r="CC23" s="408"/>
      <c r="CD23" s="408"/>
      <c r="CE23" s="408"/>
      <c r="CF23" s="408"/>
      <c r="CG23" s="408"/>
      <c r="CH23" s="408"/>
    </row>
    <row r="24" spans="1:86" s="288" customFormat="1" ht="75.75" customHeight="1" thickBot="1">
      <c r="A24" s="1011" t="s">
        <v>925</v>
      </c>
      <c r="B24" s="1012"/>
      <c r="C24" s="778"/>
      <c r="D24" s="772"/>
      <c r="E24" s="772"/>
      <c r="F24" s="759">
        <v>7500000</v>
      </c>
      <c r="G24" s="772"/>
      <c r="H24" s="772"/>
      <c r="I24" s="759">
        <v>2500000</v>
      </c>
      <c r="J24" s="772"/>
      <c r="K24" s="759">
        <v>10000000</v>
      </c>
      <c r="L24" s="759"/>
      <c r="M24" s="689"/>
      <c r="N24" s="772"/>
      <c r="O24" s="759"/>
      <c r="P24" s="689"/>
      <c r="Q24" s="772"/>
      <c r="R24" s="759"/>
      <c r="S24" s="689"/>
      <c r="T24" s="772"/>
      <c r="U24" s="759">
        <f t="shared" si="1"/>
        <v>10000000</v>
      </c>
      <c r="V24" s="759">
        <f t="shared" si="2"/>
        <v>0</v>
      </c>
      <c r="W24" s="759">
        <f t="shared" si="3"/>
        <v>10000000</v>
      </c>
      <c r="X24" s="771"/>
      <c r="Y24" s="649"/>
      <c r="Z24" s="761"/>
      <c r="AA24" s="408"/>
      <c r="AB24" s="408"/>
      <c r="AC24" s="408"/>
      <c r="AD24" s="408"/>
      <c r="AE24" s="408"/>
      <c r="AF24" s="408"/>
      <c r="AG24" s="408"/>
      <c r="AH24" s="408"/>
      <c r="AI24" s="408"/>
      <c r="AJ24" s="408"/>
      <c r="AK24" s="408"/>
      <c r="AL24" s="408"/>
      <c r="AM24" s="408"/>
      <c r="AN24" s="408"/>
      <c r="AO24" s="408"/>
      <c r="AP24" s="408"/>
      <c r="AQ24" s="408"/>
      <c r="AR24" s="408"/>
      <c r="AS24" s="408"/>
      <c r="AT24" s="408"/>
      <c r="AU24" s="408"/>
      <c r="AV24" s="408"/>
      <c r="AW24" s="408"/>
      <c r="AX24" s="408"/>
      <c r="AY24" s="408"/>
      <c r="AZ24" s="408"/>
      <c r="BA24" s="408"/>
      <c r="BB24" s="408"/>
      <c r="BC24" s="408"/>
      <c r="BD24" s="408"/>
      <c r="BE24" s="408"/>
      <c r="BF24" s="408"/>
      <c r="BG24" s="408"/>
      <c r="BH24" s="408"/>
      <c r="BI24" s="408"/>
      <c r="BJ24" s="408"/>
      <c r="BK24" s="408"/>
      <c r="BL24" s="408"/>
      <c r="BM24" s="408"/>
      <c r="BN24" s="408"/>
      <c r="BO24" s="408"/>
      <c r="BP24" s="408"/>
      <c r="BQ24" s="408"/>
      <c r="BR24" s="408"/>
      <c r="BS24" s="408"/>
      <c r="BT24" s="408"/>
      <c r="BU24" s="408"/>
      <c r="BV24" s="408"/>
      <c r="BW24" s="408"/>
      <c r="BX24" s="408"/>
      <c r="BY24" s="408"/>
      <c r="BZ24" s="408"/>
      <c r="CA24" s="408"/>
      <c r="CB24" s="408"/>
      <c r="CC24" s="408"/>
      <c r="CD24" s="408"/>
      <c r="CE24" s="408"/>
      <c r="CF24" s="408"/>
      <c r="CG24" s="408"/>
      <c r="CH24" s="408"/>
    </row>
    <row r="25" spans="1:86" s="288" customFormat="1" ht="30.75" customHeight="1" thickBot="1">
      <c r="A25" s="1009" t="s">
        <v>871</v>
      </c>
      <c r="B25" s="1010"/>
      <c r="C25" s="780"/>
      <c r="D25" s="781"/>
      <c r="E25" s="781"/>
      <c r="F25" s="774">
        <v>29999539</v>
      </c>
      <c r="G25" s="781"/>
      <c r="H25" s="781"/>
      <c r="I25" s="774"/>
      <c r="J25" s="781">
        <v>10000000</v>
      </c>
      <c r="K25" s="774">
        <v>39999539</v>
      </c>
      <c r="L25" s="774"/>
      <c r="M25" s="779"/>
      <c r="N25" s="781"/>
      <c r="O25" s="774"/>
      <c r="P25" s="779"/>
      <c r="Q25" s="781"/>
      <c r="R25" s="774"/>
      <c r="S25" s="779"/>
      <c r="T25" s="781"/>
      <c r="U25" s="759">
        <f t="shared" si="1"/>
        <v>29999539</v>
      </c>
      <c r="V25" s="759">
        <f t="shared" si="2"/>
        <v>10000000</v>
      </c>
      <c r="W25" s="759">
        <f t="shared" si="3"/>
        <v>39999539</v>
      </c>
      <c r="X25" s="771"/>
      <c r="Y25" s="649"/>
      <c r="Z25" s="761"/>
      <c r="AA25" s="408"/>
      <c r="AB25" s="408"/>
      <c r="AC25" s="408"/>
      <c r="AD25" s="408"/>
      <c r="AE25" s="408"/>
      <c r="AF25" s="408"/>
      <c r="AG25" s="408"/>
      <c r="AH25" s="408"/>
      <c r="AI25" s="408"/>
      <c r="AJ25" s="408"/>
      <c r="AK25" s="408"/>
      <c r="AL25" s="408"/>
      <c r="AM25" s="408"/>
      <c r="AN25" s="408"/>
      <c r="AO25" s="408"/>
      <c r="AP25" s="408"/>
      <c r="AQ25" s="408"/>
      <c r="AR25" s="408"/>
      <c r="AS25" s="408"/>
      <c r="AT25" s="408"/>
      <c r="AU25" s="408"/>
      <c r="AV25" s="408"/>
      <c r="AW25" s="408"/>
      <c r="AX25" s="408"/>
      <c r="AY25" s="408"/>
      <c r="AZ25" s="408"/>
      <c r="BA25" s="408"/>
      <c r="BB25" s="408"/>
      <c r="BC25" s="408"/>
      <c r="BD25" s="408"/>
      <c r="BE25" s="408"/>
      <c r="BF25" s="408"/>
      <c r="BG25" s="408"/>
      <c r="BH25" s="408"/>
      <c r="BI25" s="408"/>
      <c r="BJ25" s="408"/>
      <c r="BK25" s="408"/>
      <c r="BL25" s="408"/>
      <c r="BM25" s="408"/>
      <c r="BN25" s="408"/>
      <c r="BO25" s="408"/>
      <c r="BP25" s="408"/>
      <c r="BQ25" s="408"/>
      <c r="BR25" s="408"/>
      <c r="BS25" s="408"/>
      <c r="BT25" s="408"/>
      <c r="BU25" s="408"/>
      <c r="BV25" s="408"/>
      <c r="BW25" s="408"/>
      <c r="BX25" s="408"/>
      <c r="BY25" s="408"/>
      <c r="BZ25" s="408"/>
      <c r="CA25" s="408"/>
      <c r="CB25" s="408"/>
      <c r="CC25" s="408"/>
      <c r="CD25" s="408"/>
      <c r="CE25" s="408"/>
      <c r="CF25" s="408"/>
      <c r="CG25" s="408"/>
      <c r="CH25" s="408"/>
    </row>
    <row r="26" spans="1:86" thickBot="1">
      <c r="A26" s="298"/>
      <c r="B26" s="298"/>
      <c r="C26" s="773"/>
      <c r="D26" s="773"/>
      <c r="E26" s="773"/>
      <c r="F26" s="763"/>
      <c r="G26" s="773"/>
      <c r="H26" s="773"/>
      <c r="I26" s="763"/>
      <c r="J26" s="773"/>
      <c r="K26" s="763"/>
      <c r="L26" s="763"/>
      <c r="M26" s="763"/>
      <c r="N26" s="773"/>
      <c r="O26" s="763"/>
      <c r="P26" s="763"/>
      <c r="Q26" s="773"/>
      <c r="R26" s="763"/>
      <c r="S26" s="763"/>
      <c r="T26" s="773"/>
      <c r="U26" s="763"/>
      <c r="V26" s="773"/>
      <c r="W26" s="773"/>
      <c r="X26" s="773"/>
      <c r="Y26" s="773"/>
      <c r="Z26" s="762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3"/>
      <c r="BT26" s="283"/>
      <c r="BU26" s="283"/>
      <c r="BV26" s="283"/>
      <c r="BW26" s="283"/>
      <c r="BX26" s="283"/>
      <c r="BY26" s="283"/>
      <c r="BZ26" s="283"/>
      <c r="CA26" s="283"/>
      <c r="CB26" s="283"/>
      <c r="CC26" s="283"/>
      <c r="CD26" s="283"/>
      <c r="CE26" s="283"/>
      <c r="CF26" s="283"/>
      <c r="CG26" s="283"/>
      <c r="CH26" s="283"/>
    </row>
    <row r="27" spans="1:86" thickBot="1">
      <c r="A27" s="298"/>
      <c r="B27" s="298"/>
      <c r="C27" s="773"/>
      <c r="D27" s="773"/>
      <c r="E27" s="773"/>
      <c r="F27" s="763"/>
      <c r="G27" s="773"/>
      <c r="H27" s="773"/>
      <c r="I27" s="763"/>
      <c r="J27" s="773"/>
      <c r="K27" s="763"/>
      <c r="L27" s="763"/>
      <c r="M27" s="763"/>
      <c r="N27" s="773"/>
      <c r="O27" s="763"/>
      <c r="P27" s="763"/>
      <c r="Q27" s="773"/>
      <c r="R27" s="763"/>
      <c r="S27" s="763"/>
      <c r="T27" s="773"/>
      <c r="U27" s="763"/>
      <c r="V27" s="773"/>
      <c r="W27" s="773"/>
      <c r="X27" s="773"/>
      <c r="Y27" s="773"/>
      <c r="Z27" s="762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</row>
    <row r="28" spans="1:86" thickBot="1">
      <c r="A28" s="298"/>
      <c r="B28" s="298"/>
      <c r="C28" s="762"/>
      <c r="D28" s="762"/>
      <c r="E28" s="762"/>
      <c r="F28" s="763"/>
      <c r="G28" s="762"/>
      <c r="H28" s="762"/>
      <c r="I28" s="763"/>
      <c r="J28" s="762"/>
      <c r="K28" s="764"/>
      <c r="L28" s="763"/>
      <c r="M28" s="763"/>
      <c r="N28" s="762"/>
      <c r="O28" s="763"/>
      <c r="P28" s="763"/>
      <c r="Q28" s="762"/>
      <c r="R28" s="763"/>
      <c r="S28" s="763"/>
      <c r="T28" s="762"/>
      <c r="U28" s="763"/>
      <c r="V28" s="762"/>
      <c r="W28" s="762"/>
      <c r="X28" s="762"/>
      <c r="Y28" s="762"/>
      <c r="Z28" s="762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</row>
    <row r="29" spans="1:86" thickBot="1">
      <c r="A29" s="298"/>
      <c r="B29" s="298"/>
      <c r="C29" s="762"/>
      <c r="D29" s="762"/>
      <c r="E29" s="762"/>
      <c r="F29" s="763"/>
      <c r="G29" s="762"/>
      <c r="H29" s="762"/>
      <c r="I29" s="763"/>
      <c r="J29" s="762"/>
      <c r="K29" s="764"/>
      <c r="L29" s="763"/>
      <c r="M29" s="763"/>
      <c r="N29" s="762"/>
      <c r="O29" s="763"/>
      <c r="P29" s="763"/>
      <c r="Q29" s="762"/>
      <c r="R29" s="763"/>
      <c r="S29" s="763"/>
      <c r="T29" s="762"/>
      <c r="U29" s="763"/>
      <c r="V29" s="762"/>
      <c r="W29" s="762"/>
      <c r="X29" s="762"/>
      <c r="Y29" s="762"/>
      <c r="Z29" s="762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</row>
    <row r="30" spans="1:86" thickBot="1">
      <c r="A30" s="298"/>
      <c r="B30" s="298"/>
      <c r="C30" s="762"/>
      <c r="D30" s="762"/>
      <c r="E30" s="762"/>
      <c r="F30" s="763"/>
      <c r="G30" s="762"/>
      <c r="H30" s="762"/>
      <c r="I30" s="763"/>
      <c r="J30" s="762"/>
      <c r="K30" s="764"/>
      <c r="L30" s="763"/>
      <c r="M30" s="763"/>
      <c r="N30" s="762"/>
      <c r="O30" s="763"/>
      <c r="P30" s="763"/>
      <c r="Q30" s="762"/>
      <c r="R30" s="763"/>
      <c r="S30" s="763"/>
      <c r="T30" s="762"/>
      <c r="U30" s="763"/>
      <c r="V30" s="762"/>
      <c r="W30" s="762"/>
      <c r="X30" s="762"/>
      <c r="Y30" s="762"/>
      <c r="Z30" s="762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</row>
    <row r="31" spans="1:86" thickBot="1">
      <c r="A31" s="298"/>
      <c r="B31" s="298"/>
      <c r="C31" s="762"/>
      <c r="D31" s="762"/>
      <c r="E31" s="762"/>
      <c r="F31" s="763"/>
      <c r="G31" s="762"/>
      <c r="H31" s="762"/>
      <c r="I31" s="763"/>
      <c r="J31" s="762"/>
      <c r="K31" s="764"/>
      <c r="L31" s="763"/>
      <c r="M31" s="763"/>
      <c r="N31" s="762"/>
      <c r="O31" s="763"/>
      <c r="P31" s="763"/>
      <c r="Q31" s="762"/>
      <c r="R31" s="763"/>
      <c r="S31" s="763"/>
      <c r="T31" s="762"/>
      <c r="U31" s="763"/>
      <c r="V31" s="762"/>
      <c r="W31" s="762"/>
      <c r="X31" s="762"/>
      <c r="Y31" s="762"/>
      <c r="Z31" s="762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</row>
    <row r="32" spans="1:86" thickBot="1">
      <c r="A32" s="298"/>
      <c r="B32" s="298"/>
      <c r="C32" s="762"/>
      <c r="D32" s="762"/>
      <c r="E32" s="762"/>
      <c r="F32" s="763"/>
      <c r="G32" s="762"/>
      <c r="H32" s="762"/>
      <c r="I32" s="763"/>
      <c r="J32" s="762"/>
      <c r="K32" s="764"/>
      <c r="L32" s="763"/>
      <c r="M32" s="763"/>
      <c r="N32" s="762"/>
      <c r="O32" s="763"/>
      <c r="P32" s="763"/>
      <c r="Q32" s="762"/>
      <c r="R32" s="763"/>
      <c r="S32" s="763"/>
      <c r="T32" s="762"/>
      <c r="U32" s="763"/>
      <c r="V32" s="762"/>
      <c r="W32" s="762"/>
      <c r="X32" s="762"/>
      <c r="Y32" s="762"/>
      <c r="Z32" s="762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</row>
    <row r="33" spans="1:86" thickBot="1">
      <c r="A33" s="298"/>
      <c r="B33" s="298"/>
      <c r="C33" s="762"/>
      <c r="D33" s="762"/>
      <c r="E33" s="762"/>
      <c r="F33" s="763"/>
      <c r="G33" s="762"/>
      <c r="H33" s="762"/>
      <c r="I33" s="763"/>
      <c r="J33" s="762"/>
      <c r="K33" s="764"/>
      <c r="L33" s="763"/>
      <c r="M33" s="763"/>
      <c r="N33" s="762"/>
      <c r="O33" s="763"/>
      <c r="P33" s="763"/>
      <c r="Q33" s="762"/>
      <c r="R33" s="763"/>
      <c r="S33" s="763"/>
      <c r="T33" s="762"/>
      <c r="U33" s="763"/>
      <c r="V33" s="762"/>
      <c r="W33" s="762"/>
      <c r="X33" s="762"/>
      <c r="Y33" s="762"/>
      <c r="Z33" s="762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</row>
    <row r="34" spans="1:86" thickBot="1">
      <c r="A34" s="298"/>
      <c r="B34" s="298"/>
      <c r="C34" s="762"/>
      <c r="D34" s="762"/>
      <c r="E34" s="762"/>
      <c r="F34" s="763"/>
      <c r="G34" s="762"/>
      <c r="H34" s="762"/>
      <c r="I34" s="763"/>
      <c r="J34" s="762"/>
      <c r="K34" s="764"/>
      <c r="L34" s="763"/>
      <c r="M34" s="763"/>
      <c r="N34" s="762"/>
      <c r="O34" s="763"/>
      <c r="P34" s="763"/>
      <c r="Q34" s="762"/>
      <c r="R34" s="763"/>
      <c r="S34" s="763"/>
      <c r="T34" s="762"/>
      <c r="U34" s="763"/>
      <c r="V34" s="762"/>
      <c r="W34" s="762"/>
      <c r="X34" s="762"/>
      <c r="Y34" s="762"/>
      <c r="Z34" s="762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</row>
    <row r="35" spans="1:86" thickBot="1">
      <c r="A35" s="298"/>
      <c r="B35" s="298"/>
      <c r="C35" s="762"/>
      <c r="D35" s="762"/>
      <c r="E35" s="762"/>
      <c r="F35" s="763"/>
      <c r="G35" s="762"/>
      <c r="H35" s="762"/>
      <c r="I35" s="763"/>
      <c r="J35" s="762"/>
      <c r="K35" s="764"/>
      <c r="L35" s="763"/>
      <c r="M35" s="763"/>
      <c r="N35" s="762"/>
      <c r="O35" s="763"/>
      <c r="P35" s="763"/>
      <c r="Q35" s="762"/>
      <c r="R35" s="763"/>
      <c r="S35" s="763"/>
      <c r="T35" s="762"/>
      <c r="U35" s="763"/>
      <c r="V35" s="762"/>
      <c r="W35" s="762"/>
      <c r="X35" s="762"/>
      <c r="Y35" s="762"/>
      <c r="Z35" s="762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</row>
    <row r="36" spans="1:86" thickBot="1">
      <c r="A36" s="298"/>
      <c r="B36" s="298"/>
      <c r="C36" s="762"/>
      <c r="D36" s="762"/>
      <c r="E36" s="762"/>
      <c r="F36" s="763"/>
      <c r="G36" s="762"/>
      <c r="H36" s="762"/>
      <c r="I36" s="763"/>
      <c r="J36" s="762"/>
      <c r="K36" s="764"/>
      <c r="L36" s="763"/>
      <c r="M36" s="763"/>
      <c r="N36" s="762"/>
      <c r="O36" s="763"/>
      <c r="P36" s="763"/>
      <c r="Q36" s="762"/>
      <c r="R36" s="763"/>
      <c r="S36" s="763"/>
      <c r="T36" s="762"/>
      <c r="U36" s="763"/>
      <c r="V36" s="762"/>
      <c r="W36" s="762"/>
      <c r="X36" s="762"/>
      <c r="Y36" s="762"/>
      <c r="Z36" s="762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</row>
    <row r="37" spans="1:86" thickBot="1">
      <c r="A37" s="298"/>
      <c r="B37" s="298"/>
      <c r="C37" s="762"/>
      <c r="D37" s="762"/>
      <c r="E37" s="762"/>
      <c r="F37" s="763"/>
      <c r="G37" s="762"/>
      <c r="H37" s="762"/>
      <c r="I37" s="763"/>
      <c r="J37" s="762"/>
      <c r="K37" s="764"/>
      <c r="L37" s="763"/>
      <c r="M37" s="763"/>
      <c r="N37" s="762"/>
      <c r="O37" s="763"/>
      <c r="P37" s="763"/>
      <c r="Q37" s="762"/>
      <c r="R37" s="763"/>
      <c r="S37" s="763"/>
      <c r="T37" s="762"/>
      <c r="U37" s="763"/>
      <c r="V37" s="762"/>
      <c r="W37" s="762"/>
      <c r="X37" s="762"/>
      <c r="Y37" s="762"/>
      <c r="Z37" s="762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</row>
    <row r="38" spans="1:86" thickBot="1">
      <c r="A38" s="298"/>
      <c r="B38" s="298"/>
      <c r="C38" s="762"/>
      <c r="D38" s="762"/>
      <c r="E38" s="762"/>
      <c r="F38" s="763"/>
      <c r="G38" s="762"/>
      <c r="H38" s="762"/>
      <c r="I38" s="763"/>
      <c r="J38" s="762"/>
      <c r="K38" s="764"/>
      <c r="L38" s="763"/>
      <c r="M38" s="763"/>
      <c r="N38" s="762"/>
      <c r="O38" s="763"/>
      <c r="P38" s="763"/>
      <c r="Q38" s="762"/>
      <c r="R38" s="763"/>
      <c r="S38" s="763"/>
      <c r="T38" s="762"/>
      <c r="U38" s="763"/>
      <c r="V38" s="762"/>
      <c r="W38" s="762"/>
      <c r="X38" s="762"/>
      <c r="Y38" s="762"/>
      <c r="Z38" s="762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</row>
    <row r="39" spans="1:86" thickBot="1">
      <c r="A39" s="298"/>
      <c r="B39" s="298"/>
      <c r="C39" s="762"/>
      <c r="D39" s="762"/>
      <c r="E39" s="762"/>
      <c r="F39" s="763"/>
      <c r="G39" s="762"/>
      <c r="H39" s="762"/>
      <c r="I39" s="763"/>
      <c r="J39" s="762"/>
      <c r="K39" s="764"/>
      <c r="L39" s="763"/>
      <c r="M39" s="763"/>
      <c r="N39" s="762"/>
      <c r="O39" s="763"/>
      <c r="P39" s="763"/>
      <c r="Q39" s="762"/>
      <c r="R39" s="763"/>
      <c r="S39" s="763"/>
      <c r="T39" s="762"/>
      <c r="U39" s="763"/>
      <c r="V39" s="762"/>
      <c r="W39" s="762"/>
      <c r="X39" s="762"/>
      <c r="Y39" s="762"/>
      <c r="Z39" s="762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</row>
    <row r="40" spans="1:86" thickBot="1">
      <c r="A40" s="298"/>
      <c r="B40" s="298"/>
      <c r="C40" s="762"/>
      <c r="D40" s="762"/>
      <c r="E40" s="762"/>
      <c r="F40" s="763"/>
      <c r="G40" s="762"/>
      <c r="H40" s="762"/>
      <c r="I40" s="763"/>
      <c r="J40" s="762"/>
      <c r="K40" s="764"/>
      <c r="L40" s="763"/>
      <c r="M40" s="763"/>
      <c r="N40" s="762"/>
      <c r="O40" s="763"/>
      <c r="P40" s="763"/>
      <c r="Q40" s="762"/>
      <c r="R40" s="763"/>
      <c r="S40" s="763"/>
      <c r="T40" s="762"/>
      <c r="U40" s="763"/>
      <c r="V40" s="762"/>
      <c r="W40" s="762"/>
      <c r="X40" s="762"/>
      <c r="Y40" s="762"/>
      <c r="Z40" s="762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</row>
    <row r="41" spans="1:86" thickBot="1">
      <c r="A41" s="298"/>
      <c r="B41" s="298"/>
      <c r="C41" s="762"/>
      <c r="D41" s="762"/>
      <c r="E41" s="762"/>
      <c r="F41" s="763"/>
      <c r="G41" s="762"/>
      <c r="H41" s="762"/>
      <c r="I41" s="763"/>
      <c r="J41" s="762"/>
      <c r="K41" s="764"/>
      <c r="L41" s="763"/>
      <c r="M41" s="763"/>
      <c r="N41" s="762"/>
      <c r="O41" s="763"/>
      <c r="P41" s="763"/>
      <c r="Q41" s="762"/>
      <c r="R41" s="763"/>
      <c r="S41" s="763"/>
      <c r="T41" s="762"/>
      <c r="U41" s="763"/>
      <c r="V41" s="762"/>
      <c r="W41" s="762"/>
      <c r="X41" s="762"/>
      <c r="Y41" s="762"/>
      <c r="Z41" s="762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</row>
    <row r="42" spans="1:86" thickBot="1">
      <c r="A42" s="298"/>
      <c r="B42" s="298"/>
      <c r="C42" s="762"/>
      <c r="D42" s="762"/>
      <c r="E42" s="762"/>
      <c r="F42" s="763"/>
      <c r="G42" s="762"/>
      <c r="H42" s="762"/>
      <c r="I42" s="763"/>
      <c r="J42" s="762"/>
      <c r="K42" s="764"/>
      <c r="L42" s="763"/>
      <c r="M42" s="763"/>
      <c r="N42" s="762"/>
      <c r="O42" s="763"/>
      <c r="P42" s="763"/>
      <c r="Q42" s="762"/>
      <c r="R42" s="763"/>
      <c r="S42" s="763"/>
      <c r="T42" s="762"/>
      <c r="U42" s="763"/>
      <c r="V42" s="762"/>
      <c r="W42" s="762"/>
      <c r="X42" s="762"/>
      <c r="Y42" s="762"/>
      <c r="Z42" s="762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</row>
    <row r="43" spans="1:86" thickBot="1">
      <c r="A43" s="298"/>
      <c r="B43" s="298"/>
      <c r="C43" s="762"/>
      <c r="D43" s="762"/>
      <c r="E43" s="762"/>
      <c r="F43" s="763"/>
      <c r="G43" s="762"/>
      <c r="H43" s="762"/>
      <c r="I43" s="763"/>
      <c r="J43" s="762"/>
      <c r="K43" s="764"/>
      <c r="L43" s="763"/>
      <c r="M43" s="763"/>
      <c r="N43" s="762"/>
      <c r="O43" s="763"/>
      <c r="P43" s="763"/>
      <c r="Q43" s="762"/>
      <c r="R43" s="763"/>
      <c r="S43" s="763"/>
      <c r="T43" s="762"/>
      <c r="U43" s="763"/>
      <c r="V43" s="762"/>
      <c r="W43" s="762"/>
      <c r="X43" s="762"/>
      <c r="Y43" s="762"/>
      <c r="Z43" s="762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</row>
    <row r="44" spans="1:86" thickBot="1">
      <c r="A44" s="298"/>
      <c r="B44" s="298"/>
      <c r="C44" s="762"/>
      <c r="D44" s="762"/>
      <c r="E44" s="762"/>
      <c r="F44" s="763"/>
      <c r="G44" s="762"/>
      <c r="H44" s="762"/>
      <c r="I44" s="763"/>
      <c r="J44" s="762"/>
      <c r="K44" s="764"/>
      <c r="L44" s="763"/>
      <c r="M44" s="763"/>
      <c r="N44" s="762"/>
      <c r="O44" s="763"/>
      <c r="P44" s="763"/>
      <c r="Q44" s="762"/>
      <c r="R44" s="763"/>
      <c r="S44" s="763"/>
      <c r="T44" s="762"/>
      <c r="U44" s="763"/>
      <c r="V44" s="762"/>
      <c r="W44" s="762"/>
      <c r="X44" s="762"/>
      <c r="Y44" s="762"/>
      <c r="Z44" s="762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</row>
    <row r="45" spans="1:86" thickBot="1">
      <c r="A45" s="298"/>
      <c r="B45" s="298"/>
      <c r="C45" s="762"/>
      <c r="D45" s="762"/>
      <c r="E45" s="762"/>
      <c r="F45" s="763"/>
      <c r="G45" s="762"/>
      <c r="H45" s="762"/>
      <c r="I45" s="763"/>
      <c r="J45" s="762"/>
      <c r="K45" s="764"/>
      <c r="L45" s="763"/>
      <c r="M45" s="763"/>
      <c r="N45" s="762"/>
      <c r="O45" s="763"/>
      <c r="P45" s="763"/>
      <c r="Q45" s="762"/>
      <c r="R45" s="763"/>
      <c r="S45" s="763"/>
      <c r="T45" s="762"/>
      <c r="U45" s="763"/>
      <c r="V45" s="762"/>
      <c r="W45" s="762"/>
      <c r="X45" s="762"/>
      <c r="Y45" s="762"/>
      <c r="Z45" s="762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</row>
    <row r="46" spans="1:86" thickBot="1">
      <c r="A46" s="298"/>
      <c r="B46" s="298"/>
      <c r="C46" s="762"/>
      <c r="D46" s="762"/>
      <c r="E46" s="762"/>
      <c r="F46" s="763"/>
      <c r="G46" s="762"/>
      <c r="H46" s="762"/>
      <c r="I46" s="763"/>
      <c r="J46" s="762"/>
      <c r="K46" s="764"/>
      <c r="L46" s="763"/>
      <c r="M46" s="763"/>
      <c r="N46" s="762"/>
      <c r="O46" s="763"/>
      <c r="P46" s="763"/>
      <c r="Q46" s="762"/>
      <c r="R46" s="763"/>
      <c r="S46" s="763"/>
      <c r="T46" s="762"/>
      <c r="U46" s="763"/>
      <c r="V46" s="762"/>
      <c r="W46" s="762"/>
      <c r="X46" s="762"/>
      <c r="Y46" s="762"/>
      <c r="Z46" s="762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</row>
    <row r="47" spans="1:86" thickBot="1">
      <c r="A47" s="298"/>
      <c r="B47" s="298"/>
      <c r="C47" s="762"/>
      <c r="D47" s="762"/>
      <c r="E47" s="762"/>
      <c r="F47" s="763"/>
      <c r="G47" s="762"/>
      <c r="H47" s="762"/>
      <c r="I47" s="763"/>
      <c r="J47" s="762"/>
      <c r="K47" s="764"/>
      <c r="L47" s="763"/>
      <c r="M47" s="763"/>
      <c r="N47" s="762"/>
      <c r="O47" s="763"/>
      <c r="P47" s="763"/>
      <c r="Q47" s="762"/>
      <c r="R47" s="763"/>
      <c r="S47" s="763"/>
      <c r="T47" s="762"/>
      <c r="U47" s="763"/>
      <c r="V47" s="762"/>
      <c r="W47" s="762"/>
      <c r="X47" s="762"/>
      <c r="Y47" s="762"/>
      <c r="Z47" s="762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</row>
    <row r="48" spans="1:86" thickBot="1">
      <c r="A48" s="298"/>
      <c r="B48" s="298"/>
      <c r="C48" s="762"/>
      <c r="D48" s="762"/>
      <c r="E48" s="762"/>
      <c r="F48" s="763"/>
      <c r="G48" s="762"/>
      <c r="H48" s="762"/>
      <c r="I48" s="763"/>
      <c r="J48" s="762"/>
      <c r="K48" s="764"/>
      <c r="L48" s="763"/>
      <c r="M48" s="763"/>
      <c r="N48" s="762"/>
      <c r="O48" s="763"/>
      <c r="P48" s="763"/>
      <c r="Q48" s="762"/>
      <c r="R48" s="763"/>
      <c r="S48" s="763"/>
      <c r="T48" s="762"/>
      <c r="U48" s="763"/>
      <c r="V48" s="762"/>
      <c r="W48" s="762"/>
      <c r="X48" s="762"/>
      <c r="Y48" s="762"/>
      <c r="Z48" s="762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</row>
    <row r="49" spans="1:86" thickBot="1">
      <c r="A49" s="298"/>
      <c r="B49" s="298"/>
      <c r="C49" s="762"/>
      <c r="D49" s="762"/>
      <c r="E49" s="762"/>
      <c r="F49" s="763"/>
      <c r="G49" s="762"/>
      <c r="H49" s="762"/>
      <c r="I49" s="763"/>
      <c r="J49" s="762"/>
      <c r="K49" s="764"/>
      <c r="L49" s="763"/>
      <c r="M49" s="763"/>
      <c r="N49" s="762"/>
      <c r="O49" s="763"/>
      <c r="P49" s="763"/>
      <c r="Q49" s="762"/>
      <c r="R49" s="763"/>
      <c r="S49" s="763"/>
      <c r="T49" s="762"/>
      <c r="U49" s="763"/>
      <c r="V49" s="762"/>
      <c r="W49" s="762"/>
      <c r="X49" s="762"/>
      <c r="Y49" s="762"/>
      <c r="Z49" s="762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</row>
    <row r="50" spans="1:86" thickBot="1">
      <c r="A50" s="298"/>
      <c r="B50" s="298"/>
      <c r="C50" s="762"/>
      <c r="D50" s="762"/>
      <c r="E50" s="762"/>
      <c r="F50" s="763"/>
      <c r="G50" s="762"/>
      <c r="H50" s="762"/>
      <c r="I50" s="763"/>
      <c r="J50" s="762"/>
      <c r="K50" s="764"/>
      <c r="L50" s="763"/>
      <c r="M50" s="763"/>
      <c r="N50" s="762"/>
      <c r="O50" s="763"/>
      <c r="P50" s="763"/>
      <c r="Q50" s="762"/>
      <c r="R50" s="763"/>
      <c r="S50" s="763"/>
      <c r="T50" s="762"/>
      <c r="U50" s="763"/>
      <c r="V50" s="762"/>
      <c r="W50" s="762"/>
      <c r="X50" s="762"/>
      <c r="Y50" s="762"/>
      <c r="Z50" s="762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</row>
    <row r="51" spans="1:86" thickBot="1">
      <c r="A51" s="298"/>
      <c r="B51" s="298"/>
      <c r="C51" s="762"/>
      <c r="D51" s="762"/>
      <c r="E51" s="762"/>
      <c r="F51" s="763"/>
      <c r="G51" s="762"/>
      <c r="H51" s="762"/>
      <c r="I51" s="763"/>
      <c r="J51" s="762"/>
      <c r="K51" s="764"/>
      <c r="L51" s="763"/>
      <c r="M51" s="763"/>
      <c r="N51" s="762"/>
      <c r="O51" s="763"/>
      <c r="P51" s="763"/>
      <c r="Q51" s="762"/>
      <c r="R51" s="763"/>
      <c r="S51" s="763"/>
      <c r="T51" s="762"/>
      <c r="U51" s="763"/>
      <c r="V51" s="762"/>
      <c r="W51" s="762"/>
      <c r="X51" s="762"/>
      <c r="Y51" s="762"/>
      <c r="Z51" s="762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</row>
    <row r="52" spans="1:86" thickBot="1">
      <c r="A52" s="298"/>
      <c r="B52" s="298"/>
      <c r="C52" s="762"/>
      <c r="D52" s="762"/>
      <c r="E52" s="762"/>
      <c r="F52" s="763"/>
      <c r="G52" s="762"/>
      <c r="H52" s="762"/>
      <c r="I52" s="763"/>
      <c r="J52" s="762"/>
      <c r="K52" s="764"/>
      <c r="L52" s="763"/>
      <c r="M52" s="763"/>
      <c r="N52" s="762"/>
      <c r="O52" s="763"/>
      <c r="P52" s="763"/>
      <c r="Q52" s="762"/>
      <c r="R52" s="763"/>
      <c r="S52" s="763"/>
      <c r="T52" s="762"/>
      <c r="U52" s="763"/>
      <c r="V52" s="762"/>
      <c r="W52" s="762"/>
      <c r="X52" s="762"/>
      <c r="Y52" s="762"/>
      <c r="Z52" s="762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</row>
    <row r="53" spans="1:86" thickBot="1">
      <c r="A53" s="298"/>
      <c r="B53" s="298"/>
      <c r="C53" s="762"/>
      <c r="D53" s="762"/>
      <c r="E53" s="762"/>
      <c r="F53" s="763"/>
      <c r="G53" s="762"/>
      <c r="H53" s="762"/>
      <c r="I53" s="763"/>
      <c r="J53" s="762"/>
      <c r="K53" s="764"/>
      <c r="L53" s="763"/>
      <c r="M53" s="763"/>
      <c r="N53" s="762"/>
      <c r="O53" s="763"/>
      <c r="P53" s="763"/>
      <c r="Q53" s="762"/>
      <c r="R53" s="763"/>
      <c r="S53" s="763"/>
      <c r="T53" s="762"/>
      <c r="U53" s="763"/>
      <c r="V53" s="762"/>
      <c r="W53" s="762"/>
      <c r="X53" s="762"/>
      <c r="Y53" s="762"/>
      <c r="Z53" s="762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</row>
    <row r="54" spans="1:86" thickBot="1">
      <c r="A54" s="298"/>
      <c r="B54" s="298"/>
      <c r="C54" s="762"/>
      <c r="D54" s="762"/>
      <c r="E54" s="762"/>
      <c r="F54" s="763"/>
      <c r="G54" s="762"/>
      <c r="H54" s="762"/>
      <c r="I54" s="763"/>
      <c r="J54" s="762"/>
      <c r="K54" s="764"/>
      <c r="L54" s="763"/>
      <c r="M54" s="763"/>
      <c r="N54" s="762"/>
      <c r="O54" s="763"/>
      <c r="P54" s="763"/>
      <c r="Q54" s="762"/>
      <c r="R54" s="763"/>
      <c r="S54" s="763"/>
      <c r="T54" s="762"/>
      <c r="U54" s="763"/>
      <c r="V54" s="762"/>
      <c r="W54" s="762"/>
      <c r="X54" s="762"/>
      <c r="Y54" s="762"/>
      <c r="Z54" s="762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</row>
    <row r="55" spans="1:86" thickBot="1">
      <c r="A55" s="298"/>
      <c r="B55" s="298"/>
      <c r="C55" s="762"/>
      <c r="D55" s="762"/>
      <c r="E55" s="762"/>
      <c r="F55" s="763"/>
      <c r="G55" s="762"/>
      <c r="H55" s="762"/>
      <c r="I55" s="763"/>
      <c r="J55" s="762"/>
      <c r="K55" s="764"/>
      <c r="L55" s="763"/>
      <c r="M55" s="763"/>
      <c r="N55" s="762"/>
      <c r="O55" s="763"/>
      <c r="P55" s="763"/>
      <c r="Q55" s="762"/>
      <c r="R55" s="763"/>
      <c r="S55" s="763"/>
      <c r="T55" s="762"/>
      <c r="U55" s="763"/>
      <c r="V55" s="762"/>
      <c r="W55" s="762"/>
      <c r="X55" s="762"/>
      <c r="Y55" s="762"/>
      <c r="Z55" s="762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</row>
    <row r="56" spans="1:86" thickBot="1">
      <c r="A56" s="298"/>
      <c r="B56" s="298"/>
      <c r="C56" s="762"/>
      <c r="D56" s="762"/>
      <c r="E56" s="762"/>
      <c r="F56" s="763"/>
      <c r="G56" s="762"/>
      <c r="H56" s="762"/>
      <c r="I56" s="763"/>
      <c r="J56" s="762"/>
      <c r="K56" s="764"/>
      <c r="L56" s="763"/>
      <c r="M56" s="763"/>
      <c r="N56" s="762"/>
      <c r="O56" s="763"/>
      <c r="P56" s="763"/>
      <c r="Q56" s="762"/>
      <c r="R56" s="763"/>
      <c r="S56" s="763"/>
      <c r="T56" s="762"/>
      <c r="U56" s="763"/>
      <c r="V56" s="762"/>
      <c r="W56" s="762"/>
      <c r="X56" s="762"/>
      <c r="Y56" s="762"/>
      <c r="Z56" s="762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</row>
    <row r="57" spans="1:86" thickBot="1">
      <c r="A57" s="298"/>
      <c r="B57" s="298"/>
      <c r="C57" s="762"/>
      <c r="D57" s="762"/>
      <c r="E57" s="762"/>
      <c r="F57" s="763"/>
      <c r="G57" s="762"/>
      <c r="H57" s="762"/>
      <c r="I57" s="763"/>
      <c r="J57" s="762"/>
      <c r="K57" s="764"/>
      <c r="L57" s="763"/>
      <c r="M57" s="763"/>
      <c r="N57" s="762"/>
      <c r="O57" s="763"/>
      <c r="P57" s="763"/>
      <c r="Q57" s="762"/>
      <c r="R57" s="763"/>
      <c r="S57" s="763"/>
      <c r="T57" s="762"/>
      <c r="U57" s="763"/>
      <c r="V57" s="762"/>
      <c r="W57" s="762"/>
      <c r="X57" s="762"/>
      <c r="Y57" s="762"/>
      <c r="Z57" s="762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</row>
    <row r="58" spans="1:86" thickBot="1">
      <c r="A58" s="298"/>
      <c r="B58" s="298"/>
      <c r="C58" s="762"/>
      <c r="D58" s="762"/>
      <c r="E58" s="762"/>
      <c r="F58" s="763"/>
      <c r="G58" s="762"/>
      <c r="H58" s="762"/>
      <c r="I58" s="763"/>
      <c r="J58" s="762"/>
      <c r="K58" s="764"/>
      <c r="L58" s="763"/>
      <c r="M58" s="763"/>
      <c r="N58" s="762"/>
      <c r="O58" s="763"/>
      <c r="P58" s="763"/>
      <c r="Q58" s="762"/>
      <c r="R58" s="763"/>
      <c r="S58" s="763"/>
      <c r="T58" s="762"/>
      <c r="U58" s="763"/>
      <c r="V58" s="762"/>
      <c r="W58" s="762"/>
      <c r="X58" s="762"/>
      <c r="Y58" s="762"/>
      <c r="Z58" s="762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</row>
    <row r="59" spans="1:86" thickBot="1">
      <c r="A59" s="298"/>
      <c r="B59" s="298"/>
      <c r="C59" s="762"/>
      <c r="D59" s="762"/>
      <c r="E59" s="762"/>
      <c r="F59" s="763"/>
      <c r="G59" s="762"/>
      <c r="H59" s="762"/>
      <c r="I59" s="763"/>
      <c r="J59" s="762"/>
      <c r="K59" s="764"/>
      <c r="L59" s="763"/>
      <c r="M59" s="763"/>
      <c r="N59" s="762"/>
      <c r="O59" s="763"/>
      <c r="P59" s="763"/>
      <c r="Q59" s="762"/>
      <c r="R59" s="763"/>
      <c r="S59" s="763"/>
      <c r="T59" s="762"/>
      <c r="U59" s="763"/>
      <c r="V59" s="762"/>
      <c r="W59" s="762"/>
      <c r="X59" s="762"/>
      <c r="Y59" s="762"/>
      <c r="Z59" s="762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</row>
    <row r="60" spans="1:86" thickBot="1">
      <c r="A60" s="298"/>
      <c r="B60" s="298"/>
      <c r="C60" s="762"/>
      <c r="D60" s="762"/>
      <c r="E60" s="762"/>
      <c r="F60" s="763"/>
      <c r="G60" s="762"/>
      <c r="H60" s="762"/>
      <c r="I60" s="763"/>
      <c r="J60" s="762"/>
      <c r="K60" s="764"/>
      <c r="L60" s="763"/>
      <c r="M60" s="763"/>
      <c r="N60" s="762"/>
      <c r="O60" s="763"/>
      <c r="P60" s="763"/>
      <c r="Q60" s="762"/>
      <c r="R60" s="763"/>
      <c r="S60" s="763"/>
      <c r="T60" s="762"/>
      <c r="U60" s="763"/>
      <c r="V60" s="762"/>
      <c r="W60" s="762"/>
      <c r="X60" s="762"/>
      <c r="Y60" s="762"/>
      <c r="Z60" s="762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</row>
    <row r="61" spans="1:86" thickBot="1">
      <c r="A61" s="298"/>
      <c r="B61" s="298"/>
      <c r="C61" s="762"/>
      <c r="D61" s="762"/>
      <c r="E61" s="762"/>
      <c r="F61" s="763"/>
      <c r="G61" s="762"/>
      <c r="H61" s="762"/>
      <c r="I61" s="763"/>
      <c r="J61" s="762"/>
      <c r="K61" s="764"/>
      <c r="L61" s="763"/>
      <c r="M61" s="763"/>
      <c r="N61" s="762"/>
      <c r="O61" s="763"/>
      <c r="P61" s="763"/>
      <c r="Q61" s="762"/>
      <c r="R61" s="763"/>
      <c r="S61" s="763"/>
      <c r="T61" s="762"/>
      <c r="U61" s="763"/>
      <c r="V61" s="762"/>
      <c r="W61" s="762"/>
      <c r="X61" s="762"/>
      <c r="Y61" s="762"/>
      <c r="Z61" s="762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</row>
    <row r="62" spans="1:86" thickBot="1">
      <c r="A62" s="298"/>
      <c r="B62" s="298"/>
      <c r="C62" s="762"/>
      <c r="D62" s="762"/>
      <c r="E62" s="762"/>
      <c r="F62" s="763"/>
      <c r="G62" s="762"/>
      <c r="H62" s="762"/>
      <c r="I62" s="763"/>
      <c r="J62" s="762"/>
      <c r="K62" s="764"/>
      <c r="L62" s="763"/>
      <c r="M62" s="763"/>
      <c r="N62" s="762"/>
      <c r="O62" s="763"/>
      <c r="P62" s="763"/>
      <c r="Q62" s="762"/>
      <c r="R62" s="763"/>
      <c r="S62" s="763"/>
      <c r="T62" s="762"/>
      <c r="U62" s="763"/>
      <c r="V62" s="762"/>
      <c r="W62" s="762"/>
      <c r="X62" s="762"/>
      <c r="Y62" s="762"/>
      <c r="Z62" s="762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</row>
    <row r="63" spans="1:86" thickBot="1">
      <c r="A63" s="298"/>
      <c r="B63" s="298"/>
      <c r="C63" s="762"/>
      <c r="D63" s="762"/>
      <c r="E63" s="762"/>
      <c r="F63" s="763"/>
      <c r="G63" s="762"/>
      <c r="H63" s="762"/>
      <c r="I63" s="763"/>
      <c r="J63" s="762"/>
      <c r="K63" s="764"/>
      <c r="L63" s="763"/>
      <c r="M63" s="763"/>
      <c r="N63" s="762"/>
      <c r="O63" s="763"/>
      <c r="P63" s="763"/>
      <c r="Q63" s="762"/>
      <c r="R63" s="763"/>
      <c r="S63" s="763"/>
      <c r="T63" s="762"/>
      <c r="U63" s="763"/>
      <c r="V63" s="762"/>
      <c r="W63" s="762"/>
      <c r="X63" s="762"/>
      <c r="Y63" s="762"/>
      <c r="Z63" s="762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</row>
    <row r="64" spans="1:86" thickBot="1">
      <c r="A64" s="298"/>
      <c r="B64" s="298"/>
      <c r="C64" s="762"/>
      <c r="D64" s="762"/>
      <c r="E64" s="762"/>
      <c r="F64" s="763"/>
      <c r="G64" s="762"/>
      <c r="H64" s="762"/>
      <c r="I64" s="763"/>
      <c r="J64" s="762"/>
      <c r="K64" s="764"/>
      <c r="L64" s="763"/>
      <c r="M64" s="763"/>
      <c r="N64" s="762"/>
      <c r="O64" s="763"/>
      <c r="P64" s="763"/>
      <c r="Q64" s="762"/>
      <c r="R64" s="763"/>
      <c r="S64" s="763"/>
      <c r="T64" s="762"/>
      <c r="U64" s="763"/>
      <c r="V64" s="762"/>
      <c r="W64" s="762"/>
      <c r="X64" s="762"/>
      <c r="Y64" s="762"/>
      <c r="Z64" s="762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</row>
    <row r="65" spans="1:86" thickBot="1">
      <c r="A65" s="298"/>
      <c r="B65" s="298"/>
      <c r="C65" s="762"/>
      <c r="D65" s="762"/>
      <c r="E65" s="762"/>
      <c r="F65" s="763"/>
      <c r="G65" s="762"/>
      <c r="H65" s="762"/>
      <c r="I65" s="763"/>
      <c r="J65" s="762"/>
      <c r="K65" s="764"/>
      <c r="L65" s="763"/>
      <c r="M65" s="763"/>
      <c r="N65" s="762"/>
      <c r="O65" s="763"/>
      <c r="P65" s="763"/>
      <c r="Q65" s="762"/>
      <c r="R65" s="763"/>
      <c r="S65" s="763"/>
      <c r="T65" s="762"/>
      <c r="U65" s="763"/>
      <c r="V65" s="762"/>
      <c r="W65" s="762"/>
      <c r="X65" s="762"/>
      <c r="Y65" s="762"/>
      <c r="Z65" s="762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</row>
    <row r="66" spans="1:86" thickBot="1">
      <c r="A66" s="298"/>
      <c r="B66" s="298"/>
      <c r="C66" s="762"/>
      <c r="D66" s="762"/>
      <c r="E66" s="762"/>
      <c r="F66" s="763"/>
      <c r="G66" s="762"/>
      <c r="H66" s="762"/>
      <c r="I66" s="763"/>
      <c r="J66" s="762"/>
      <c r="K66" s="764"/>
      <c r="L66" s="763"/>
      <c r="M66" s="763"/>
      <c r="N66" s="762"/>
      <c r="O66" s="763"/>
      <c r="P66" s="763"/>
      <c r="Q66" s="762"/>
      <c r="R66" s="763"/>
      <c r="S66" s="763"/>
      <c r="T66" s="762"/>
      <c r="U66" s="763"/>
      <c r="V66" s="762"/>
      <c r="W66" s="762"/>
      <c r="X66" s="762"/>
      <c r="Y66" s="762"/>
      <c r="Z66" s="762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</row>
    <row r="67" spans="1:86" thickBot="1">
      <c r="A67" s="298"/>
      <c r="B67" s="298"/>
      <c r="C67" s="762"/>
      <c r="D67" s="762"/>
      <c r="E67" s="762"/>
      <c r="F67" s="763"/>
      <c r="G67" s="762"/>
      <c r="H67" s="762"/>
      <c r="I67" s="763"/>
      <c r="J67" s="762"/>
      <c r="K67" s="764"/>
      <c r="L67" s="763"/>
      <c r="M67" s="763"/>
      <c r="N67" s="762"/>
      <c r="O67" s="763"/>
      <c r="P67" s="763"/>
      <c r="Q67" s="762"/>
      <c r="R67" s="763"/>
      <c r="S67" s="763"/>
      <c r="T67" s="762"/>
      <c r="U67" s="763"/>
      <c r="V67" s="762"/>
      <c r="W67" s="762"/>
      <c r="X67" s="762"/>
      <c r="Y67" s="762"/>
      <c r="Z67" s="762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</row>
    <row r="68" spans="1:86" thickBot="1">
      <c r="A68" s="298"/>
      <c r="B68" s="298"/>
      <c r="C68" s="762"/>
      <c r="D68" s="762"/>
      <c r="E68" s="762"/>
      <c r="F68" s="763"/>
      <c r="G68" s="762"/>
      <c r="H68" s="762"/>
      <c r="I68" s="763"/>
      <c r="J68" s="762"/>
      <c r="K68" s="764"/>
      <c r="L68" s="763"/>
      <c r="M68" s="763"/>
      <c r="N68" s="762"/>
      <c r="O68" s="763"/>
      <c r="P68" s="763"/>
      <c r="Q68" s="762"/>
      <c r="R68" s="763"/>
      <c r="S68" s="763"/>
      <c r="T68" s="762"/>
      <c r="U68" s="763"/>
      <c r="V68" s="762"/>
      <c r="W68" s="762"/>
      <c r="X68" s="762"/>
      <c r="Y68" s="762"/>
      <c r="Z68" s="762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</row>
    <row r="69" spans="1:86" thickBot="1">
      <c r="A69" s="298"/>
      <c r="B69" s="298"/>
      <c r="C69" s="762"/>
      <c r="D69" s="762"/>
      <c r="E69" s="762"/>
      <c r="F69" s="763"/>
      <c r="G69" s="762"/>
      <c r="H69" s="762"/>
      <c r="I69" s="762"/>
      <c r="J69" s="762"/>
      <c r="K69" s="765"/>
      <c r="L69" s="762"/>
      <c r="M69" s="762"/>
      <c r="N69" s="762"/>
      <c r="O69" s="762"/>
      <c r="P69" s="762"/>
      <c r="Q69" s="762"/>
      <c r="R69" s="762"/>
      <c r="S69" s="762"/>
      <c r="T69" s="762"/>
      <c r="U69" s="762"/>
      <c r="V69" s="762"/>
      <c r="W69" s="762"/>
      <c r="X69" s="762"/>
      <c r="Y69" s="762"/>
      <c r="Z69" s="762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</row>
    <row r="70" spans="1:86" thickBot="1">
      <c r="A70" s="298"/>
      <c r="B70" s="298"/>
      <c r="C70" s="762"/>
      <c r="D70" s="762"/>
      <c r="E70" s="762"/>
      <c r="F70" s="763"/>
      <c r="G70" s="762"/>
      <c r="H70" s="762"/>
      <c r="I70" s="762"/>
      <c r="J70" s="762"/>
      <c r="K70" s="765"/>
      <c r="L70" s="762"/>
      <c r="M70" s="762"/>
      <c r="N70" s="762"/>
      <c r="O70" s="762"/>
      <c r="P70" s="762"/>
      <c r="Q70" s="762"/>
      <c r="R70" s="762"/>
      <c r="S70" s="762"/>
      <c r="T70" s="762"/>
      <c r="U70" s="762"/>
      <c r="V70" s="762"/>
      <c r="W70" s="762"/>
      <c r="X70" s="762"/>
      <c r="Y70" s="762"/>
      <c r="Z70" s="762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</row>
    <row r="71" spans="1:86" thickBot="1">
      <c r="A71" s="298"/>
      <c r="B71" s="298"/>
      <c r="C71" s="762"/>
      <c r="D71" s="762"/>
      <c r="E71" s="762"/>
      <c r="F71" s="763"/>
      <c r="G71" s="762"/>
      <c r="H71" s="762"/>
      <c r="I71" s="762"/>
      <c r="J71" s="762"/>
      <c r="K71" s="765"/>
      <c r="L71" s="762"/>
      <c r="M71" s="762"/>
      <c r="N71" s="762"/>
      <c r="O71" s="762"/>
      <c r="P71" s="762"/>
      <c r="Q71" s="762"/>
      <c r="R71" s="762"/>
      <c r="S71" s="762"/>
      <c r="T71" s="762"/>
      <c r="U71" s="762"/>
      <c r="V71" s="762"/>
      <c r="W71" s="762"/>
      <c r="X71" s="762"/>
      <c r="Y71" s="762"/>
      <c r="Z71" s="762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</row>
    <row r="72" spans="1:86" thickBot="1">
      <c r="A72" s="298"/>
      <c r="B72" s="298"/>
      <c r="C72" s="762"/>
      <c r="D72" s="762"/>
      <c r="E72" s="762"/>
      <c r="F72" s="763"/>
      <c r="G72" s="762"/>
      <c r="H72" s="762"/>
      <c r="I72" s="762"/>
      <c r="J72" s="762"/>
      <c r="K72" s="765"/>
      <c r="L72" s="762"/>
      <c r="M72" s="762"/>
      <c r="N72" s="762"/>
      <c r="O72" s="762"/>
      <c r="P72" s="762"/>
      <c r="Q72" s="762"/>
      <c r="R72" s="762"/>
      <c r="S72" s="762"/>
      <c r="T72" s="762"/>
      <c r="U72" s="762"/>
      <c r="V72" s="762"/>
      <c r="W72" s="762"/>
      <c r="X72" s="762"/>
      <c r="Y72" s="762"/>
      <c r="Z72" s="762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</row>
    <row r="73" spans="1:86" thickBot="1">
      <c r="A73" s="298"/>
      <c r="B73" s="298"/>
      <c r="C73" s="762"/>
      <c r="D73" s="762"/>
      <c r="E73" s="762"/>
      <c r="F73" s="763"/>
      <c r="G73" s="762"/>
      <c r="H73" s="762"/>
      <c r="I73" s="762"/>
      <c r="J73" s="762"/>
      <c r="K73" s="765"/>
      <c r="L73" s="762"/>
      <c r="M73" s="762"/>
      <c r="N73" s="762"/>
      <c r="O73" s="762"/>
      <c r="P73" s="762"/>
      <c r="Q73" s="762"/>
      <c r="R73" s="762"/>
      <c r="S73" s="762"/>
      <c r="T73" s="762"/>
      <c r="U73" s="762"/>
      <c r="V73" s="762"/>
      <c r="W73" s="762"/>
      <c r="X73" s="762"/>
      <c r="Y73" s="762"/>
      <c r="Z73" s="762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</row>
    <row r="74" spans="1:86" thickBot="1">
      <c r="A74" s="298"/>
      <c r="B74" s="298"/>
      <c r="C74" s="762"/>
      <c r="D74" s="762"/>
      <c r="E74" s="762"/>
      <c r="F74" s="763"/>
      <c r="G74" s="762"/>
      <c r="H74" s="762"/>
      <c r="I74" s="762"/>
      <c r="J74" s="762"/>
      <c r="K74" s="765"/>
      <c r="L74" s="762"/>
      <c r="M74" s="762"/>
      <c r="N74" s="762"/>
      <c r="O74" s="762"/>
      <c r="P74" s="762"/>
      <c r="Q74" s="762"/>
      <c r="R74" s="762"/>
      <c r="S74" s="762"/>
      <c r="T74" s="762"/>
      <c r="U74" s="762"/>
      <c r="V74" s="762"/>
      <c r="W74" s="762"/>
      <c r="X74" s="762"/>
      <c r="Y74" s="762"/>
      <c r="Z74" s="762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</row>
    <row r="75" spans="1:86" thickBot="1">
      <c r="A75" s="298"/>
      <c r="B75" s="298"/>
      <c r="C75" s="762"/>
      <c r="D75" s="762"/>
      <c r="E75" s="762"/>
      <c r="F75" s="763"/>
      <c r="G75" s="762"/>
      <c r="H75" s="762"/>
      <c r="I75" s="762"/>
      <c r="J75" s="762"/>
      <c r="K75" s="765"/>
      <c r="L75" s="762"/>
      <c r="M75" s="762"/>
      <c r="N75" s="762"/>
      <c r="O75" s="762"/>
      <c r="P75" s="762"/>
      <c r="Q75" s="762"/>
      <c r="R75" s="762"/>
      <c r="S75" s="762"/>
      <c r="T75" s="762"/>
      <c r="U75" s="762"/>
      <c r="V75" s="762"/>
      <c r="W75" s="762"/>
      <c r="X75" s="762"/>
      <c r="Y75" s="762"/>
      <c r="Z75" s="762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</row>
    <row r="76" spans="1:86" thickBot="1">
      <c r="A76" s="298"/>
      <c r="B76" s="298"/>
      <c r="C76" s="762"/>
      <c r="D76" s="762"/>
      <c r="E76" s="762"/>
      <c r="F76" s="763"/>
      <c r="G76" s="762"/>
      <c r="H76" s="762"/>
      <c r="I76" s="762"/>
      <c r="J76" s="762"/>
      <c r="K76" s="765"/>
      <c r="L76" s="762"/>
      <c r="M76" s="762"/>
      <c r="N76" s="762"/>
      <c r="O76" s="762"/>
      <c r="P76" s="762"/>
      <c r="Q76" s="762"/>
      <c r="R76" s="762"/>
      <c r="S76" s="762"/>
      <c r="T76" s="762"/>
      <c r="U76" s="762"/>
      <c r="V76" s="762"/>
      <c r="W76" s="762"/>
      <c r="X76" s="762"/>
      <c r="Y76" s="762"/>
      <c r="Z76" s="762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</row>
    <row r="77" spans="1:86" thickBot="1">
      <c r="A77" s="298"/>
      <c r="B77" s="298"/>
      <c r="C77" s="762"/>
      <c r="D77" s="762"/>
      <c r="E77" s="762"/>
      <c r="F77" s="763"/>
      <c r="G77" s="762"/>
      <c r="H77" s="762"/>
      <c r="I77" s="762"/>
      <c r="J77" s="762"/>
      <c r="K77" s="765"/>
      <c r="L77" s="762"/>
      <c r="M77" s="762"/>
      <c r="N77" s="762"/>
      <c r="O77" s="762"/>
      <c r="P77" s="762"/>
      <c r="Q77" s="762"/>
      <c r="R77" s="762"/>
      <c r="S77" s="762"/>
      <c r="T77" s="762"/>
      <c r="U77" s="762"/>
      <c r="V77" s="762"/>
      <c r="W77" s="762"/>
      <c r="X77" s="762"/>
      <c r="Y77" s="762"/>
      <c r="Z77" s="762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</row>
    <row r="78" spans="1:86" thickBot="1">
      <c r="A78" s="298"/>
      <c r="B78" s="298"/>
      <c r="C78" s="762"/>
      <c r="D78" s="762"/>
      <c r="E78" s="762"/>
      <c r="F78" s="763"/>
      <c r="G78" s="762"/>
      <c r="H78" s="762"/>
      <c r="I78" s="762"/>
      <c r="J78" s="762"/>
      <c r="K78" s="765"/>
      <c r="L78" s="762"/>
      <c r="M78" s="762"/>
      <c r="N78" s="762"/>
      <c r="O78" s="762"/>
      <c r="P78" s="762"/>
      <c r="Q78" s="762"/>
      <c r="R78" s="762"/>
      <c r="S78" s="762"/>
      <c r="T78" s="762"/>
      <c r="U78" s="762"/>
      <c r="V78" s="762"/>
      <c r="W78" s="762"/>
      <c r="X78" s="762"/>
      <c r="Y78" s="762"/>
      <c r="Z78" s="762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</row>
    <row r="79" spans="1:86" thickBot="1">
      <c r="A79" s="298"/>
      <c r="B79" s="298"/>
      <c r="C79" s="762"/>
      <c r="D79" s="762"/>
      <c r="E79" s="762"/>
      <c r="F79" s="763"/>
      <c r="G79" s="762"/>
      <c r="H79" s="762"/>
      <c r="I79" s="762"/>
      <c r="J79" s="762"/>
      <c r="K79" s="765"/>
      <c r="L79" s="762"/>
      <c r="M79" s="762"/>
      <c r="N79" s="762"/>
      <c r="O79" s="762"/>
      <c r="P79" s="762"/>
      <c r="Q79" s="762"/>
      <c r="R79" s="762"/>
      <c r="S79" s="762"/>
      <c r="T79" s="762"/>
      <c r="U79" s="762"/>
      <c r="V79" s="762"/>
      <c r="W79" s="762"/>
      <c r="X79" s="762"/>
      <c r="Y79" s="762"/>
      <c r="Z79" s="762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</row>
    <row r="80" spans="1:86" thickBot="1">
      <c r="A80" s="298"/>
      <c r="B80" s="298"/>
      <c r="C80" s="762"/>
      <c r="D80" s="762"/>
      <c r="E80" s="762"/>
      <c r="F80" s="763"/>
      <c r="G80" s="762"/>
      <c r="H80" s="762"/>
      <c r="I80" s="762"/>
      <c r="J80" s="762"/>
      <c r="K80" s="765"/>
      <c r="L80" s="762"/>
      <c r="M80" s="762"/>
      <c r="N80" s="762"/>
      <c r="O80" s="762"/>
      <c r="P80" s="762"/>
      <c r="Q80" s="762"/>
      <c r="R80" s="762"/>
      <c r="S80" s="762"/>
      <c r="T80" s="762"/>
      <c r="U80" s="762"/>
      <c r="V80" s="762"/>
      <c r="W80" s="762"/>
      <c r="X80" s="762"/>
      <c r="Y80" s="762"/>
      <c r="Z80" s="762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</row>
    <row r="81" spans="1:86" thickBot="1">
      <c r="A81" s="298"/>
      <c r="B81" s="298"/>
      <c r="C81" s="762"/>
      <c r="D81" s="762"/>
      <c r="E81" s="762"/>
      <c r="F81" s="763"/>
      <c r="G81" s="762"/>
      <c r="H81" s="762"/>
      <c r="I81" s="762"/>
      <c r="J81" s="762"/>
      <c r="K81" s="765"/>
      <c r="L81" s="762"/>
      <c r="M81" s="762"/>
      <c r="N81" s="762"/>
      <c r="O81" s="762"/>
      <c r="P81" s="762"/>
      <c r="Q81" s="762"/>
      <c r="R81" s="762"/>
      <c r="S81" s="762"/>
      <c r="T81" s="762"/>
      <c r="U81" s="762"/>
      <c r="V81" s="762"/>
      <c r="W81" s="762"/>
      <c r="X81" s="762"/>
      <c r="Y81" s="762"/>
      <c r="Z81" s="762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</row>
    <row r="82" spans="1:86" thickBot="1">
      <c r="A82" s="298"/>
      <c r="B82" s="298"/>
      <c r="C82" s="762"/>
      <c r="D82" s="762"/>
      <c r="E82" s="762"/>
      <c r="F82" s="763"/>
      <c r="G82" s="762"/>
      <c r="H82" s="762"/>
      <c r="I82" s="762"/>
      <c r="J82" s="762"/>
      <c r="K82" s="765"/>
      <c r="L82" s="762"/>
      <c r="M82" s="762"/>
      <c r="N82" s="762"/>
      <c r="O82" s="762"/>
      <c r="P82" s="762"/>
      <c r="Q82" s="762"/>
      <c r="R82" s="762"/>
      <c r="S82" s="762"/>
      <c r="T82" s="762"/>
      <c r="U82" s="762"/>
      <c r="V82" s="762"/>
      <c r="W82" s="762"/>
      <c r="X82" s="762"/>
      <c r="Y82" s="762"/>
      <c r="Z82" s="762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</row>
    <row r="83" spans="1:86" thickBot="1">
      <c r="A83" s="298"/>
      <c r="B83" s="298"/>
      <c r="C83" s="762"/>
      <c r="D83" s="762"/>
      <c r="E83" s="762"/>
      <c r="F83" s="763"/>
      <c r="G83" s="762"/>
      <c r="H83" s="762"/>
      <c r="I83" s="763"/>
      <c r="J83" s="762"/>
      <c r="K83" s="764"/>
      <c r="L83" s="763"/>
      <c r="M83" s="763"/>
      <c r="N83" s="762"/>
      <c r="O83" s="763"/>
      <c r="P83" s="763"/>
      <c r="Q83" s="762"/>
      <c r="R83" s="763"/>
      <c r="S83" s="763"/>
      <c r="T83" s="762"/>
      <c r="U83" s="763"/>
      <c r="V83" s="762"/>
      <c r="W83" s="762"/>
      <c r="X83" s="762"/>
      <c r="Y83" s="762"/>
      <c r="Z83" s="762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</row>
    <row r="84" spans="1:86" thickBot="1">
      <c r="A84" s="298"/>
      <c r="B84" s="298"/>
      <c r="C84" s="762"/>
      <c r="D84" s="762"/>
      <c r="E84" s="762"/>
      <c r="F84" s="763"/>
      <c r="G84" s="762"/>
      <c r="H84" s="762"/>
      <c r="I84" s="763"/>
      <c r="J84" s="762"/>
      <c r="K84" s="764"/>
      <c r="L84" s="763"/>
      <c r="M84" s="763"/>
      <c r="N84" s="762"/>
      <c r="O84" s="763"/>
      <c r="P84" s="763"/>
      <c r="Q84" s="762"/>
      <c r="R84" s="763"/>
      <c r="S84" s="763"/>
      <c r="T84" s="762"/>
      <c r="U84" s="763"/>
      <c r="V84" s="762"/>
      <c r="W84" s="762"/>
      <c r="X84" s="762"/>
      <c r="Y84" s="762"/>
      <c r="Z84" s="762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</row>
    <row r="85" spans="1:86" thickBot="1">
      <c r="A85" s="298"/>
      <c r="B85" s="298"/>
      <c r="C85" s="762"/>
      <c r="D85" s="762"/>
      <c r="E85" s="762"/>
      <c r="F85" s="763"/>
      <c r="G85" s="762"/>
      <c r="H85" s="762"/>
      <c r="I85" s="763"/>
      <c r="J85" s="762"/>
      <c r="K85" s="764"/>
      <c r="L85" s="763"/>
      <c r="M85" s="763"/>
      <c r="N85" s="762"/>
      <c r="O85" s="763"/>
      <c r="P85" s="763"/>
      <c r="Q85" s="762"/>
      <c r="R85" s="763"/>
      <c r="S85" s="763"/>
      <c r="T85" s="762"/>
      <c r="U85" s="763"/>
      <c r="V85" s="762"/>
      <c r="W85" s="762"/>
      <c r="X85" s="762"/>
      <c r="Y85" s="762"/>
      <c r="Z85" s="762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</row>
    <row r="86" spans="1:86" thickBot="1">
      <c r="A86" s="298"/>
      <c r="B86" s="298"/>
      <c r="C86" s="762"/>
      <c r="D86" s="762"/>
      <c r="E86" s="762"/>
      <c r="F86" s="763"/>
      <c r="G86" s="762"/>
      <c r="H86" s="762"/>
      <c r="I86" s="763"/>
      <c r="J86" s="762"/>
      <c r="K86" s="764"/>
      <c r="L86" s="763"/>
      <c r="M86" s="763"/>
      <c r="N86" s="762"/>
      <c r="O86" s="763"/>
      <c r="P86" s="763"/>
      <c r="Q86" s="762"/>
      <c r="R86" s="763"/>
      <c r="S86" s="763"/>
      <c r="T86" s="762"/>
      <c r="U86" s="763"/>
      <c r="V86" s="762"/>
      <c r="W86" s="762"/>
      <c r="X86" s="762"/>
      <c r="Y86" s="762"/>
      <c r="Z86" s="762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</row>
    <row r="87" spans="1:86" thickBot="1">
      <c r="A87" s="298"/>
      <c r="B87" s="298"/>
      <c r="C87" s="762"/>
      <c r="D87" s="762"/>
      <c r="E87" s="762"/>
      <c r="F87" s="763"/>
      <c r="G87" s="762"/>
      <c r="H87" s="762"/>
      <c r="I87" s="763"/>
      <c r="J87" s="762"/>
      <c r="K87" s="764"/>
      <c r="L87" s="763"/>
      <c r="M87" s="763"/>
      <c r="N87" s="762"/>
      <c r="O87" s="763"/>
      <c r="P87" s="763"/>
      <c r="Q87" s="762"/>
      <c r="R87" s="763"/>
      <c r="S87" s="763"/>
      <c r="T87" s="762"/>
      <c r="U87" s="763"/>
      <c r="V87" s="762"/>
      <c r="W87" s="762"/>
      <c r="X87" s="762"/>
      <c r="Y87" s="762"/>
      <c r="Z87" s="762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</row>
    <row r="88" spans="1:86" thickBot="1">
      <c r="A88" s="298"/>
      <c r="B88" s="298"/>
      <c r="C88" s="762"/>
      <c r="D88" s="762"/>
      <c r="E88" s="762"/>
      <c r="F88" s="763"/>
      <c r="G88" s="762"/>
      <c r="H88" s="762"/>
      <c r="I88" s="763"/>
      <c r="J88" s="762"/>
      <c r="K88" s="764"/>
      <c r="L88" s="763"/>
      <c r="M88" s="763"/>
      <c r="N88" s="762"/>
      <c r="O88" s="763"/>
      <c r="P88" s="763"/>
      <c r="Q88" s="762"/>
      <c r="R88" s="763"/>
      <c r="S88" s="763"/>
      <c r="T88" s="762"/>
      <c r="U88" s="763"/>
      <c r="V88" s="762"/>
      <c r="W88" s="762"/>
      <c r="X88" s="762"/>
      <c r="Y88" s="762"/>
      <c r="Z88" s="762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</row>
    <row r="89" spans="1:86" thickBot="1">
      <c r="A89" s="298"/>
      <c r="B89" s="298"/>
      <c r="C89" s="762"/>
      <c r="D89" s="762"/>
      <c r="E89" s="762"/>
      <c r="F89" s="763"/>
      <c r="G89" s="762"/>
      <c r="H89" s="762"/>
      <c r="I89" s="763"/>
      <c r="J89" s="762"/>
      <c r="K89" s="764"/>
      <c r="L89" s="763"/>
      <c r="M89" s="763"/>
      <c r="N89" s="762"/>
      <c r="O89" s="763"/>
      <c r="P89" s="763"/>
      <c r="Q89" s="762"/>
      <c r="R89" s="763"/>
      <c r="S89" s="763"/>
      <c r="T89" s="762"/>
      <c r="U89" s="763"/>
      <c r="V89" s="762"/>
      <c r="W89" s="762"/>
      <c r="X89" s="762"/>
      <c r="Y89" s="762"/>
      <c r="Z89" s="762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</row>
    <row r="90" spans="1:86" s="559" customFormat="1" thickBot="1">
      <c r="A90" s="557"/>
      <c r="B90" s="557"/>
      <c r="C90" s="766"/>
      <c r="D90" s="766"/>
      <c r="E90" s="766"/>
      <c r="F90" s="767"/>
      <c r="G90" s="766"/>
      <c r="H90" s="766"/>
      <c r="I90" s="767"/>
      <c r="J90" s="766"/>
      <c r="K90" s="768"/>
      <c r="L90" s="767"/>
      <c r="M90" s="767"/>
      <c r="N90" s="766"/>
      <c r="O90" s="767"/>
      <c r="P90" s="767"/>
      <c r="Q90" s="766"/>
      <c r="R90" s="767"/>
      <c r="S90" s="767"/>
      <c r="T90" s="766"/>
      <c r="U90" s="767"/>
      <c r="V90" s="766"/>
      <c r="W90" s="766"/>
      <c r="X90" s="766"/>
      <c r="Y90" s="766"/>
      <c r="Z90" s="766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34"/>
      <c r="CF90" s="134"/>
      <c r="CG90" s="134"/>
      <c r="CH90" s="134"/>
    </row>
    <row r="91" spans="1:86" s="559" customFormat="1" thickBot="1">
      <c r="A91" s="557"/>
      <c r="B91" s="557"/>
      <c r="C91" s="766"/>
      <c r="D91" s="766"/>
      <c r="E91" s="766"/>
      <c r="F91" s="767"/>
      <c r="G91" s="766"/>
      <c r="H91" s="766"/>
      <c r="I91" s="767"/>
      <c r="J91" s="766"/>
      <c r="K91" s="768"/>
      <c r="L91" s="767"/>
      <c r="M91" s="767"/>
      <c r="N91" s="766"/>
      <c r="O91" s="767"/>
      <c r="P91" s="767"/>
      <c r="Q91" s="766"/>
      <c r="R91" s="767"/>
      <c r="S91" s="767"/>
      <c r="T91" s="766"/>
      <c r="U91" s="767"/>
      <c r="V91" s="766"/>
      <c r="W91" s="766"/>
      <c r="X91" s="766"/>
      <c r="Y91" s="766"/>
      <c r="Z91" s="766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</row>
    <row r="92" spans="1:86" s="559" customFormat="1" thickBot="1">
      <c r="A92" s="557"/>
      <c r="B92" s="557"/>
      <c r="C92" s="766"/>
      <c r="D92" s="766"/>
      <c r="E92" s="766"/>
      <c r="F92" s="767"/>
      <c r="G92" s="766"/>
      <c r="H92" s="766"/>
      <c r="I92" s="767"/>
      <c r="J92" s="766"/>
      <c r="K92" s="768"/>
      <c r="L92" s="767"/>
      <c r="M92" s="767"/>
      <c r="N92" s="766"/>
      <c r="O92" s="767"/>
      <c r="P92" s="767"/>
      <c r="Q92" s="766"/>
      <c r="R92" s="767"/>
      <c r="S92" s="767"/>
      <c r="T92" s="766"/>
      <c r="U92" s="767"/>
      <c r="V92" s="766"/>
      <c r="W92" s="766"/>
      <c r="X92" s="766"/>
      <c r="Y92" s="766"/>
      <c r="Z92" s="766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4"/>
      <c r="CA92" s="134"/>
      <c r="CB92" s="134"/>
      <c r="CC92" s="134"/>
      <c r="CD92" s="134"/>
      <c r="CE92" s="134"/>
      <c r="CF92" s="134"/>
      <c r="CG92" s="134"/>
      <c r="CH92" s="134"/>
    </row>
    <row r="93" spans="1:86" s="559" customFormat="1" thickBot="1">
      <c r="A93" s="557"/>
      <c r="B93" s="557"/>
      <c r="C93" s="766"/>
      <c r="D93" s="766"/>
      <c r="E93" s="766"/>
      <c r="F93" s="767"/>
      <c r="G93" s="766"/>
      <c r="H93" s="766"/>
      <c r="I93" s="767"/>
      <c r="J93" s="766"/>
      <c r="K93" s="768"/>
      <c r="L93" s="767"/>
      <c r="M93" s="767"/>
      <c r="N93" s="766"/>
      <c r="O93" s="767"/>
      <c r="P93" s="767"/>
      <c r="Q93" s="766"/>
      <c r="R93" s="767"/>
      <c r="S93" s="767"/>
      <c r="T93" s="766"/>
      <c r="U93" s="767"/>
      <c r="V93" s="766"/>
      <c r="W93" s="766"/>
      <c r="X93" s="766"/>
      <c r="Y93" s="766"/>
      <c r="Z93" s="766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</row>
    <row r="94" spans="1:86" s="559" customFormat="1" thickBot="1">
      <c r="A94" s="557"/>
      <c r="B94" s="557"/>
      <c r="C94" s="766"/>
      <c r="D94" s="766"/>
      <c r="E94" s="766"/>
      <c r="F94" s="767"/>
      <c r="G94" s="766"/>
      <c r="H94" s="766"/>
      <c r="I94" s="767"/>
      <c r="J94" s="766"/>
      <c r="K94" s="768"/>
      <c r="L94" s="767"/>
      <c r="M94" s="767"/>
      <c r="N94" s="766"/>
      <c r="O94" s="767"/>
      <c r="P94" s="767"/>
      <c r="Q94" s="766"/>
      <c r="R94" s="767"/>
      <c r="S94" s="767"/>
      <c r="T94" s="766"/>
      <c r="U94" s="767"/>
      <c r="V94" s="766"/>
      <c r="W94" s="766"/>
      <c r="X94" s="766"/>
      <c r="Y94" s="766"/>
      <c r="Z94" s="766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4"/>
      <c r="BY94" s="134"/>
      <c r="BZ94" s="134"/>
      <c r="CA94" s="134"/>
      <c r="CB94" s="134"/>
      <c r="CC94" s="134"/>
      <c r="CD94" s="134"/>
      <c r="CE94" s="134"/>
      <c r="CF94" s="134"/>
      <c r="CG94" s="134"/>
      <c r="CH94" s="134"/>
    </row>
    <row r="95" spans="1:86" s="559" customFormat="1" thickBot="1">
      <c r="A95" s="557"/>
      <c r="B95" s="557"/>
      <c r="C95" s="766"/>
      <c r="D95" s="766"/>
      <c r="E95" s="766"/>
      <c r="F95" s="767"/>
      <c r="G95" s="766"/>
      <c r="H95" s="766"/>
      <c r="I95" s="767"/>
      <c r="J95" s="766"/>
      <c r="K95" s="768"/>
      <c r="L95" s="767"/>
      <c r="M95" s="767"/>
      <c r="N95" s="766"/>
      <c r="O95" s="767"/>
      <c r="P95" s="767"/>
      <c r="Q95" s="766"/>
      <c r="R95" s="767"/>
      <c r="S95" s="767"/>
      <c r="T95" s="766"/>
      <c r="U95" s="767"/>
      <c r="V95" s="766"/>
      <c r="W95" s="766"/>
      <c r="X95" s="766"/>
      <c r="Y95" s="766"/>
      <c r="Z95" s="766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</row>
    <row r="96" spans="1:86" s="559" customFormat="1" thickBot="1">
      <c r="A96" s="557"/>
      <c r="B96" s="557"/>
      <c r="C96" s="766"/>
      <c r="D96" s="766"/>
      <c r="E96" s="766"/>
      <c r="F96" s="767"/>
      <c r="G96" s="766"/>
      <c r="H96" s="766"/>
      <c r="I96" s="767"/>
      <c r="J96" s="766"/>
      <c r="K96" s="768"/>
      <c r="L96" s="767"/>
      <c r="M96" s="767"/>
      <c r="N96" s="766"/>
      <c r="O96" s="767"/>
      <c r="P96" s="767"/>
      <c r="Q96" s="766"/>
      <c r="R96" s="767"/>
      <c r="S96" s="767"/>
      <c r="T96" s="766"/>
      <c r="U96" s="767"/>
      <c r="V96" s="766"/>
      <c r="W96" s="766"/>
      <c r="X96" s="766"/>
      <c r="Y96" s="766"/>
      <c r="Z96" s="766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4"/>
      <c r="BT96" s="134"/>
      <c r="BU96" s="134"/>
      <c r="BV96" s="134"/>
      <c r="BW96" s="134"/>
      <c r="BX96" s="134"/>
      <c r="BY96" s="134"/>
      <c r="BZ96" s="134"/>
      <c r="CA96" s="134"/>
      <c r="CB96" s="134"/>
      <c r="CC96" s="134"/>
      <c r="CD96" s="134"/>
      <c r="CE96" s="134"/>
      <c r="CF96" s="134"/>
      <c r="CG96" s="134"/>
      <c r="CH96" s="134"/>
    </row>
    <row r="97" spans="1:86" s="559" customFormat="1" thickBot="1">
      <c r="A97" s="557"/>
      <c r="B97" s="557"/>
      <c r="C97" s="766"/>
      <c r="D97" s="766"/>
      <c r="E97" s="766"/>
      <c r="F97" s="767"/>
      <c r="G97" s="766"/>
      <c r="H97" s="766"/>
      <c r="I97" s="767"/>
      <c r="J97" s="766"/>
      <c r="K97" s="768"/>
      <c r="L97" s="767"/>
      <c r="M97" s="767"/>
      <c r="N97" s="766"/>
      <c r="O97" s="767"/>
      <c r="P97" s="767"/>
      <c r="Q97" s="766"/>
      <c r="R97" s="767"/>
      <c r="S97" s="767"/>
      <c r="T97" s="766"/>
      <c r="U97" s="767"/>
      <c r="V97" s="766"/>
      <c r="W97" s="766"/>
      <c r="X97" s="766"/>
      <c r="Y97" s="766"/>
      <c r="Z97" s="766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34"/>
      <c r="BW97" s="134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</row>
    <row r="98" spans="1:86" s="559" customFormat="1" thickBot="1">
      <c r="A98" s="557"/>
      <c r="B98" s="557"/>
      <c r="C98" s="766"/>
      <c r="D98" s="766"/>
      <c r="E98" s="766"/>
      <c r="F98" s="767"/>
      <c r="G98" s="766"/>
      <c r="H98" s="766"/>
      <c r="I98" s="767"/>
      <c r="J98" s="766"/>
      <c r="K98" s="768"/>
      <c r="L98" s="767"/>
      <c r="M98" s="767"/>
      <c r="N98" s="766"/>
      <c r="O98" s="767"/>
      <c r="P98" s="767"/>
      <c r="Q98" s="766"/>
      <c r="R98" s="767"/>
      <c r="S98" s="767"/>
      <c r="T98" s="766"/>
      <c r="U98" s="767"/>
      <c r="V98" s="766"/>
      <c r="W98" s="766"/>
      <c r="X98" s="766"/>
      <c r="Y98" s="766"/>
      <c r="Z98" s="766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4"/>
      <c r="BT98" s="134"/>
      <c r="BU98" s="134"/>
      <c r="BV98" s="134"/>
      <c r="BW98" s="134"/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  <c r="CH98" s="134"/>
    </row>
    <row r="99" spans="1:86" s="559" customFormat="1" thickBot="1">
      <c r="A99" s="557"/>
      <c r="B99" s="557"/>
      <c r="C99" s="766"/>
      <c r="D99" s="766"/>
      <c r="E99" s="766"/>
      <c r="F99" s="767"/>
      <c r="G99" s="766"/>
      <c r="H99" s="766"/>
      <c r="I99" s="767"/>
      <c r="J99" s="766"/>
      <c r="K99" s="768"/>
      <c r="L99" s="767"/>
      <c r="M99" s="767"/>
      <c r="N99" s="766"/>
      <c r="O99" s="767"/>
      <c r="P99" s="767"/>
      <c r="Q99" s="766"/>
      <c r="R99" s="767"/>
      <c r="S99" s="767"/>
      <c r="T99" s="766"/>
      <c r="U99" s="767"/>
      <c r="V99" s="766"/>
      <c r="W99" s="766"/>
      <c r="X99" s="766"/>
      <c r="Y99" s="766"/>
      <c r="Z99" s="766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</row>
    <row r="100" spans="1:86" s="559" customFormat="1" thickBot="1">
      <c r="A100" s="557"/>
      <c r="B100" s="557"/>
      <c r="C100" s="766"/>
      <c r="D100" s="766"/>
      <c r="E100" s="766"/>
      <c r="F100" s="767"/>
      <c r="G100" s="766"/>
      <c r="H100" s="766"/>
      <c r="I100" s="767"/>
      <c r="J100" s="766"/>
      <c r="K100" s="768"/>
      <c r="L100" s="767"/>
      <c r="M100" s="767"/>
      <c r="N100" s="766"/>
      <c r="O100" s="767"/>
      <c r="P100" s="767"/>
      <c r="Q100" s="766"/>
      <c r="R100" s="767"/>
      <c r="S100" s="767"/>
      <c r="T100" s="766"/>
      <c r="U100" s="767"/>
      <c r="V100" s="766"/>
      <c r="W100" s="766"/>
      <c r="X100" s="766"/>
      <c r="Y100" s="766"/>
      <c r="Z100" s="766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4"/>
      <c r="BT100" s="134"/>
      <c r="BU100" s="134"/>
      <c r="BV100" s="134"/>
      <c r="BW100" s="134"/>
      <c r="BX100" s="134"/>
      <c r="BY100" s="134"/>
      <c r="BZ100" s="134"/>
      <c r="CA100" s="134"/>
      <c r="CB100" s="134"/>
      <c r="CC100" s="134"/>
      <c r="CD100" s="134"/>
      <c r="CE100" s="134"/>
      <c r="CF100" s="134"/>
      <c r="CG100" s="134"/>
      <c r="CH100" s="134"/>
    </row>
    <row r="101" spans="1:86" s="559" customFormat="1" thickBot="1">
      <c r="A101" s="557"/>
      <c r="B101" s="557"/>
      <c r="C101" s="766"/>
      <c r="D101" s="766"/>
      <c r="E101" s="766"/>
      <c r="F101" s="767"/>
      <c r="G101" s="766"/>
      <c r="H101" s="766"/>
      <c r="I101" s="767"/>
      <c r="J101" s="766"/>
      <c r="K101" s="768"/>
      <c r="L101" s="767"/>
      <c r="M101" s="767"/>
      <c r="N101" s="766"/>
      <c r="O101" s="767"/>
      <c r="P101" s="767"/>
      <c r="Q101" s="766"/>
      <c r="R101" s="767"/>
      <c r="S101" s="767"/>
      <c r="T101" s="766"/>
      <c r="U101" s="767"/>
      <c r="V101" s="766"/>
      <c r="W101" s="766"/>
      <c r="X101" s="766"/>
      <c r="Y101" s="766"/>
      <c r="Z101" s="766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4"/>
      <c r="BT101" s="134"/>
      <c r="BU101" s="134"/>
      <c r="BV101" s="134"/>
      <c r="BW101" s="134"/>
      <c r="BX101" s="134"/>
      <c r="BY101" s="134"/>
      <c r="BZ101" s="134"/>
      <c r="CA101" s="134"/>
      <c r="CB101" s="134"/>
      <c r="CC101" s="134"/>
      <c r="CD101" s="134"/>
      <c r="CE101" s="134"/>
      <c r="CF101" s="134"/>
      <c r="CG101" s="134"/>
      <c r="CH101" s="134"/>
    </row>
    <row r="102" spans="1:86" s="559" customFormat="1" thickBot="1">
      <c r="A102" s="557"/>
      <c r="B102" s="557"/>
      <c r="C102" s="766"/>
      <c r="D102" s="766"/>
      <c r="E102" s="766"/>
      <c r="F102" s="767"/>
      <c r="G102" s="766"/>
      <c r="H102" s="766"/>
      <c r="I102" s="767"/>
      <c r="J102" s="766"/>
      <c r="K102" s="768"/>
      <c r="L102" s="767"/>
      <c r="M102" s="767"/>
      <c r="N102" s="766"/>
      <c r="O102" s="767"/>
      <c r="P102" s="767"/>
      <c r="Q102" s="766"/>
      <c r="R102" s="767"/>
      <c r="S102" s="767"/>
      <c r="T102" s="766"/>
      <c r="U102" s="767"/>
      <c r="V102" s="766"/>
      <c r="W102" s="766"/>
      <c r="X102" s="766"/>
      <c r="Y102" s="766"/>
      <c r="Z102" s="766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4"/>
      <c r="BT102" s="134"/>
      <c r="BU102" s="134"/>
      <c r="BV102" s="134"/>
      <c r="BW102" s="134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  <c r="CH102" s="134"/>
    </row>
    <row r="103" spans="1:86" s="559" customFormat="1" thickBot="1">
      <c r="A103" s="557"/>
      <c r="B103" s="557"/>
      <c r="C103" s="766"/>
      <c r="D103" s="766"/>
      <c r="E103" s="766"/>
      <c r="F103" s="767"/>
      <c r="G103" s="766"/>
      <c r="H103" s="766"/>
      <c r="I103" s="767"/>
      <c r="J103" s="766"/>
      <c r="K103" s="768"/>
      <c r="L103" s="767"/>
      <c r="M103" s="767"/>
      <c r="N103" s="766"/>
      <c r="O103" s="767"/>
      <c r="P103" s="767"/>
      <c r="Q103" s="766"/>
      <c r="R103" s="767"/>
      <c r="S103" s="767"/>
      <c r="T103" s="766"/>
      <c r="U103" s="767"/>
      <c r="V103" s="766"/>
      <c r="W103" s="766"/>
      <c r="X103" s="766"/>
      <c r="Y103" s="766"/>
      <c r="Z103" s="766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34"/>
      <c r="BT103" s="134"/>
      <c r="BU103" s="134"/>
      <c r="BV103" s="134"/>
      <c r="BW103" s="134"/>
      <c r="BX103" s="134"/>
      <c r="BY103" s="134"/>
      <c r="BZ103" s="134"/>
      <c r="CA103" s="134"/>
      <c r="CB103" s="134"/>
      <c r="CC103" s="134"/>
      <c r="CD103" s="134"/>
      <c r="CE103" s="134"/>
      <c r="CF103" s="134"/>
      <c r="CG103" s="134"/>
      <c r="CH103" s="134"/>
    </row>
    <row r="104" spans="1:86" s="559" customFormat="1" thickBot="1">
      <c r="A104" s="557"/>
      <c r="B104" s="557"/>
      <c r="C104" s="766"/>
      <c r="D104" s="766"/>
      <c r="E104" s="766"/>
      <c r="F104" s="767"/>
      <c r="G104" s="766"/>
      <c r="H104" s="766"/>
      <c r="I104" s="767"/>
      <c r="J104" s="766"/>
      <c r="K104" s="768"/>
      <c r="L104" s="767"/>
      <c r="M104" s="767"/>
      <c r="N104" s="766"/>
      <c r="O104" s="767"/>
      <c r="P104" s="767"/>
      <c r="Q104" s="766"/>
      <c r="R104" s="767"/>
      <c r="S104" s="767"/>
      <c r="T104" s="766"/>
      <c r="U104" s="767"/>
      <c r="V104" s="766"/>
      <c r="W104" s="766"/>
      <c r="X104" s="766"/>
      <c r="Y104" s="766"/>
      <c r="Z104" s="766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34"/>
      <c r="BO104" s="134"/>
      <c r="BP104" s="134"/>
      <c r="BQ104" s="134"/>
      <c r="BR104" s="134"/>
      <c r="BS104" s="134"/>
      <c r="BT104" s="134"/>
      <c r="BU104" s="134"/>
      <c r="BV104" s="134"/>
      <c r="BW104" s="134"/>
      <c r="BX104" s="134"/>
      <c r="BY104" s="134"/>
      <c r="BZ104" s="134"/>
      <c r="CA104" s="134"/>
      <c r="CB104" s="134"/>
      <c r="CC104" s="134"/>
      <c r="CD104" s="134"/>
      <c r="CE104" s="134"/>
      <c r="CF104" s="134"/>
      <c r="CG104" s="134"/>
      <c r="CH104" s="134"/>
    </row>
    <row r="105" spans="1:86" s="559" customFormat="1" thickBot="1">
      <c r="A105" s="557"/>
      <c r="B105" s="557"/>
      <c r="C105" s="766"/>
      <c r="D105" s="766"/>
      <c r="E105" s="766"/>
      <c r="F105" s="767"/>
      <c r="G105" s="766"/>
      <c r="H105" s="766"/>
      <c r="I105" s="767"/>
      <c r="J105" s="766"/>
      <c r="K105" s="768"/>
      <c r="L105" s="767"/>
      <c r="M105" s="767"/>
      <c r="N105" s="766"/>
      <c r="O105" s="767"/>
      <c r="P105" s="767"/>
      <c r="Q105" s="766"/>
      <c r="R105" s="767"/>
      <c r="S105" s="767"/>
      <c r="T105" s="766"/>
      <c r="U105" s="767"/>
      <c r="V105" s="766"/>
      <c r="W105" s="766"/>
      <c r="X105" s="766"/>
      <c r="Y105" s="766"/>
      <c r="Z105" s="766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4"/>
      <c r="BR105" s="134"/>
      <c r="BS105" s="134"/>
      <c r="BT105" s="134"/>
      <c r="BU105" s="134"/>
      <c r="BV105" s="134"/>
      <c r="BW105" s="134"/>
      <c r="BX105" s="134"/>
      <c r="BY105" s="134"/>
      <c r="BZ105" s="134"/>
      <c r="CA105" s="134"/>
      <c r="CB105" s="134"/>
      <c r="CC105" s="134"/>
      <c r="CD105" s="134"/>
      <c r="CE105" s="134"/>
      <c r="CF105" s="134"/>
      <c r="CG105" s="134"/>
      <c r="CH105" s="134"/>
    </row>
    <row r="106" spans="1:86" s="559" customFormat="1" thickBot="1">
      <c r="A106" s="557"/>
      <c r="B106" s="557"/>
      <c r="C106" s="766"/>
      <c r="D106" s="766"/>
      <c r="E106" s="766"/>
      <c r="F106" s="767"/>
      <c r="G106" s="766"/>
      <c r="H106" s="766"/>
      <c r="I106" s="767"/>
      <c r="J106" s="766"/>
      <c r="K106" s="768"/>
      <c r="L106" s="767"/>
      <c r="M106" s="767"/>
      <c r="N106" s="766"/>
      <c r="O106" s="767"/>
      <c r="P106" s="767"/>
      <c r="Q106" s="766"/>
      <c r="R106" s="767"/>
      <c r="S106" s="767"/>
      <c r="T106" s="766"/>
      <c r="U106" s="767"/>
      <c r="V106" s="766"/>
      <c r="W106" s="766"/>
      <c r="X106" s="766"/>
      <c r="Y106" s="766"/>
      <c r="Z106" s="766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134"/>
      <c r="BO106" s="134"/>
      <c r="BP106" s="134"/>
      <c r="BQ106" s="134"/>
      <c r="BR106" s="134"/>
      <c r="BS106" s="134"/>
      <c r="BT106" s="134"/>
      <c r="BU106" s="134"/>
      <c r="BV106" s="134"/>
      <c r="BW106" s="134"/>
      <c r="BX106" s="134"/>
      <c r="BY106" s="134"/>
      <c r="BZ106" s="134"/>
      <c r="CA106" s="134"/>
      <c r="CB106" s="134"/>
      <c r="CC106" s="134"/>
      <c r="CD106" s="134"/>
      <c r="CE106" s="134"/>
      <c r="CF106" s="134"/>
      <c r="CG106" s="134"/>
      <c r="CH106" s="134"/>
    </row>
    <row r="107" spans="1:86" s="559" customFormat="1" thickBot="1">
      <c r="A107" s="557"/>
      <c r="B107" s="557"/>
      <c r="C107" s="766"/>
      <c r="D107" s="766"/>
      <c r="E107" s="766"/>
      <c r="F107" s="767"/>
      <c r="G107" s="766"/>
      <c r="H107" s="766"/>
      <c r="I107" s="767"/>
      <c r="J107" s="766"/>
      <c r="K107" s="768"/>
      <c r="L107" s="767"/>
      <c r="M107" s="767"/>
      <c r="N107" s="766"/>
      <c r="O107" s="767"/>
      <c r="P107" s="767"/>
      <c r="Q107" s="766"/>
      <c r="R107" s="767"/>
      <c r="S107" s="767"/>
      <c r="T107" s="766"/>
      <c r="U107" s="767"/>
      <c r="V107" s="766"/>
      <c r="W107" s="766"/>
      <c r="X107" s="766"/>
      <c r="Y107" s="766"/>
      <c r="Z107" s="766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4"/>
      <c r="AZ107" s="134"/>
      <c r="BA107" s="134"/>
      <c r="BB107" s="134"/>
      <c r="BC107" s="134"/>
      <c r="BD107" s="134"/>
      <c r="BE107" s="134"/>
      <c r="BF107" s="134"/>
      <c r="BG107" s="134"/>
      <c r="BH107" s="134"/>
      <c r="BI107" s="134"/>
      <c r="BJ107" s="134"/>
      <c r="BK107" s="134"/>
      <c r="BL107" s="134"/>
      <c r="BM107" s="134"/>
      <c r="BN107" s="134"/>
      <c r="BO107" s="134"/>
      <c r="BP107" s="134"/>
      <c r="BQ107" s="134"/>
      <c r="BR107" s="134"/>
      <c r="BS107" s="134"/>
      <c r="BT107" s="134"/>
      <c r="BU107" s="134"/>
      <c r="BV107" s="134"/>
      <c r="BW107" s="134"/>
      <c r="BX107" s="134"/>
      <c r="BY107" s="134"/>
      <c r="BZ107" s="134"/>
      <c r="CA107" s="134"/>
      <c r="CB107" s="134"/>
      <c r="CC107" s="134"/>
      <c r="CD107" s="134"/>
      <c r="CE107" s="134"/>
      <c r="CF107" s="134"/>
      <c r="CG107" s="134"/>
      <c r="CH107" s="134"/>
    </row>
    <row r="108" spans="1:86" s="559" customFormat="1" thickBot="1">
      <c r="A108" s="557"/>
      <c r="B108" s="557"/>
      <c r="C108" s="766"/>
      <c r="D108" s="766"/>
      <c r="E108" s="766"/>
      <c r="F108" s="767"/>
      <c r="G108" s="766"/>
      <c r="H108" s="766"/>
      <c r="I108" s="767"/>
      <c r="J108" s="766"/>
      <c r="K108" s="768"/>
      <c r="L108" s="767"/>
      <c r="M108" s="767"/>
      <c r="N108" s="766"/>
      <c r="O108" s="767"/>
      <c r="P108" s="767"/>
      <c r="Q108" s="766"/>
      <c r="R108" s="767"/>
      <c r="S108" s="767"/>
      <c r="T108" s="766"/>
      <c r="U108" s="767"/>
      <c r="V108" s="766"/>
      <c r="W108" s="766"/>
      <c r="X108" s="766"/>
      <c r="Y108" s="766"/>
      <c r="Z108" s="766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4"/>
      <c r="AZ108" s="134"/>
      <c r="BA108" s="134"/>
      <c r="BB108" s="134"/>
      <c r="BC108" s="134"/>
      <c r="BD108" s="134"/>
      <c r="BE108" s="134"/>
      <c r="BF108" s="134"/>
      <c r="BG108" s="134"/>
      <c r="BH108" s="134"/>
      <c r="BI108" s="134"/>
      <c r="BJ108" s="134"/>
      <c r="BK108" s="134"/>
      <c r="BL108" s="134"/>
      <c r="BM108" s="134"/>
      <c r="BN108" s="134"/>
      <c r="BO108" s="134"/>
      <c r="BP108" s="134"/>
      <c r="BQ108" s="134"/>
      <c r="BR108" s="134"/>
      <c r="BS108" s="134"/>
      <c r="BT108" s="134"/>
      <c r="BU108" s="134"/>
      <c r="BV108" s="134"/>
      <c r="BW108" s="134"/>
      <c r="BX108" s="134"/>
      <c r="BY108" s="134"/>
      <c r="BZ108" s="134"/>
      <c r="CA108" s="134"/>
      <c r="CB108" s="134"/>
      <c r="CC108" s="134"/>
      <c r="CD108" s="134"/>
      <c r="CE108" s="134"/>
      <c r="CF108" s="134"/>
      <c r="CG108" s="134"/>
      <c r="CH108" s="134"/>
    </row>
    <row r="109" spans="1:86" s="559" customFormat="1" thickBot="1">
      <c r="A109" s="557"/>
      <c r="B109" s="557"/>
      <c r="C109" s="766"/>
      <c r="D109" s="766"/>
      <c r="E109" s="766"/>
      <c r="F109" s="767"/>
      <c r="G109" s="766"/>
      <c r="H109" s="766"/>
      <c r="I109" s="767"/>
      <c r="J109" s="766"/>
      <c r="K109" s="768"/>
      <c r="L109" s="767"/>
      <c r="M109" s="767"/>
      <c r="N109" s="766"/>
      <c r="O109" s="767"/>
      <c r="P109" s="767"/>
      <c r="Q109" s="766"/>
      <c r="R109" s="767"/>
      <c r="S109" s="767"/>
      <c r="T109" s="766"/>
      <c r="U109" s="767"/>
      <c r="V109" s="766"/>
      <c r="W109" s="766"/>
      <c r="X109" s="766"/>
      <c r="Y109" s="766"/>
      <c r="Z109" s="766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4"/>
      <c r="AZ109" s="134"/>
      <c r="BA109" s="134"/>
      <c r="BB109" s="134"/>
      <c r="BC109" s="134"/>
      <c r="BD109" s="134"/>
      <c r="BE109" s="134"/>
      <c r="BF109" s="134"/>
      <c r="BG109" s="134"/>
      <c r="BH109" s="134"/>
      <c r="BI109" s="134"/>
      <c r="BJ109" s="134"/>
      <c r="BK109" s="134"/>
      <c r="BL109" s="134"/>
      <c r="BM109" s="134"/>
      <c r="BN109" s="134"/>
      <c r="BO109" s="134"/>
      <c r="BP109" s="134"/>
      <c r="BQ109" s="134"/>
      <c r="BR109" s="134"/>
      <c r="BS109" s="134"/>
      <c r="BT109" s="134"/>
      <c r="BU109" s="134"/>
      <c r="BV109" s="134"/>
      <c r="BW109" s="134"/>
      <c r="BX109" s="134"/>
      <c r="BY109" s="134"/>
      <c r="BZ109" s="134"/>
      <c r="CA109" s="134"/>
      <c r="CB109" s="134"/>
      <c r="CC109" s="134"/>
      <c r="CD109" s="134"/>
      <c r="CE109" s="134"/>
      <c r="CF109" s="134"/>
      <c r="CG109" s="134"/>
      <c r="CH109" s="134"/>
    </row>
    <row r="110" spans="1:86" s="559" customFormat="1" thickBot="1">
      <c r="A110" s="557"/>
      <c r="B110" s="557"/>
      <c r="C110" s="766"/>
      <c r="D110" s="766"/>
      <c r="E110" s="766"/>
      <c r="F110" s="767"/>
      <c r="G110" s="766"/>
      <c r="H110" s="766"/>
      <c r="I110" s="767"/>
      <c r="J110" s="766"/>
      <c r="K110" s="768"/>
      <c r="L110" s="767"/>
      <c r="M110" s="767"/>
      <c r="N110" s="766"/>
      <c r="O110" s="767"/>
      <c r="P110" s="767"/>
      <c r="Q110" s="766"/>
      <c r="R110" s="767"/>
      <c r="S110" s="767"/>
      <c r="T110" s="766"/>
      <c r="U110" s="767"/>
      <c r="V110" s="766"/>
      <c r="W110" s="766"/>
      <c r="X110" s="766"/>
      <c r="Y110" s="766"/>
      <c r="Z110" s="766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4"/>
      <c r="AZ110" s="134"/>
      <c r="BA110" s="134"/>
      <c r="BB110" s="134"/>
      <c r="BC110" s="134"/>
      <c r="BD110" s="134"/>
      <c r="BE110" s="134"/>
      <c r="BF110" s="134"/>
      <c r="BG110" s="134"/>
      <c r="BH110" s="134"/>
      <c r="BI110" s="134"/>
      <c r="BJ110" s="134"/>
      <c r="BK110" s="134"/>
      <c r="BL110" s="134"/>
      <c r="BM110" s="134"/>
      <c r="BN110" s="134"/>
      <c r="BO110" s="134"/>
      <c r="BP110" s="134"/>
      <c r="BQ110" s="134"/>
      <c r="BR110" s="134"/>
      <c r="BS110" s="134"/>
      <c r="BT110" s="134"/>
      <c r="BU110" s="134"/>
      <c r="BV110" s="134"/>
      <c r="BW110" s="134"/>
      <c r="BX110" s="134"/>
      <c r="BY110" s="134"/>
      <c r="BZ110" s="134"/>
      <c r="CA110" s="134"/>
      <c r="CB110" s="134"/>
      <c r="CC110" s="134"/>
      <c r="CD110" s="134"/>
      <c r="CE110" s="134"/>
      <c r="CF110" s="134"/>
      <c r="CG110" s="134"/>
      <c r="CH110" s="134"/>
    </row>
    <row r="111" spans="1:86" thickBot="1">
      <c r="A111" s="298"/>
      <c r="B111" s="298"/>
      <c r="C111" s="762"/>
      <c r="D111" s="762"/>
      <c r="E111" s="762"/>
      <c r="F111" s="769"/>
      <c r="G111" s="762"/>
      <c r="H111" s="762"/>
      <c r="I111" s="769"/>
      <c r="J111" s="762"/>
      <c r="K111" s="764"/>
      <c r="L111" s="769"/>
      <c r="M111" s="769"/>
      <c r="N111" s="762"/>
      <c r="O111" s="769"/>
      <c r="P111" s="769"/>
      <c r="Q111" s="762"/>
      <c r="R111" s="769"/>
      <c r="S111" s="769"/>
      <c r="T111" s="762"/>
      <c r="U111" s="769"/>
      <c r="V111" s="762"/>
      <c r="W111" s="762"/>
      <c r="X111" s="762"/>
      <c r="Y111" s="762"/>
      <c r="Z111" s="762"/>
    </row>
    <row r="112" spans="1:86" thickBot="1">
      <c r="A112" s="298"/>
      <c r="B112" s="298"/>
      <c r="C112" s="762"/>
      <c r="D112" s="762"/>
      <c r="E112" s="762"/>
      <c r="F112" s="769"/>
      <c r="G112" s="762"/>
      <c r="H112" s="762"/>
      <c r="I112" s="769"/>
      <c r="J112" s="762"/>
      <c r="K112" s="764"/>
      <c r="L112" s="769"/>
      <c r="M112" s="769"/>
      <c r="N112" s="762"/>
      <c r="O112" s="769"/>
      <c r="P112" s="769"/>
      <c r="Q112" s="762"/>
      <c r="R112" s="769"/>
      <c r="S112" s="769"/>
      <c r="T112" s="762"/>
      <c r="U112" s="769"/>
      <c r="V112" s="762"/>
      <c r="W112" s="762"/>
      <c r="X112" s="762"/>
      <c r="Y112" s="762"/>
      <c r="Z112" s="762"/>
    </row>
    <row r="113" spans="1:54" thickBot="1">
      <c r="A113" s="298"/>
      <c r="B113" s="298"/>
      <c r="C113" s="762"/>
      <c r="D113" s="762"/>
      <c r="E113" s="762"/>
      <c r="F113" s="769"/>
      <c r="G113" s="762"/>
      <c r="H113" s="762"/>
      <c r="I113" s="769"/>
      <c r="J113" s="762"/>
      <c r="K113" s="764"/>
      <c r="L113" s="769"/>
      <c r="M113" s="769"/>
      <c r="N113" s="762"/>
      <c r="O113" s="769"/>
      <c r="P113" s="769"/>
      <c r="Q113" s="762"/>
      <c r="R113" s="769"/>
      <c r="S113" s="769"/>
      <c r="T113" s="762"/>
      <c r="U113" s="769"/>
      <c r="V113" s="762"/>
      <c r="W113" s="762"/>
      <c r="X113" s="762"/>
      <c r="Y113" s="762"/>
      <c r="Z113" s="762"/>
    </row>
    <row r="114" spans="1:54" thickBot="1">
      <c r="A114" s="298"/>
      <c r="B114" s="298"/>
      <c r="C114" s="762"/>
      <c r="D114" s="762"/>
      <c r="E114" s="762"/>
      <c r="F114" s="769"/>
      <c r="G114" s="762"/>
      <c r="H114" s="762"/>
      <c r="I114" s="769"/>
      <c r="J114" s="762"/>
      <c r="K114" s="764"/>
      <c r="L114" s="769"/>
      <c r="M114" s="769"/>
      <c r="N114" s="762"/>
      <c r="O114" s="769"/>
      <c r="P114" s="769"/>
      <c r="Q114" s="762"/>
      <c r="R114" s="769"/>
      <c r="S114" s="769"/>
      <c r="T114" s="762"/>
      <c r="U114" s="769"/>
      <c r="V114" s="762"/>
      <c r="W114" s="762"/>
      <c r="X114" s="762"/>
      <c r="Y114" s="762"/>
      <c r="Z114" s="762"/>
    </row>
    <row r="115" spans="1:54" thickBot="1">
      <c r="A115" s="298"/>
      <c r="B115" s="298"/>
      <c r="C115" s="762"/>
      <c r="D115" s="762"/>
      <c r="E115" s="762"/>
      <c r="F115" s="769"/>
      <c r="G115" s="762"/>
      <c r="H115" s="762"/>
      <c r="I115" s="769"/>
      <c r="J115" s="762"/>
      <c r="K115" s="764"/>
      <c r="L115" s="769"/>
      <c r="M115" s="769"/>
      <c r="N115" s="762"/>
      <c r="O115" s="769"/>
      <c r="P115" s="769"/>
      <c r="Q115" s="762"/>
      <c r="R115" s="769"/>
      <c r="S115" s="769"/>
      <c r="T115" s="762"/>
      <c r="U115" s="769"/>
      <c r="V115" s="762"/>
      <c r="W115" s="762"/>
      <c r="X115" s="762"/>
      <c r="Y115" s="762"/>
      <c r="Z115" s="762"/>
    </row>
    <row r="116" spans="1:54" thickBot="1">
      <c r="A116" s="298"/>
      <c r="B116" s="298"/>
      <c r="C116" s="762"/>
      <c r="D116" s="762"/>
      <c r="E116" s="762"/>
      <c r="F116" s="769"/>
      <c r="G116" s="762"/>
      <c r="H116" s="762"/>
      <c r="I116" s="769"/>
      <c r="J116" s="762"/>
      <c r="K116" s="764"/>
      <c r="L116" s="769"/>
      <c r="M116" s="769"/>
      <c r="N116" s="762"/>
      <c r="O116" s="769"/>
      <c r="P116" s="769"/>
      <c r="Q116" s="762"/>
      <c r="R116" s="769"/>
      <c r="S116" s="769"/>
      <c r="T116" s="762"/>
      <c r="U116" s="769"/>
      <c r="V116" s="762"/>
      <c r="W116" s="762"/>
      <c r="X116" s="762"/>
      <c r="Y116" s="762"/>
      <c r="Z116" s="762"/>
    </row>
    <row r="117" spans="1:54" thickBot="1">
      <c r="A117" s="298"/>
      <c r="B117" s="298"/>
      <c r="C117" s="762"/>
      <c r="D117" s="762"/>
      <c r="E117" s="762"/>
      <c r="F117" s="769"/>
      <c r="G117" s="762"/>
      <c r="H117" s="762"/>
      <c r="I117" s="769"/>
      <c r="J117" s="762"/>
      <c r="K117" s="764"/>
      <c r="L117" s="769"/>
      <c r="M117" s="769"/>
      <c r="N117" s="762"/>
      <c r="O117" s="769"/>
      <c r="P117" s="769"/>
      <c r="Q117" s="762"/>
      <c r="R117" s="769"/>
      <c r="S117" s="769"/>
      <c r="T117" s="762"/>
      <c r="U117" s="769"/>
      <c r="V117" s="762"/>
      <c r="W117" s="762"/>
      <c r="X117" s="762"/>
      <c r="Y117" s="762"/>
      <c r="Z117" s="762"/>
    </row>
    <row r="118" spans="1:54" thickBot="1">
      <c r="A118" s="298"/>
      <c r="B118" s="298"/>
      <c r="C118" s="762"/>
      <c r="D118" s="762"/>
      <c r="E118" s="762"/>
      <c r="F118" s="769"/>
      <c r="G118" s="762"/>
      <c r="H118" s="762"/>
      <c r="I118" s="769"/>
      <c r="J118" s="762"/>
      <c r="K118" s="764"/>
      <c r="L118" s="769"/>
      <c r="M118" s="769"/>
      <c r="N118" s="762"/>
      <c r="O118" s="769"/>
      <c r="P118" s="769"/>
      <c r="Q118" s="762"/>
      <c r="R118" s="769"/>
      <c r="S118" s="769"/>
      <c r="T118" s="762"/>
      <c r="U118" s="769"/>
      <c r="V118" s="762"/>
      <c r="W118" s="762"/>
      <c r="X118" s="762"/>
      <c r="Y118" s="762"/>
      <c r="Z118" s="762"/>
    </row>
    <row r="119" spans="1:54" thickBot="1">
      <c r="A119" s="298"/>
      <c r="B119" s="298"/>
      <c r="C119" s="762"/>
      <c r="D119" s="762"/>
      <c r="E119" s="762"/>
      <c r="F119" s="769"/>
      <c r="G119" s="762"/>
      <c r="H119" s="762"/>
      <c r="I119" s="769"/>
      <c r="J119" s="762"/>
      <c r="K119" s="764"/>
      <c r="L119" s="769"/>
      <c r="M119" s="769"/>
      <c r="N119" s="762"/>
      <c r="O119" s="769"/>
      <c r="P119" s="769"/>
      <c r="Q119" s="762"/>
      <c r="R119" s="769"/>
      <c r="S119" s="769"/>
      <c r="T119" s="762"/>
      <c r="U119" s="769"/>
      <c r="V119" s="762"/>
      <c r="W119" s="762"/>
      <c r="X119" s="762"/>
      <c r="Y119" s="762"/>
      <c r="Z119" s="762"/>
    </row>
    <row r="120" spans="1:54" thickBot="1">
      <c r="A120" s="298"/>
      <c r="B120" s="298"/>
      <c r="C120" s="762"/>
      <c r="D120" s="762"/>
      <c r="E120" s="762"/>
      <c r="F120" s="769"/>
      <c r="G120" s="762"/>
      <c r="H120" s="762"/>
      <c r="I120" s="769"/>
      <c r="J120" s="762"/>
      <c r="K120" s="764"/>
      <c r="L120" s="769"/>
      <c r="M120" s="769"/>
      <c r="N120" s="762"/>
      <c r="O120" s="769"/>
      <c r="P120" s="769"/>
      <c r="Q120" s="762"/>
      <c r="R120" s="769"/>
      <c r="S120" s="769"/>
      <c r="T120" s="762"/>
      <c r="U120" s="769"/>
      <c r="V120" s="762"/>
      <c r="W120" s="762"/>
      <c r="X120" s="762"/>
      <c r="Y120" s="762"/>
      <c r="Z120" s="762"/>
    </row>
    <row r="121" spans="1:54" thickBot="1">
      <c r="A121" s="298"/>
      <c r="B121" s="298"/>
      <c r="C121" s="762"/>
      <c r="D121" s="762"/>
      <c r="E121" s="762"/>
      <c r="F121" s="769"/>
      <c r="G121" s="762"/>
      <c r="H121" s="762"/>
      <c r="I121" s="769"/>
      <c r="J121" s="762"/>
      <c r="K121" s="764"/>
      <c r="L121" s="769"/>
      <c r="M121" s="769"/>
      <c r="N121" s="762"/>
      <c r="O121" s="769"/>
      <c r="P121" s="769"/>
      <c r="Q121" s="762"/>
      <c r="R121" s="769"/>
      <c r="S121" s="769"/>
      <c r="T121" s="762"/>
      <c r="U121" s="769"/>
      <c r="V121" s="762"/>
      <c r="W121" s="762"/>
      <c r="X121" s="762"/>
      <c r="Y121" s="762"/>
      <c r="Z121" s="762"/>
    </row>
    <row r="122" spans="1:54" thickBot="1">
      <c r="A122" s="298"/>
      <c r="B122" s="298"/>
      <c r="C122" s="762"/>
      <c r="D122" s="762"/>
      <c r="E122" s="762"/>
      <c r="F122" s="769"/>
      <c r="G122" s="762"/>
      <c r="H122" s="762"/>
      <c r="I122" s="769"/>
      <c r="J122" s="762"/>
      <c r="K122" s="764"/>
      <c r="L122" s="769"/>
      <c r="M122" s="769"/>
      <c r="N122" s="762"/>
      <c r="O122" s="769"/>
      <c r="P122" s="769"/>
      <c r="Q122" s="762"/>
      <c r="R122" s="769"/>
      <c r="S122" s="769"/>
      <c r="T122" s="762"/>
      <c r="U122" s="769"/>
      <c r="V122" s="762"/>
      <c r="W122" s="762"/>
      <c r="X122" s="762"/>
      <c r="Y122" s="762"/>
      <c r="Z122" s="762"/>
    </row>
    <row r="123" spans="1:54" thickBot="1">
      <c r="A123" s="298"/>
      <c r="B123" s="298"/>
      <c r="C123" s="762"/>
      <c r="D123" s="762"/>
      <c r="E123" s="762"/>
      <c r="F123" s="769"/>
      <c r="G123" s="762"/>
      <c r="H123" s="762"/>
      <c r="I123" s="769"/>
      <c r="J123" s="762"/>
      <c r="K123" s="764"/>
      <c r="L123" s="769"/>
      <c r="M123" s="769"/>
      <c r="N123" s="762"/>
      <c r="O123" s="769"/>
      <c r="P123" s="769"/>
      <c r="Q123" s="762"/>
      <c r="R123" s="769"/>
      <c r="S123" s="769"/>
      <c r="T123" s="762"/>
      <c r="U123" s="769"/>
      <c r="V123" s="762"/>
      <c r="W123" s="762"/>
      <c r="X123" s="762"/>
      <c r="Y123" s="762"/>
      <c r="Z123" s="762"/>
    </row>
    <row r="124" spans="1:54" thickBot="1">
      <c r="A124" s="298"/>
      <c r="B124" s="298"/>
      <c r="C124" s="762"/>
      <c r="D124" s="762"/>
      <c r="E124" s="762"/>
      <c r="F124" s="769"/>
      <c r="G124" s="762"/>
      <c r="H124" s="762"/>
      <c r="I124" s="769"/>
      <c r="J124" s="762"/>
      <c r="K124" s="764"/>
      <c r="L124" s="769"/>
      <c r="M124" s="769"/>
      <c r="N124" s="762"/>
      <c r="O124" s="769"/>
      <c r="P124" s="769"/>
      <c r="Q124" s="762"/>
      <c r="R124" s="769"/>
      <c r="S124" s="769"/>
      <c r="T124" s="762"/>
      <c r="U124" s="769"/>
      <c r="V124" s="762"/>
      <c r="W124" s="762"/>
      <c r="X124" s="762"/>
      <c r="Y124" s="762"/>
      <c r="Z124" s="762"/>
    </row>
    <row r="125" spans="1:54" thickBot="1">
      <c r="A125" s="298"/>
      <c r="B125" s="298"/>
      <c r="C125" s="762"/>
      <c r="D125" s="762"/>
      <c r="E125" s="762"/>
      <c r="F125" s="769"/>
      <c r="G125" s="762"/>
      <c r="H125" s="762"/>
      <c r="I125" s="769"/>
      <c r="J125" s="762"/>
      <c r="K125" s="764"/>
      <c r="L125" s="769"/>
      <c r="M125" s="769"/>
      <c r="N125" s="762"/>
      <c r="O125" s="769"/>
      <c r="P125" s="769"/>
      <c r="Q125" s="762"/>
      <c r="R125" s="769"/>
      <c r="S125" s="769"/>
      <c r="T125" s="762"/>
      <c r="U125" s="769"/>
      <c r="V125" s="762"/>
      <c r="W125" s="762"/>
      <c r="X125" s="762"/>
      <c r="Y125" s="762"/>
      <c r="Z125" s="762"/>
    </row>
    <row r="126" spans="1:54" thickBot="1">
      <c r="A126" s="298"/>
      <c r="B126" s="298"/>
      <c r="C126" s="762"/>
      <c r="D126" s="762"/>
      <c r="E126" s="762"/>
      <c r="F126" s="769"/>
      <c r="G126" s="762"/>
      <c r="H126" s="762"/>
      <c r="I126" s="769"/>
      <c r="J126" s="762"/>
      <c r="K126" s="764"/>
      <c r="L126" s="769"/>
      <c r="M126" s="769"/>
      <c r="N126" s="762"/>
      <c r="O126" s="769"/>
      <c r="P126" s="769"/>
      <c r="Q126" s="762"/>
      <c r="R126" s="769"/>
      <c r="S126" s="769"/>
      <c r="T126" s="762"/>
      <c r="U126" s="769"/>
      <c r="V126" s="762"/>
      <c r="W126" s="762"/>
      <c r="X126" s="770"/>
      <c r="Y126" s="770"/>
      <c r="Z126" s="770"/>
      <c r="AA126" s="297"/>
      <c r="AB126" s="297"/>
      <c r="AC126" s="297"/>
      <c r="AD126" s="297"/>
      <c r="AE126" s="297"/>
      <c r="AF126" s="297"/>
      <c r="AG126" s="297"/>
      <c r="AH126" s="297"/>
      <c r="AI126" s="297"/>
      <c r="AJ126" s="297"/>
      <c r="AK126" s="297"/>
      <c r="AL126" s="297"/>
      <c r="AM126" s="297"/>
      <c r="AN126" s="297"/>
      <c r="AO126" s="297"/>
      <c r="AP126" s="297"/>
      <c r="AQ126" s="297"/>
      <c r="AR126" s="297"/>
      <c r="AS126" s="297"/>
      <c r="AT126" s="297"/>
      <c r="AU126" s="297"/>
      <c r="AV126" s="297"/>
      <c r="AW126" s="297"/>
      <c r="AX126" s="297"/>
      <c r="AY126" s="297"/>
      <c r="AZ126" s="297"/>
      <c r="BA126" s="297"/>
      <c r="BB126" s="297"/>
    </row>
    <row r="127" spans="1:54" thickBot="1">
      <c r="A127" s="298"/>
      <c r="B127" s="298"/>
      <c r="C127" s="762"/>
      <c r="D127" s="762"/>
      <c r="E127" s="762"/>
      <c r="F127" s="769"/>
      <c r="G127" s="762"/>
      <c r="H127" s="762"/>
      <c r="I127" s="769"/>
      <c r="J127" s="762"/>
      <c r="K127" s="764"/>
      <c r="L127" s="769"/>
      <c r="M127" s="769"/>
      <c r="N127" s="762"/>
      <c r="O127" s="769"/>
      <c r="P127" s="769"/>
      <c r="Q127" s="762"/>
      <c r="R127" s="769"/>
      <c r="S127" s="769"/>
      <c r="T127" s="762"/>
      <c r="U127" s="769"/>
      <c r="V127" s="762"/>
      <c r="W127" s="762"/>
      <c r="X127" s="770"/>
      <c r="Y127" s="770"/>
      <c r="Z127" s="770"/>
      <c r="AA127" s="297"/>
      <c r="AB127" s="297"/>
      <c r="AC127" s="297"/>
      <c r="AD127" s="297"/>
      <c r="AE127" s="297"/>
      <c r="AF127" s="297"/>
      <c r="AG127" s="297"/>
      <c r="AH127" s="297"/>
      <c r="AI127" s="297"/>
      <c r="AJ127" s="297"/>
      <c r="AK127" s="297"/>
      <c r="AL127" s="297"/>
      <c r="AM127" s="297"/>
      <c r="AN127" s="297"/>
      <c r="AO127" s="297"/>
      <c r="AP127" s="297"/>
      <c r="AQ127" s="297"/>
      <c r="AR127" s="297"/>
      <c r="AS127" s="297"/>
      <c r="AT127" s="297"/>
      <c r="AU127" s="297"/>
      <c r="AV127" s="297"/>
      <c r="AW127" s="297"/>
      <c r="AX127" s="297"/>
      <c r="AY127" s="297"/>
      <c r="AZ127" s="297"/>
      <c r="BA127" s="297"/>
      <c r="BB127" s="297"/>
    </row>
    <row r="128" spans="1:54" thickBot="1">
      <c r="A128" s="298"/>
      <c r="B128" s="298"/>
      <c r="C128" s="762"/>
      <c r="D128" s="762"/>
      <c r="E128" s="762"/>
      <c r="F128" s="769"/>
      <c r="G128" s="762"/>
      <c r="H128" s="762"/>
      <c r="I128" s="769"/>
      <c r="J128" s="762"/>
      <c r="K128" s="764"/>
      <c r="L128" s="769"/>
      <c r="M128" s="769"/>
      <c r="N128" s="762"/>
      <c r="O128" s="769"/>
      <c r="P128" s="769"/>
      <c r="Q128" s="762"/>
      <c r="R128" s="769"/>
      <c r="S128" s="769"/>
      <c r="T128" s="762"/>
      <c r="U128" s="769"/>
      <c r="V128" s="762"/>
      <c r="W128" s="762"/>
      <c r="X128" s="770"/>
      <c r="Y128" s="770"/>
      <c r="Z128" s="770"/>
      <c r="AA128" s="297"/>
      <c r="AB128" s="297"/>
      <c r="AC128" s="297"/>
      <c r="AD128" s="297"/>
      <c r="AE128" s="297"/>
      <c r="AF128" s="297"/>
      <c r="AG128" s="297"/>
      <c r="AH128" s="297"/>
      <c r="AI128" s="297"/>
      <c r="AJ128" s="297"/>
      <c r="AK128" s="297"/>
      <c r="AL128" s="297"/>
      <c r="AM128" s="297"/>
      <c r="AN128" s="297"/>
      <c r="AO128" s="297"/>
      <c r="AP128" s="297"/>
      <c r="AQ128" s="297"/>
      <c r="AR128" s="297"/>
      <c r="AS128" s="297"/>
      <c r="AT128" s="297"/>
      <c r="AU128" s="297"/>
      <c r="AV128" s="297"/>
      <c r="AW128" s="297"/>
      <c r="AX128" s="297"/>
      <c r="AY128" s="297"/>
      <c r="AZ128" s="297"/>
      <c r="BA128" s="297"/>
      <c r="BB128" s="297"/>
    </row>
    <row r="129" spans="1:54" thickBot="1">
      <c r="A129" s="298"/>
      <c r="B129" s="298"/>
      <c r="C129" s="762"/>
      <c r="D129" s="762"/>
      <c r="E129" s="762"/>
      <c r="F129" s="769"/>
      <c r="G129" s="762"/>
      <c r="H129" s="762"/>
      <c r="I129" s="769"/>
      <c r="J129" s="762"/>
      <c r="K129" s="764"/>
      <c r="L129" s="769"/>
      <c r="M129" s="769"/>
      <c r="N129" s="762"/>
      <c r="O129" s="769"/>
      <c r="P129" s="769"/>
      <c r="Q129" s="762"/>
      <c r="R129" s="769"/>
      <c r="S129" s="769"/>
      <c r="T129" s="762"/>
      <c r="U129" s="769"/>
      <c r="V129" s="762"/>
      <c r="W129" s="762"/>
      <c r="X129" s="770"/>
      <c r="Y129" s="770"/>
      <c r="Z129" s="770"/>
      <c r="AA129" s="297"/>
      <c r="AB129" s="297"/>
      <c r="AC129" s="297"/>
      <c r="AD129" s="297"/>
      <c r="AE129" s="297"/>
      <c r="AF129" s="297"/>
      <c r="AG129" s="297"/>
      <c r="AH129" s="297"/>
      <c r="AI129" s="297"/>
      <c r="AJ129" s="297"/>
      <c r="AK129" s="297"/>
      <c r="AL129" s="297"/>
      <c r="AM129" s="297"/>
      <c r="AN129" s="297"/>
      <c r="AO129" s="297"/>
      <c r="AP129" s="297"/>
      <c r="AQ129" s="297"/>
      <c r="AR129" s="297"/>
      <c r="AS129" s="297"/>
      <c r="AT129" s="297"/>
      <c r="AU129" s="297"/>
      <c r="AV129" s="297"/>
      <c r="AW129" s="297"/>
      <c r="AX129" s="297"/>
      <c r="AY129" s="297"/>
      <c r="AZ129" s="297"/>
      <c r="BA129" s="297"/>
      <c r="BB129" s="297"/>
    </row>
    <row r="130" spans="1:54" thickBot="1">
      <c r="A130" s="298"/>
      <c r="B130" s="298"/>
      <c r="C130" s="762"/>
      <c r="D130" s="762"/>
      <c r="E130" s="762"/>
      <c r="F130" s="769"/>
      <c r="G130" s="762"/>
      <c r="H130" s="762"/>
      <c r="I130" s="769"/>
      <c r="J130" s="762"/>
      <c r="K130" s="764"/>
      <c r="L130" s="769"/>
      <c r="M130" s="769"/>
      <c r="N130" s="762"/>
      <c r="O130" s="769"/>
      <c r="P130" s="769"/>
      <c r="Q130" s="762"/>
      <c r="R130" s="769"/>
      <c r="S130" s="769"/>
      <c r="T130" s="762"/>
      <c r="U130" s="769"/>
      <c r="V130" s="762"/>
      <c r="W130" s="762"/>
      <c r="X130" s="770"/>
      <c r="Y130" s="770"/>
      <c r="Z130" s="770"/>
      <c r="AA130" s="297"/>
      <c r="AB130" s="297"/>
      <c r="AC130" s="297"/>
      <c r="AD130" s="297"/>
      <c r="AE130" s="297"/>
      <c r="AF130" s="297"/>
      <c r="AG130" s="297"/>
      <c r="AH130" s="297"/>
      <c r="AI130" s="297"/>
      <c r="AJ130" s="297"/>
      <c r="AK130" s="297"/>
      <c r="AL130" s="297"/>
      <c r="AM130" s="297"/>
      <c r="AN130" s="297"/>
      <c r="AO130" s="297"/>
      <c r="AP130" s="297"/>
      <c r="AQ130" s="297"/>
      <c r="AR130" s="297"/>
      <c r="AS130" s="297"/>
      <c r="AT130" s="297"/>
      <c r="AU130" s="297"/>
      <c r="AV130" s="297"/>
      <c r="AW130" s="297"/>
      <c r="AX130" s="297"/>
      <c r="AY130" s="297"/>
      <c r="AZ130" s="297"/>
      <c r="BA130" s="297"/>
      <c r="BB130" s="297"/>
    </row>
    <row r="131" spans="1:54" thickBot="1">
      <c r="A131" s="298"/>
      <c r="B131" s="298"/>
      <c r="C131" s="762"/>
      <c r="D131" s="762"/>
      <c r="E131" s="762"/>
      <c r="F131" s="769"/>
      <c r="G131" s="762"/>
      <c r="H131" s="762"/>
      <c r="I131" s="769"/>
      <c r="J131" s="762"/>
      <c r="K131" s="764"/>
      <c r="L131" s="769"/>
      <c r="M131" s="769"/>
      <c r="N131" s="762"/>
      <c r="O131" s="769"/>
      <c r="P131" s="769"/>
      <c r="Q131" s="762"/>
      <c r="R131" s="769"/>
      <c r="S131" s="769"/>
      <c r="T131" s="762"/>
      <c r="U131" s="769"/>
      <c r="V131" s="762"/>
      <c r="W131" s="762"/>
      <c r="X131" s="770"/>
      <c r="Y131" s="770"/>
      <c r="Z131" s="770"/>
      <c r="AA131" s="297"/>
      <c r="AB131" s="297"/>
      <c r="AC131" s="297"/>
      <c r="AD131" s="297"/>
      <c r="AE131" s="297"/>
      <c r="AF131" s="297"/>
      <c r="AG131" s="297"/>
      <c r="AH131" s="297"/>
      <c r="AI131" s="297"/>
      <c r="AJ131" s="297"/>
      <c r="AK131" s="297"/>
      <c r="AL131" s="297"/>
      <c r="AM131" s="297"/>
      <c r="AN131" s="297"/>
      <c r="AO131" s="297"/>
      <c r="AP131" s="297"/>
      <c r="AQ131" s="297"/>
      <c r="AR131" s="297"/>
      <c r="AS131" s="297"/>
      <c r="AT131" s="297"/>
      <c r="AU131" s="297"/>
      <c r="AV131" s="297"/>
      <c r="AW131" s="297"/>
      <c r="AX131" s="297"/>
      <c r="AY131" s="297"/>
      <c r="AZ131" s="297"/>
      <c r="BA131" s="297"/>
      <c r="BB131" s="297"/>
    </row>
    <row r="132" spans="1:54" thickBot="1">
      <c r="A132" s="298"/>
      <c r="B132" s="298"/>
      <c r="C132" s="762"/>
      <c r="D132" s="762"/>
      <c r="E132" s="762"/>
      <c r="F132" s="769"/>
      <c r="G132" s="762"/>
      <c r="H132" s="762"/>
      <c r="I132" s="769"/>
      <c r="J132" s="762"/>
      <c r="K132" s="764"/>
      <c r="L132" s="769"/>
      <c r="M132" s="769"/>
      <c r="N132" s="762"/>
      <c r="O132" s="769"/>
      <c r="P132" s="769"/>
      <c r="Q132" s="762"/>
      <c r="R132" s="769"/>
      <c r="S132" s="769"/>
      <c r="T132" s="762"/>
      <c r="U132" s="769"/>
      <c r="V132" s="762"/>
      <c r="W132" s="762"/>
      <c r="X132" s="770"/>
      <c r="Y132" s="770"/>
      <c r="Z132" s="770"/>
      <c r="AA132" s="297"/>
      <c r="AB132" s="297"/>
      <c r="AC132" s="297"/>
      <c r="AD132" s="297"/>
      <c r="AE132" s="297"/>
      <c r="AF132" s="297"/>
      <c r="AG132" s="297"/>
      <c r="AH132" s="297"/>
      <c r="AI132" s="297"/>
      <c r="AJ132" s="297"/>
      <c r="AK132" s="297"/>
      <c r="AL132" s="297"/>
      <c r="AM132" s="297"/>
      <c r="AN132" s="297"/>
      <c r="AO132" s="297"/>
      <c r="AP132" s="297"/>
      <c r="AQ132" s="297"/>
      <c r="AR132" s="297"/>
      <c r="AS132" s="297"/>
      <c r="AT132" s="297"/>
      <c r="AU132" s="297"/>
      <c r="AV132" s="297"/>
      <c r="AW132" s="297"/>
      <c r="AX132" s="297"/>
      <c r="AY132" s="297"/>
      <c r="AZ132" s="297"/>
      <c r="BA132" s="297"/>
      <c r="BB132" s="297"/>
    </row>
    <row r="133" spans="1:54" thickBot="1">
      <c r="A133" s="298"/>
      <c r="B133" s="298"/>
      <c r="C133" s="762"/>
      <c r="D133" s="762"/>
      <c r="E133" s="762"/>
      <c r="F133" s="769"/>
      <c r="G133" s="762"/>
      <c r="H133" s="762"/>
      <c r="I133" s="769"/>
      <c r="J133" s="762"/>
      <c r="K133" s="764"/>
      <c r="L133" s="769"/>
      <c r="M133" s="769"/>
      <c r="N133" s="762"/>
      <c r="O133" s="769"/>
      <c r="P133" s="769"/>
      <c r="Q133" s="762"/>
      <c r="R133" s="769"/>
      <c r="S133" s="769"/>
      <c r="T133" s="762"/>
      <c r="U133" s="769"/>
      <c r="V133" s="762"/>
      <c r="W133" s="762"/>
      <c r="X133" s="770"/>
      <c r="Y133" s="770"/>
      <c r="Z133" s="770"/>
      <c r="AA133" s="297"/>
      <c r="AB133" s="297"/>
      <c r="AC133" s="297"/>
      <c r="AD133" s="297"/>
      <c r="AE133" s="297"/>
      <c r="AF133" s="297"/>
      <c r="AG133" s="297"/>
      <c r="AH133" s="297"/>
      <c r="AI133" s="297"/>
      <c r="AJ133" s="297"/>
      <c r="AK133" s="297"/>
      <c r="AL133" s="297"/>
      <c r="AM133" s="297"/>
      <c r="AN133" s="297"/>
      <c r="AO133" s="297"/>
      <c r="AP133" s="297"/>
      <c r="AQ133" s="297"/>
      <c r="AR133" s="297"/>
      <c r="AS133" s="297"/>
      <c r="AT133" s="297"/>
      <c r="AU133" s="297"/>
      <c r="AV133" s="297"/>
      <c r="AW133" s="297"/>
      <c r="AX133" s="297"/>
      <c r="AY133" s="297"/>
      <c r="AZ133" s="297"/>
      <c r="BA133" s="297"/>
      <c r="BB133" s="297"/>
    </row>
    <row r="134" spans="1:54" thickBot="1">
      <c r="A134" s="298"/>
      <c r="B134" s="298"/>
      <c r="C134" s="762"/>
      <c r="D134" s="762"/>
      <c r="E134" s="762"/>
      <c r="F134" s="769"/>
      <c r="G134" s="762"/>
      <c r="H134" s="762"/>
      <c r="I134" s="769"/>
      <c r="J134" s="762"/>
      <c r="K134" s="764"/>
      <c r="L134" s="769"/>
      <c r="M134" s="769"/>
      <c r="N134" s="762"/>
      <c r="O134" s="769"/>
      <c r="P134" s="769"/>
      <c r="Q134" s="762"/>
      <c r="R134" s="769"/>
      <c r="S134" s="769"/>
      <c r="T134" s="762"/>
      <c r="U134" s="769"/>
      <c r="V134" s="762"/>
      <c r="W134" s="762"/>
      <c r="X134" s="770"/>
      <c r="Y134" s="770"/>
      <c r="Z134" s="770"/>
      <c r="AA134" s="297"/>
      <c r="AB134" s="297"/>
      <c r="AC134" s="297"/>
      <c r="AD134" s="297"/>
      <c r="AE134" s="297"/>
      <c r="AF134" s="297"/>
      <c r="AG134" s="297"/>
      <c r="AH134" s="297"/>
      <c r="AI134" s="297"/>
      <c r="AJ134" s="297"/>
      <c r="AK134" s="297"/>
      <c r="AL134" s="297"/>
      <c r="AM134" s="297"/>
      <c r="AN134" s="297"/>
      <c r="AO134" s="297"/>
      <c r="AP134" s="297"/>
      <c r="AQ134" s="297"/>
      <c r="AR134" s="297"/>
      <c r="AS134" s="297"/>
      <c r="AT134" s="297"/>
      <c r="AU134" s="297"/>
      <c r="AV134" s="297"/>
      <c r="AW134" s="297"/>
      <c r="AX134" s="297"/>
      <c r="AY134" s="297"/>
      <c r="AZ134" s="297"/>
      <c r="BA134" s="297"/>
      <c r="BB134" s="297"/>
    </row>
    <row r="135" spans="1:54" thickBot="1">
      <c r="A135" s="298"/>
      <c r="B135" s="298"/>
      <c r="C135" s="762"/>
      <c r="D135" s="762"/>
      <c r="E135" s="762"/>
      <c r="F135" s="769"/>
      <c r="G135" s="762"/>
      <c r="H135" s="762"/>
      <c r="I135" s="769"/>
      <c r="J135" s="762"/>
      <c r="K135" s="764"/>
      <c r="L135" s="769"/>
      <c r="M135" s="769"/>
      <c r="N135" s="762"/>
      <c r="O135" s="769"/>
      <c r="P135" s="769"/>
      <c r="Q135" s="762"/>
      <c r="R135" s="769"/>
      <c r="S135" s="769"/>
      <c r="T135" s="762"/>
      <c r="U135" s="769"/>
      <c r="V135" s="762"/>
      <c r="W135" s="762"/>
      <c r="X135" s="770"/>
      <c r="Y135" s="770"/>
      <c r="Z135" s="770"/>
      <c r="AA135" s="297"/>
      <c r="AB135" s="297"/>
      <c r="AC135" s="297"/>
      <c r="AD135" s="297"/>
      <c r="AE135" s="297"/>
      <c r="AF135" s="297"/>
      <c r="AG135" s="297"/>
      <c r="AH135" s="297"/>
      <c r="AI135" s="297"/>
      <c r="AJ135" s="297"/>
      <c r="AK135" s="297"/>
      <c r="AL135" s="297"/>
      <c r="AM135" s="297"/>
      <c r="AN135" s="297"/>
      <c r="AO135" s="297"/>
      <c r="AP135" s="297"/>
      <c r="AQ135" s="297"/>
      <c r="AR135" s="297"/>
      <c r="AS135" s="297"/>
      <c r="AT135" s="297"/>
      <c r="AU135" s="297"/>
      <c r="AV135" s="297"/>
      <c r="AW135" s="297"/>
      <c r="AX135" s="297"/>
      <c r="AY135" s="297"/>
      <c r="AZ135" s="297"/>
      <c r="BA135" s="297"/>
      <c r="BB135" s="297"/>
    </row>
    <row r="136" spans="1:54" thickBot="1">
      <c r="A136" s="298"/>
      <c r="B136" s="298"/>
      <c r="C136" s="762"/>
      <c r="D136" s="762"/>
      <c r="E136" s="762"/>
      <c r="F136" s="769"/>
      <c r="G136" s="762"/>
      <c r="H136" s="762"/>
      <c r="I136" s="769"/>
      <c r="J136" s="762"/>
      <c r="K136" s="764"/>
      <c r="L136" s="769"/>
      <c r="M136" s="769"/>
      <c r="N136" s="762"/>
      <c r="O136" s="769"/>
      <c r="P136" s="769"/>
      <c r="Q136" s="762"/>
      <c r="R136" s="769"/>
      <c r="S136" s="769"/>
      <c r="T136" s="762"/>
      <c r="U136" s="769"/>
      <c r="V136" s="762"/>
      <c r="W136" s="762"/>
      <c r="X136" s="770"/>
      <c r="Y136" s="770"/>
      <c r="Z136" s="770"/>
      <c r="AA136" s="297"/>
      <c r="AB136" s="297"/>
      <c r="AC136" s="297"/>
      <c r="AD136" s="297"/>
      <c r="AE136" s="297"/>
      <c r="AF136" s="297"/>
      <c r="AG136" s="297"/>
      <c r="AH136" s="297"/>
      <c r="AI136" s="297"/>
      <c r="AJ136" s="297"/>
      <c r="AK136" s="297"/>
      <c r="AL136" s="297"/>
      <c r="AM136" s="297"/>
      <c r="AN136" s="297"/>
      <c r="AO136" s="297"/>
      <c r="AP136" s="297"/>
      <c r="AQ136" s="297"/>
      <c r="AR136" s="297"/>
      <c r="AS136" s="297"/>
      <c r="AT136" s="297"/>
      <c r="AU136" s="297"/>
      <c r="AV136" s="297"/>
      <c r="AW136" s="297"/>
      <c r="AX136" s="297"/>
      <c r="AY136" s="297"/>
      <c r="AZ136" s="297"/>
      <c r="BA136" s="297"/>
      <c r="BB136" s="297"/>
    </row>
    <row r="137" spans="1:54" thickBot="1">
      <c r="A137" s="298"/>
      <c r="B137" s="298"/>
      <c r="C137" s="762"/>
      <c r="D137" s="762"/>
      <c r="E137" s="762"/>
      <c r="F137" s="769"/>
      <c r="G137" s="762"/>
      <c r="H137" s="762"/>
      <c r="I137" s="769"/>
      <c r="J137" s="762"/>
      <c r="K137" s="764"/>
      <c r="L137" s="769"/>
      <c r="M137" s="769"/>
      <c r="N137" s="762"/>
      <c r="O137" s="769"/>
      <c r="P137" s="769"/>
      <c r="Q137" s="762"/>
      <c r="R137" s="769"/>
      <c r="S137" s="769"/>
      <c r="T137" s="762"/>
      <c r="U137" s="769"/>
      <c r="V137" s="762"/>
      <c r="W137" s="762"/>
      <c r="X137" s="770"/>
      <c r="Y137" s="770"/>
      <c r="Z137" s="770"/>
      <c r="AA137" s="297"/>
      <c r="AB137" s="297"/>
      <c r="AC137" s="297"/>
      <c r="AD137" s="297"/>
      <c r="AE137" s="297"/>
      <c r="AF137" s="297"/>
      <c r="AG137" s="297"/>
      <c r="AH137" s="297"/>
      <c r="AI137" s="297"/>
      <c r="AJ137" s="297"/>
      <c r="AK137" s="297"/>
      <c r="AL137" s="297"/>
      <c r="AM137" s="297"/>
      <c r="AN137" s="297"/>
      <c r="AO137" s="297"/>
      <c r="AP137" s="297"/>
      <c r="AQ137" s="297"/>
      <c r="AR137" s="297"/>
      <c r="AS137" s="297"/>
      <c r="AT137" s="297"/>
      <c r="AU137" s="297"/>
      <c r="AV137" s="297"/>
      <c r="AW137" s="297"/>
      <c r="AX137" s="297"/>
      <c r="AY137" s="297"/>
      <c r="AZ137" s="297"/>
      <c r="BA137" s="297"/>
      <c r="BB137" s="297"/>
    </row>
    <row r="138" spans="1:54" thickBot="1">
      <c r="A138" s="298"/>
      <c r="B138" s="298"/>
      <c r="C138" s="762"/>
      <c r="D138" s="762"/>
      <c r="E138" s="762"/>
      <c r="F138" s="769"/>
      <c r="G138" s="762"/>
      <c r="H138" s="762"/>
      <c r="I138" s="769"/>
      <c r="J138" s="762"/>
      <c r="K138" s="764"/>
      <c r="L138" s="769"/>
      <c r="M138" s="769"/>
      <c r="N138" s="762"/>
      <c r="O138" s="769"/>
      <c r="P138" s="769"/>
      <c r="Q138" s="762"/>
      <c r="R138" s="769"/>
      <c r="S138" s="769"/>
      <c r="T138" s="762"/>
      <c r="U138" s="769"/>
      <c r="V138" s="762"/>
      <c r="W138" s="762"/>
      <c r="X138" s="770"/>
      <c r="Y138" s="770"/>
      <c r="Z138" s="770"/>
      <c r="AA138" s="297"/>
      <c r="AB138" s="297"/>
      <c r="AC138" s="297"/>
      <c r="AD138" s="297"/>
      <c r="AE138" s="297"/>
      <c r="AF138" s="297"/>
      <c r="AG138" s="297"/>
      <c r="AH138" s="297"/>
      <c r="AI138" s="297"/>
      <c r="AJ138" s="297"/>
      <c r="AK138" s="297"/>
      <c r="AL138" s="297"/>
      <c r="AM138" s="297"/>
      <c r="AN138" s="297"/>
      <c r="AO138" s="297"/>
      <c r="AP138" s="297"/>
      <c r="AQ138" s="297"/>
      <c r="AR138" s="297"/>
      <c r="AS138" s="297"/>
      <c r="AT138" s="297"/>
      <c r="AU138" s="297"/>
      <c r="AV138" s="297"/>
      <c r="AW138" s="297"/>
      <c r="AX138" s="297"/>
      <c r="AY138" s="297"/>
      <c r="AZ138" s="297"/>
      <c r="BA138" s="297"/>
      <c r="BB138" s="297"/>
    </row>
    <row r="139" spans="1:54" thickBot="1">
      <c r="A139" s="298"/>
      <c r="B139" s="298"/>
      <c r="C139" s="762"/>
      <c r="D139" s="762"/>
      <c r="E139" s="762"/>
      <c r="F139" s="769"/>
      <c r="G139" s="762"/>
      <c r="H139" s="762"/>
      <c r="I139" s="769"/>
      <c r="J139" s="762"/>
      <c r="K139" s="764"/>
      <c r="L139" s="769"/>
      <c r="M139" s="769"/>
      <c r="N139" s="762"/>
      <c r="O139" s="769"/>
      <c r="P139" s="769"/>
      <c r="Q139" s="762"/>
      <c r="R139" s="769"/>
      <c r="S139" s="769"/>
      <c r="T139" s="762"/>
      <c r="U139" s="769"/>
      <c r="V139" s="762"/>
      <c r="W139" s="762"/>
      <c r="X139" s="770"/>
      <c r="Y139" s="770"/>
      <c r="Z139" s="770"/>
      <c r="AA139" s="297"/>
      <c r="AB139" s="297"/>
      <c r="AC139" s="297"/>
      <c r="AD139" s="297"/>
      <c r="AE139" s="297"/>
      <c r="AF139" s="297"/>
      <c r="AG139" s="297"/>
      <c r="AH139" s="297"/>
      <c r="AI139" s="297"/>
      <c r="AJ139" s="297"/>
      <c r="AK139" s="297"/>
      <c r="AL139" s="297"/>
      <c r="AM139" s="297"/>
      <c r="AN139" s="297"/>
      <c r="AO139" s="297"/>
      <c r="AP139" s="297"/>
      <c r="AQ139" s="297"/>
      <c r="AR139" s="297"/>
      <c r="AS139" s="297"/>
      <c r="AT139" s="297"/>
      <c r="AU139" s="297"/>
      <c r="AV139" s="297"/>
      <c r="AW139" s="297"/>
      <c r="AX139" s="297"/>
      <c r="AY139" s="297"/>
      <c r="AZ139" s="297"/>
      <c r="BA139" s="297"/>
      <c r="BB139" s="297"/>
    </row>
    <row r="140" spans="1:54" thickBot="1">
      <c r="A140" s="298"/>
      <c r="B140" s="298"/>
      <c r="C140" s="762"/>
      <c r="D140" s="762"/>
      <c r="E140" s="762"/>
      <c r="F140" s="769"/>
      <c r="G140" s="762"/>
      <c r="H140" s="762"/>
      <c r="I140" s="769"/>
      <c r="J140" s="762"/>
      <c r="K140" s="764"/>
      <c r="L140" s="769"/>
      <c r="M140" s="769"/>
      <c r="N140" s="762"/>
      <c r="O140" s="769"/>
      <c r="P140" s="769"/>
      <c r="Q140" s="762"/>
      <c r="R140" s="769"/>
      <c r="S140" s="769"/>
      <c r="T140" s="762"/>
      <c r="U140" s="769"/>
      <c r="V140" s="762"/>
      <c r="W140" s="762"/>
      <c r="X140" s="770"/>
      <c r="Y140" s="770"/>
      <c r="Z140" s="770"/>
      <c r="AA140" s="297"/>
      <c r="AB140" s="297"/>
      <c r="AC140" s="297"/>
      <c r="AD140" s="297"/>
      <c r="AE140" s="297"/>
      <c r="AF140" s="297"/>
      <c r="AG140" s="297"/>
      <c r="AH140" s="297"/>
      <c r="AI140" s="297"/>
      <c r="AJ140" s="297"/>
      <c r="AK140" s="297"/>
      <c r="AL140" s="297"/>
      <c r="AM140" s="297"/>
      <c r="AN140" s="297"/>
      <c r="AO140" s="297"/>
      <c r="AP140" s="297"/>
      <c r="AQ140" s="297"/>
      <c r="AR140" s="297"/>
      <c r="AS140" s="297"/>
      <c r="AT140" s="297"/>
      <c r="AU140" s="297"/>
      <c r="AV140" s="297"/>
      <c r="AW140" s="297"/>
      <c r="AX140" s="297"/>
      <c r="AY140" s="297"/>
      <c r="AZ140" s="297"/>
      <c r="BA140" s="297"/>
      <c r="BB140" s="297"/>
    </row>
    <row r="141" spans="1:54" thickBot="1">
      <c r="A141" s="298"/>
      <c r="B141" s="298"/>
      <c r="C141" s="762"/>
      <c r="D141" s="762"/>
      <c r="E141" s="762"/>
      <c r="F141" s="769"/>
      <c r="G141" s="762"/>
      <c r="H141" s="762"/>
      <c r="I141" s="769"/>
      <c r="J141" s="762"/>
      <c r="K141" s="764"/>
      <c r="L141" s="769"/>
      <c r="M141" s="769"/>
      <c r="N141" s="762"/>
      <c r="O141" s="769"/>
      <c r="P141" s="769"/>
      <c r="Q141" s="762"/>
      <c r="R141" s="769"/>
      <c r="S141" s="769"/>
      <c r="T141" s="762"/>
      <c r="U141" s="769"/>
      <c r="V141" s="762"/>
      <c r="W141" s="762"/>
      <c r="X141" s="770"/>
      <c r="Y141" s="770"/>
      <c r="Z141" s="770"/>
      <c r="AA141" s="297"/>
      <c r="AB141" s="297"/>
      <c r="AC141" s="297"/>
      <c r="AD141" s="297"/>
      <c r="AE141" s="297"/>
      <c r="AF141" s="297"/>
      <c r="AG141" s="297"/>
      <c r="AH141" s="297"/>
      <c r="AI141" s="297"/>
      <c r="AJ141" s="297"/>
      <c r="AK141" s="297"/>
      <c r="AL141" s="297"/>
      <c r="AM141" s="297"/>
      <c r="AN141" s="297"/>
      <c r="AO141" s="297"/>
      <c r="AP141" s="297"/>
      <c r="AQ141" s="297"/>
      <c r="AR141" s="297"/>
      <c r="AS141" s="297"/>
      <c r="AT141" s="297"/>
      <c r="AU141" s="297"/>
      <c r="AV141" s="297"/>
      <c r="AW141" s="297"/>
      <c r="AX141" s="297"/>
      <c r="AY141" s="297"/>
      <c r="AZ141" s="297"/>
      <c r="BA141" s="297"/>
      <c r="BB141" s="297"/>
    </row>
    <row r="142" spans="1:54" thickBot="1">
      <c r="A142" s="298"/>
      <c r="B142" s="298"/>
      <c r="C142" s="762"/>
      <c r="D142" s="762"/>
      <c r="E142" s="762"/>
      <c r="F142" s="769"/>
      <c r="G142" s="762"/>
      <c r="H142" s="762"/>
      <c r="I142" s="769"/>
      <c r="J142" s="762"/>
      <c r="K142" s="764"/>
      <c r="L142" s="769"/>
      <c r="M142" s="769"/>
      <c r="N142" s="762"/>
      <c r="O142" s="769"/>
      <c r="P142" s="769"/>
      <c r="Q142" s="762"/>
      <c r="R142" s="769"/>
      <c r="S142" s="769"/>
      <c r="T142" s="762"/>
      <c r="U142" s="769"/>
      <c r="V142" s="762"/>
      <c r="W142" s="762"/>
      <c r="X142" s="770"/>
      <c r="Y142" s="770"/>
      <c r="Z142" s="770"/>
      <c r="AA142" s="297"/>
      <c r="AB142" s="297"/>
      <c r="AC142" s="297"/>
      <c r="AD142" s="297"/>
      <c r="AE142" s="297"/>
      <c r="AF142" s="297"/>
      <c r="AG142" s="297"/>
      <c r="AH142" s="297"/>
      <c r="AI142" s="297"/>
      <c r="AJ142" s="297"/>
      <c r="AK142" s="297"/>
      <c r="AL142" s="297"/>
      <c r="AM142" s="297"/>
      <c r="AN142" s="297"/>
      <c r="AO142" s="297"/>
      <c r="AP142" s="297"/>
      <c r="AQ142" s="297"/>
      <c r="AR142" s="297"/>
      <c r="AS142" s="297"/>
      <c r="AT142" s="297"/>
      <c r="AU142" s="297"/>
      <c r="AV142" s="297"/>
      <c r="AW142" s="297"/>
      <c r="AX142" s="297"/>
      <c r="AY142" s="297"/>
      <c r="AZ142" s="297"/>
      <c r="BA142" s="297"/>
      <c r="BB142" s="297"/>
    </row>
    <row r="143" spans="1:54" thickBot="1">
      <c r="A143" s="298"/>
      <c r="B143" s="298"/>
      <c r="C143" s="762"/>
      <c r="D143" s="762"/>
      <c r="E143" s="762"/>
      <c r="F143" s="769"/>
      <c r="G143" s="762"/>
      <c r="H143" s="762"/>
      <c r="I143" s="769"/>
      <c r="J143" s="762"/>
      <c r="K143" s="764"/>
      <c r="L143" s="769"/>
      <c r="M143" s="769"/>
      <c r="N143" s="762"/>
      <c r="O143" s="769"/>
      <c r="P143" s="769"/>
      <c r="Q143" s="762"/>
      <c r="R143" s="769"/>
      <c r="S143" s="769"/>
      <c r="T143" s="762"/>
      <c r="U143" s="769"/>
      <c r="V143" s="762"/>
      <c r="W143" s="762"/>
      <c r="X143" s="770"/>
      <c r="Y143" s="770"/>
      <c r="Z143" s="770"/>
      <c r="AA143" s="297"/>
      <c r="AB143" s="297"/>
      <c r="AC143" s="297"/>
      <c r="AD143" s="297"/>
      <c r="AE143" s="297"/>
      <c r="AF143" s="297"/>
      <c r="AG143" s="297"/>
      <c r="AH143" s="297"/>
      <c r="AI143" s="297"/>
      <c r="AJ143" s="297"/>
      <c r="AK143" s="297"/>
      <c r="AL143" s="297"/>
      <c r="AM143" s="297"/>
      <c r="AN143" s="297"/>
      <c r="AO143" s="297"/>
      <c r="AP143" s="297"/>
      <c r="AQ143" s="297"/>
      <c r="AR143" s="297"/>
      <c r="AS143" s="297"/>
      <c r="AT143" s="297"/>
      <c r="AU143" s="297"/>
      <c r="AV143" s="297"/>
      <c r="AW143" s="297"/>
      <c r="AX143" s="297"/>
      <c r="AY143" s="297"/>
      <c r="AZ143" s="297"/>
      <c r="BA143" s="297"/>
      <c r="BB143" s="297"/>
    </row>
    <row r="144" spans="1:54" thickBot="1">
      <c r="A144" s="298"/>
      <c r="B144" s="298"/>
      <c r="C144" s="762"/>
      <c r="D144" s="762"/>
      <c r="E144" s="762"/>
      <c r="F144" s="769"/>
      <c r="G144" s="762"/>
      <c r="H144" s="762"/>
      <c r="I144" s="769"/>
      <c r="J144" s="762"/>
      <c r="K144" s="764"/>
      <c r="L144" s="769"/>
      <c r="M144" s="769"/>
      <c r="N144" s="762"/>
      <c r="O144" s="769"/>
      <c r="P144" s="769"/>
      <c r="Q144" s="762"/>
      <c r="R144" s="769"/>
      <c r="S144" s="769"/>
      <c r="T144" s="762"/>
      <c r="U144" s="769"/>
      <c r="V144" s="762"/>
      <c r="W144" s="762"/>
      <c r="X144" s="770"/>
      <c r="Y144" s="770"/>
      <c r="Z144" s="770"/>
      <c r="AA144" s="297"/>
      <c r="AB144" s="297"/>
      <c r="AC144" s="297"/>
      <c r="AD144" s="297"/>
      <c r="AE144" s="297"/>
      <c r="AF144" s="297"/>
      <c r="AG144" s="297"/>
      <c r="AH144" s="297"/>
      <c r="AI144" s="297"/>
      <c r="AJ144" s="297"/>
      <c r="AK144" s="297"/>
      <c r="AL144" s="297"/>
      <c r="AM144" s="297"/>
      <c r="AN144" s="297"/>
      <c r="AO144" s="297"/>
      <c r="AP144" s="297"/>
      <c r="AQ144" s="297"/>
      <c r="AR144" s="297"/>
      <c r="AS144" s="297"/>
      <c r="AT144" s="297"/>
      <c r="AU144" s="297"/>
      <c r="AV144" s="297"/>
      <c r="AW144" s="297"/>
      <c r="AX144" s="297"/>
      <c r="AY144" s="297"/>
      <c r="AZ144" s="297"/>
      <c r="BA144" s="297"/>
      <c r="BB144" s="297"/>
    </row>
    <row r="145" spans="1:54" thickBot="1">
      <c r="A145" s="298"/>
      <c r="B145" s="298"/>
      <c r="C145" s="762"/>
      <c r="D145" s="762"/>
      <c r="E145" s="762"/>
      <c r="F145" s="769"/>
      <c r="G145" s="762"/>
      <c r="H145" s="762"/>
      <c r="I145" s="769"/>
      <c r="J145" s="762"/>
      <c r="K145" s="764"/>
      <c r="L145" s="769"/>
      <c r="M145" s="769"/>
      <c r="N145" s="762"/>
      <c r="O145" s="769"/>
      <c r="P145" s="769"/>
      <c r="Q145" s="762"/>
      <c r="R145" s="769"/>
      <c r="S145" s="769"/>
      <c r="T145" s="762"/>
      <c r="U145" s="769"/>
      <c r="V145" s="762"/>
      <c r="W145" s="762"/>
      <c r="X145" s="770"/>
      <c r="Y145" s="770"/>
      <c r="Z145" s="770"/>
      <c r="AA145" s="297"/>
      <c r="AB145" s="297"/>
      <c r="AC145" s="297"/>
      <c r="AD145" s="297"/>
      <c r="AE145" s="297"/>
      <c r="AF145" s="297"/>
      <c r="AG145" s="297"/>
      <c r="AH145" s="297"/>
      <c r="AI145" s="297"/>
      <c r="AJ145" s="297"/>
      <c r="AK145" s="297"/>
      <c r="AL145" s="297"/>
      <c r="AM145" s="297"/>
      <c r="AN145" s="297"/>
      <c r="AO145" s="297"/>
      <c r="AP145" s="297"/>
      <c r="AQ145" s="297"/>
      <c r="AR145" s="297"/>
      <c r="AS145" s="297"/>
      <c r="AT145" s="297"/>
      <c r="AU145" s="297"/>
      <c r="AV145" s="297"/>
      <c r="AW145" s="297"/>
      <c r="AX145" s="297"/>
      <c r="AY145" s="297"/>
      <c r="AZ145" s="297"/>
      <c r="BA145" s="297"/>
      <c r="BB145" s="297"/>
    </row>
    <row r="146" spans="1:54" thickBot="1">
      <c r="A146" s="298"/>
      <c r="B146" s="298"/>
      <c r="C146" s="762"/>
      <c r="D146" s="762"/>
      <c r="E146" s="762"/>
      <c r="F146" s="769"/>
      <c r="G146" s="762"/>
      <c r="H146" s="762"/>
      <c r="I146" s="769"/>
      <c r="J146" s="762"/>
      <c r="K146" s="764"/>
      <c r="L146" s="769"/>
      <c r="M146" s="769"/>
      <c r="N146" s="762"/>
      <c r="O146" s="769"/>
      <c r="P146" s="769"/>
      <c r="Q146" s="762"/>
      <c r="R146" s="769"/>
      <c r="S146" s="769"/>
      <c r="T146" s="762"/>
      <c r="U146" s="769"/>
      <c r="V146" s="762"/>
      <c r="W146" s="762"/>
      <c r="X146" s="770"/>
      <c r="Y146" s="770"/>
      <c r="Z146" s="770"/>
      <c r="AA146" s="297"/>
      <c r="AB146" s="297"/>
      <c r="AC146" s="297"/>
      <c r="AD146" s="297"/>
      <c r="AE146" s="297"/>
      <c r="AF146" s="297"/>
      <c r="AG146" s="297"/>
      <c r="AH146" s="297"/>
      <c r="AI146" s="297"/>
      <c r="AJ146" s="297"/>
      <c r="AK146" s="297"/>
      <c r="AL146" s="297"/>
      <c r="AM146" s="297"/>
      <c r="AN146" s="297"/>
      <c r="AO146" s="297"/>
      <c r="AP146" s="297"/>
      <c r="AQ146" s="297"/>
      <c r="AR146" s="297"/>
      <c r="AS146" s="297"/>
      <c r="AT146" s="297"/>
      <c r="AU146" s="297"/>
      <c r="AV146" s="297"/>
      <c r="AW146" s="297"/>
      <c r="AX146" s="297"/>
      <c r="AY146" s="297"/>
      <c r="AZ146" s="297"/>
      <c r="BA146" s="297"/>
      <c r="BB146" s="297"/>
    </row>
    <row r="147" spans="1:54" thickBot="1">
      <c r="A147" s="298"/>
      <c r="B147" s="298"/>
      <c r="C147" s="762"/>
      <c r="D147" s="762"/>
      <c r="E147" s="762"/>
      <c r="F147" s="769"/>
      <c r="G147" s="762"/>
      <c r="H147" s="762"/>
      <c r="I147" s="769"/>
      <c r="J147" s="762"/>
      <c r="K147" s="764"/>
      <c r="L147" s="769"/>
      <c r="M147" s="769"/>
      <c r="N147" s="762"/>
      <c r="O147" s="769"/>
      <c r="P147" s="769"/>
      <c r="Q147" s="762"/>
      <c r="R147" s="769"/>
      <c r="S147" s="769"/>
      <c r="T147" s="762"/>
      <c r="U147" s="769"/>
      <c r="V147" s="762"/>
      <c r="W147" s="762"/>
      <c r="X147" s="770"/>
      <c r="Y147" s="770"/>
      <c r="Z147" s="770"/>
      <c r="AA147" s="297"/>
      <c r="AB147" s="297"/>
      <c r="AC147" s="297"/>
      <c r="AD147" s="297"/>
      <c r="AE147" s="297"/>
      <c r="AF147" s="297"/>
      <c r="AG147" s="297"/>
      <c r="AH147" s="297"/>
      <c r="AI147" s="297"/>
      <c r="AJ147" s="297"/>
      <c r="AK147" s="297"/>
      <c r="AL147" s="297"/>
      <c r="AM147" s="297"/>
      <c r="AN147" s="297"/>
      <c r="AO147" s="297"/>
      <c r="AP147" s="297"/>
      <c r="AQ147" s="297"/>
      <c r="AR147" s="297"/>
      <c r="AS147" s="297"/>
      <c r="AT147" s="297"/>
      <c r="AU147" s="297"/>
      <c r="AV147" s="297"/>
      <c r="AW147" s="297"/>
      <c r="AX147" s="297"/>
      <c r="AY147" s="297"/>
      <c r="AZ147" s="297"/>
      <c r="BA147" s="297"/>
      <c r="BB147" s="297"/>
    </row>
    <row r="148" spans="1:54" thickBot="1">
      <c r="A148" s="298"/>
      <c r="B148" s="298"/>
      <c r="C148" s="762"/>
      <c r="D148" s="762"/>
      <c r="E148" s="762"/>
      <c r="F148" s="769"/>
      <c r="G148" s="762"/>
      <c r="H148" s="762"/>
      <c r="I148" s="769"/>
      <c r="J148" s="762"/>
      <c r="K148" s="764"/>
      <c r="L148" s="769"/>
      <c r="M148" s="769"/>
      <c r="N148" s="762"/>
      <c r="O148" s="769"/>
      <c r="P148" s="769"/>
      <c r="Q148" s="762"/>
      <c r="R148" s="769"/>
      <c r="S148" s="769"/>
      <c r="T148" s="762"/>
      <c r="U148" s="769"/>
      <c r="V148" s="762"/>
      <c r="W148" s="762"/>
      <c r="X148" s="770"/>
      <c r="Y148" s="770"/>
      <c r="Z148" s="770"/>
      <c r="AA148" s="297"/>
      <c r="AB148" s="297"/>
      <c r="AC148" s="297"/>
      <c r="AD148" s="297"/>
      <c r="AE148" s="297"/>
      <c r="AF148" s="297"/>
      <c r="AG148" s="297"/>
      <c r="AH148" s="297"/>
      <c r="AI148" s="297"/>
      <c r="AJ148" s="297"/>
      <c r="AK148" s="297"/>
      <c r="AL148" s="297"/>
      <c r="AM148" s="297"/>
      <c r="AN148" s="297"/>
      <c r="AO148" s="297"/>
      <c r="AP148" s="297"/>
      <c r="AQ148" s="297"/>
      <c r="AR148" s="297"/>
      <c r="AS148" s="297"/>
      <c r="AT148" s="297"/>
      <c r="AU148" s="297"/>
      <c r="AV148" s="297"/>
      <c r="AW148" s="297"/>
      <c r="AX148" s="297"/>
      <c r="AY148" s="297"/>
      <c r="AZ148" s="297"/>
      <c r="BA148" s="297"/>
      <c r="BB148" s="297"/>
    </row>
    <row r="149" spans="1:54" thickBot="1">
      <c r="A149" s="298"/>
      <c r="B149" s="298"/>
      <c r="C149" s="762"/>
      <c r="D149" s="762"/>
      <c r="E149" s="762"/>
      <c r="F149" s="769"/>
      <c r="G149" s="762"/>
      <c r="H149" s="762"/>
      <c r="I149" s="769"/>
      <c r="J149" s="762"/>
      <c r="K149" s="764"/>
      <c r="L149" s="769"/>
      <c r="M149" s="769"/>
      <c r="N149" s="762"/>
      <c r="O149" s="769"/>
      <c r="P149" s="769"/>
      <c r="Q149" s="762"/>
      <c r="R149" s="769"/>
      <c r="S149" s="769"/>
      <c r="T149" s="762"/>
      <c r="U149" s="769"/>
      <c r="V149" s="762"/>
      <c r="W149" s="762"/>
      <c r="X149" s="770"/>
      <c r="Y149" s="770"/>
      <c r="Z149" s="770"/>
      <c r="AA149" s="297"/>
      <c r="AB149" s="297"/>
      <c r="AC149" s="297"/>
      <c r="AD149" s="297"/>
      <c r="AE149" s="297"/>
      <c r="AF149" s="297"/>
      <c r="AG149" s="297"/>
      <c r="AH149" s="297"/>
      <c r="AI149" s="297"/>
      <c r="AJ149" s="297"/>
      <c r="AK149" s="297"/>
      <c r="AL149" s="297"/>
      <c r="AM149" s="297"/>
      <c r="AN149" s="297"/>
      <c r="AO149" s="297"/>
      <c r="AP149" s="297"/>
      <c r="AQ149" s="297"/>
      <c r="AR149" s="297"/>
      <c r="AS149" s="297"/>
      <c r="AT149" s="297"/>
      <c r="AU149" s="297"/>
      <c r="AV149" s="297"/>
      <c r="AW149" s="297"/>
      <c r="AX149" s="297"/>
      <c r="AY149" s="297"/>
      <c r="AZ149" s="297"/>
      <c r="BA149" s="297"/>
      <c r="BB149" s="297"/>
    </row>
    <row r="150" spans="1:54" thickBot="1">
      <c r="A150" s="298"/>
      <c r="B150" s="298"/>
      <c r="C150" s="762"/>
      <c r="D150" s="762"/>
      <c r="E150" s="762"/>
      <c r="F150" s="769"/>
      <c r="G150" s="762"/>
      <c r="H150" s="762"/>
      <c r="I150" s="769"/>
      <c r="J150" s="762"/>
      <c r="K150" s="764"/>
      <c r="L150" s="769"/>
      <c r="M150" s="769"/>
      <c r="N150" s="762"/>
      <c r="O150" s="769"/>
      <c r="P150" s="769"/>
      <c r="Q150" s="762"/>
      <c r="R150" s="769"/>
      <c r="S150" s="769"/>
      <c r="T150" s="762"/>
      <c r="U150" s="769"/>
      <c r="V150" s="762"/>
      <c r="W150" s="762"/>
      <c r="X150" s="770"/>
      <c r="Y150" s="770"/>
      <c r="Z150" s="770"/>
      <c r="AA150" s="297"/>
      <c r="AB150" s="297"/>
      <c r="AC150" s="297"/>
      <c r="AD150" s="297"/>
      <c r="AE150" s="297"/>
      <c r="AF150" s="297"/>
      <c r="AG150" s="297"/>
      <c r="AH150" s="297"/>
      <c r="AI150" s="297"/>
      <c r="AJ150" s="297"/>
      <c r="AK150" s="297"/>
      <c r="AL150" s="297"/>
      <c r="AM150" s="297"/>
      <c r="AN150" s="297"/>
      <c r="AO150" s="297"/>
      <c r="AP150" s="297"/>
      <c r="AQ150" s="297"/>
      <c r="AR150" s="297"/>
      <c r="AS150" s="297"/>
      <c r="AT150" s="297"/>
      <c r="AU150" s="297"/>
      <c r="AV150" s="297"/>
      <c r="AW150" s="297"/>
      <c r="AX150" s="297"/>
      <c r="AY150" s="297"/>
      <c r="AZ150" s="297"/>
      <c r="BA150" s="297"/>
      <c r="BB150" s="297"/>
    </row>
    <row r="151" spans="1:54" thickBot="1">
      <c r="A151" s="298"/>
      <c r="B151" s="298"/>
      <c r="C151" s="762"/>
      <c r="D151" s="762"/>
      <c r="E151" s="762"/>
      <c r="F151" s="769"/>
      <c r="G151" s="762"/>
      <c r="H151" s="762"/>
      <c r="I151" s="769"/>
      <c r="J151" s="762"/>
      <c r="K151" s="764"/>
      <c r="L151" s="769"/>
      <c r="M151" s="769"/>
      <c r="N151" s="762"/>
      <c r="O151" s="769"/>
      <c r="P151" s="769"/>
      <c r="Q151" s="762"/>
      <c r="R151" s="769"/>
      <c r="S151" s="769"/>
      <c r="T151" s="762"/>
      <c r="U151" s="769"/>
      <c r="V151" s="762"/>
      <c r="W151" s="762"/>
      <c r="X151" s="770"/>
      <c r="Y151" s="770"/>
      <c r="Z151" s="770"/>
      <c r="AA151" s="297"/>
      <c r="AB151" s="297"/>
      <c r="AC151" s="297"/>
      <c r="AD151" s="297"/>
      <c r="AE151" s="297"/>
      <c r="AF151" s="297"/>
      <c r="AG151" s="297"/>
      <c r="AH151" s="297"/>
      <c r="AI151" s="297"/>
      <c r="AJ151" s="297"/>
      <c r="AK151" s="297"/>
      <c r="AL151" s="297"/>
      <c r="AM151" s="297"/>
      <c r="AN151" s="297"/>
      <c r="AO151" s="297"/>
      <c r="AP151" s="297"/>
      <c r="AQ151" s="297"/>
      <c r="AR151" s="297"/>
      <c r="AS151" s="297"/>
      <c r="AT151" s="297"/>
      <c r="AU151" s="297"/>
      <c r="AV151" s="297"/>
      <c r="AW151" s="297"/>
      <c r="AX151" s="297"/>
      <c r="AY151" s="297"/>
      <c r="AZ151" s="297"/>
      <c r="BA151" s="297"/>
      <c r="BB151" s="297"/>
    </row>
    <row r="152" spans="1:54" thickBot="1">
      <c r="A152" s="298"/>
      <c r="B152" s="298"/>
      <c r="C152" s="762"/>
      <c r="D152" s="762"/>
      <c r="E152" s="762"/>
      <c r="F152" s="769"/>
      <c r="G152" s="762"/>
      <c r="H152" s="762"/>
      <c r="I152" s="769"/>
      <c r="J152" s="762"/>
      <c r="K152" s="764"/>
      <c r="L152" s="769"/>
      <c r="M152" s="769"/>
      <c r="N152" s="762"/>
      <c r="O152" s="769"/>
      <c r="P152" s="769"/>
      <c r="Q152" s="762"/>
      <c r="R152" s="769"/>
      <c r="S152" s="769"/>
      <c r="T152" s="762"/>
      <c r="U152" s="769"/>
      <c r="V152" s="762"/>
      <c r="W152" s="762"/>
      <c r="X152" s="770"/>
      <c r="Y152" s="770"/>
      <c r="Z152" s="770"/>
      <c r="AA152" s="297"/>
      <c r="AB152" s="297"/>
      <c r="AC152" s="297"/>
      <c r="AD152" s="297"/>
      <c r="AE152" s="297"/>
      <c r="AF152" s="297"/>
      <c r="AG152" s="297"/>
      <c r="AH152" s="297"/>
      <c r="AI152" s="297"/>
      <c r="AJ152" s="297"/>
      <c r="AK152" s="297"/>
      <c r="AL152" s="297"/>
      <c r="AM152" s="297"/>
      <c r="AN152" s="297"/>
      <c r="AO152" s="297"/>
      <c r="AP152" s="297"/>
      <c r="AQ152" s="297"/>
      <c r="AR152" s="297"/>
      <c r="AS152" s="297"/>
      <c r="AT152" s="297"/>
      <c r="AU152" s="297"/>
      <c r="AV152" s="297"/>
      <c r="AW152" s="297"/>
      <c r="AX152" s="297"/>
      <c r="AY152" s="297"/>
      <c r="AZ152" s="297"/>
      <c r="BA152" s="297"/>
      <c r="BB152" s="297"/>
    </row>
    <row r="153" spans="1:54" thickBot="1">
      <c r="A153" s="298"/>
      <c r="B153" s="298"/>
      <c r="C153" s="762"/>
      <c r="D153" s="762"/>
      <c r="E153" s="762"/>
      <c r="F153" s="769"/>
      <c r="G153" s="762"/>
      <c r="H153" s="762"/>
      <c r="I153" s="769"/>
      <c r="J153" s="762"/>
      <c r="K153" s="764"/>
      <c r="L153" s="769"/>
      <c r="M153" s="769"/>
      <c r="N153" s="762"/>
      <c r="O153" s="769"/>
      <c r="P153" s="769"/>
      <c r="Q153" s="762"/>
      <c r="R153" s="769"/>
      <c r="S153" s="769"/>
      <c r="T153" s="762"/>
      <c r="U153" s="769"/>
      <c r="V153" s="762"/>
      <c r="W153" s="762"/>
      <c r="X153" s="770"/>
      <c r="Y153" s="770"/>
      <c r="Z153" s="770"/>
      <c r="AA153" s="297"/>
      <c r="AB153" s="297"/>
      <c r="AC153" s="297"/>
      <c r="AD153" s="297"/>
      <c r="AE153" s="297"/>
      <c r="AF153" s="297"/>
      <c r="AG153" s="297"/>
      <c r="AH153" s="297"/>
      <c r="AI153" s="297"/>
      <c r="AJ153" s="297"/>
      <c r="AK153" s="297"/>
      <c r="AL153" s="297"/>
      <c r="AM153" s="297"/>
      <c r="AN153" s="297"/>
      <c r="AO153" s="297"/>
      <c r="AP153" s="297"/>
      <c r="AQ153" s="297"/>
      <c r="AR153" s="297"/>
      <c r="AS153" s="297"/>
      <c r="AT153" s="297"/>
      <c r="AU153" s="297"/>
      <c r="AV153" s="297"/>
      <c r="AW153" s="297"/>
      <c r="AX153" s="297"/>
      <c r="AY153" s="297"/>
      <c r="AZ153" s="297"/>
      <c r="BA153" s="297"/>
      <c r="BB153" s="297"/>
    </row>
    <row r="154" spans="1:54" thickBot="1">
      <c r="A154" s="298"/>
      <c r="B154" s="298"/>
      <c r="C154" s="762"/>
      <c r="D154" s="762"/>
      <c r="E154" s="762"/>
      <c r="F154" s="769"/>
      <c r="G154" s="762"/>
      <c r="H154" s="762"/>
      <c r="I154" s="769"/>
      <c r="J154" s="762"/>
      <c r="K154" s="764"/>
      <c r="L154" s="769"/>
      <c r="M154" s="769"/>
      <c r="N154" s="762"/>
      <c r="O154" s="769"/>
      <c r="P154" s="769"/>
      <c r="Q154" s="762"/>
      <c r="R154" s="769"/>
      <c r="S154" s="769"/>
      <c r="T154" s="762"/>
      <c r="U154" s="769"/>
      <c r="V154" s="762"/>
      <c r="W154" s="762"/>
      <c r="X154" s="770"/>
      <c r="Y154" s="770"/>
      <c r="Z154" s="770"/>
      <c r="AA154" s="297"/>
      <c r="AB154" s="297"/>
      <c r="AC154" s="297"/>
      <c r="AD154" s="297"/>
      <c r="AE154" s="297"/>
      <c r="AF154" s="297"/>
      <c r="AG154" s="297"/>
      <c r="AH154" s="297"/>
      <c r="AI154" s="297"/>
      <c r="AJ154" s="297"/>
      <c r="AK154" s="297"/>
      <c r="AL154" s="297"/>
      <c r="AM154" s="297"/>
      <c r="AN154" s="297"/>
      <c r="AO154" s="297"/>
      <c r="AP154" s="297"/>
      <c r="AQ154" s="297"/>
      <c r="AR154" s="297"/>
      <c r="AS154" s="297"/>
      <c r="AT154" s="297"/>
      <c r="AU154" s="297"/>
      <c r="AV154" s="297"/>
      <c r="AW154" s="297"/>
      <c r="AX154" s="297"/>
      <c r="AY154" s="297"/>
      <c r="AZ154" s="297"/>
      <c r="BA154" s="297"/>
      <c r="BB154" s="297"/>
    </row>
    <row r="155" spans="1:54" thickBot="1">
      <c r="A155" s="298"/>
      <c r="B155" s="298"/>
      <c r="C155" s="762"/>
      <c r="D155" s="762"/>
      <c r="E155" s="762"/>
      <c r="F155" s="769"/>
      <c r="G155" s="762"/>
      <c r="H155" s="762"/>
      <c r="I155" s="769"/>
      <c r="J155" s="762"/>
      <c r="K155" s="764"/>
      <c r="L155" s="769"/>
      <c r="M155" s="769"/>
      <c r="N155" s="762"/>
      <c r="O155" s="769"/>
      <c r="P155" s="769"/>
      <c r="Q155" s="762"/>
      <c r="R155" s="769"/>
      <c r="S155" s="769"/>
      <c r="T155" s="762"/>
      <c r="U155" s="769"/>
      <c r="V155" s="762"/>
      <c r="W155" s="762"/>
      <c r="X155" s="770"/>
      <c r="Y155" s="770"/>
      <c r="Z155" s="770"/>
      <c r="AA155" s="297"/>
      <c r="AB155" s="297"/>
      <c r="AC155" s="297"/>
      <c r="AD155" s="297"/>
      <c r="AE155" s="297"/>
      <c r="AF155" s="297"/>
      <c r="AG155" s="297"/>
      <c r="AH155" s="297"/>
      <c r="AI155" s="297"/>
      <c r="AJ155" s="297"/>
      <c r="AK155" s="297"/>
      <c r="AL155" s="297"/>
      <c r="AM155" s="297"/>
      <c r="AN155" s="297"/>
      <c r="AO155" s="297"/>
      <c r="AP155" s="297"/>
      <c r="AQ155" s="297"/>
      <c r="AR155" s="297"/>
      <c r="AS155" s="297"/>
      <c r="AT155" s="297"/>
      <c r="AU155" s="297"/>
      <c r="AV155" s="297"/>
      <c r="AW155" s="297"/>
      <c r="AX155" s="297"/>
      <c r="AY155" s="297"/>
      <c r="AZ155" s="297"/>
      <c r="BA155" s="297"/>
      <c r="BB155" s="297"/>
    </row>
    <row r="156" spans="1:54" thickBot="1">
      <c r="A156" s="298"/>
      <c r="B156" s="298"/>
      <c r="C156" s="762"/>
      <c r="D156" s="762"/>
      <c r="E156" s="762"/>
      <c r="F156" s="769"/>
      <c r="G156" s="762"/>
      <c r="H156" s="762"/>
      <c r="I156" s="769"/>
      <c r="J156" s="762"/>
      <c r="K156" s="764"/>
      <c r="L156" s="769"/>
      <c r="M156" s="769"/>
      <c r="N156" s="762"/>
      <c r="O156" s="769"/>
      <c r="P156" s="769"/>
      <c r="Q156" s="762"/>
      <c r="R156" s="769"/>
      <c r="S156" s="769"/>
      <c r="T156" s="762"/>
      <c r="U156" s="769"/>
      <c r="V156" s="762"/>
      <c r="W156" s="762"/>
      <c r="X156" s="770"/>
      <c r="Y156" s="770"/>
      <c r="Z156" s="770"/>
      <c r="AA156" s="297"/>
      <c r="AB156" s="297"/>
      <c r="AC156" s="297"/>
      <c r="AD156" s="297"/>
      <c r="AE156" s="297"/>
      <c r="AF156" s="297"/>
      <c r="AG156" s="297"/>
      <c r="AH156" s="297"/>
      <c r="AI156" s="297"/>
      <c r="AJ156" s="297"/>
      <c r="AK156" s="297"/>
      <c r="AL156" s="297"/>
      <c r="AM156" s="297"/>
      <c r="AN156" s="297"/>
      <c r="AO156" s="297"/>
      <c r="AP156" s="297"/>
      <c r="AQ156" s="297"/>
      <c r="AR156" s="297"/>
      <c r="AS156" s="297"/>
      <c r="AT156" s="297"/>
      <c r="AU156" s="297"/>
      <c r="AV156" s="297"/>
      <c r="AW156" s="297"/>
      <c r="AX156" s="297"/>
      <c r="AY156" s="297"/>
      <c r="AZ156" s="297"/>
      <c r="BA156" s="297"/>
      <c r="BB156" s="297"/>
    </row>
    <row r="157" spans="1:54" thickBot="1">
      <c r="A157" s="298"/>
      <c r="B157" s="298"/>
      <c r="C157" s="762"/>
      <c r="D157" s="762"/>
      <c r="E157" s="762"/>
      <c r="F157" s="769"/>
      <c r="G157" s="762"/>
      <c r="H157" s="762"/>
      <c r="I157" s="769"/>
      <c r="J157" s="762"/>
      <c r="K157" s="764"/>
      <c r="L157" s="769"/>
      <c r="M157" s="769"/>
      <c r="N157" s="762"/>
      <c r="O157" s="769"/>
      <c r="P157" s="769"/>
      <c r="Q157" s="762"/>
      <c r="R157" s="769"/>
      <c r="S157" s="769"/>
      <c r="T157" s="762"/>
      <c r="U157" s="769"/>
      <c r="V157" s="762"/>
      <c r="W157" s="762"/>
      <c r="X157" s="770"/>
      <c r="Y157" s="770"/>
      <c r="Z157" s="770"/>
      <c r="AA157" s="297"/>
      <c r="AB157" s="297"/>
      <c r="AC157" s="297"/>
      <c r="AD157" s="297"/>
      <c r="AE157" s="297"/>
      <c r="AF157" s="297"/>
      <c r="AG157" s="297"/>
      <c r="AH157" s="297"/>
      <c r="AI157" s="297"/>
      <c r="AJ157" s="297"/>
      <c r="AK157" s="297"/>
      <c r="AL157" s="297"/>
      <c r="AM157" s="297"/>
      <c r="AN157" s="297"/>
      <c r="AO157" s="297"/>
      <c r="AP157" s="297"/>
      <c r="AQ157" s="297"/>
      <c r="AR157" s="297"/>
      <c r="AS157" s="297"/>
      <c r="AT157" s="297"/>
      <c r="AU157" s="297"/>
      <c r="AV157" s="297"/>
      <c r="AW157" s="297"/>
      <c r="AX157" s="297"/>
      <c r="AY157" s="297"/>
      <c r="AZ157" s="297"/>
      <c r="BA157" s="297"/>
      <c r="BB157" s="297"/>
    </row>
    <row r="158" spans="1:54" thickBot="1">
      <c r="A158" s="298"/>
      <c r="B158" s="298"/>
      <c r="C158" s="762"/>
      <c r="D158" s="762"/>
      <c r="E158" s="762"/>
      <c r="F158" s="769"/>
      <c r="G158" s="762"/>
      <c r="H158" s="762"/>
      <c r="I158" s="769"/>
      <c r="J158" s="762"/>
      <c r="K158" s="764"/>
      <c r="L158" s="769"/>
      <c r="M158" s="769"/>
      <c r="N158" s="762"/>
      <c r="O158" s="769"/>
      <c r="P158" s="769"/>
      <c r="Q158" s="762"/>
      <c r="R158" s="769"/>
      <c r="S158" s="769"/>
      <c r="T158" s="762"/>
      <c r="U158" s="769"/>
      <c r="V158" s="762"/>
      <c r="W158" s="762"/>
      <c r="X158" s="770"/>
      <c r="Y158" s="770"/>
      <c r="Z158" s="770"/>
      <c r="AA158" s="297"/>
      <c r="AB158" s="297"/>
      <c r="AC158" s="297"/>
      <c r="AD158" s="297"/>
      <c r="AE158" s="297"/>
      <c r="AF158" s="297"/>
      <c r="AG158" s="297"/>
      <c r="AH158" s="297"/>
      <c r="AI158" s="297"/>
      <c r="AJ158" s="297"/>
      <c r="AK158" s="297"/>
      <c r="AL158" s="297"/>
      <c r="AM158" s="297"/>
      <c r="AN158" s="297"/>
      <c r="AO158" s="297"/>
      <c r="AP158" s="297"/>
      <c r="AQ158" s="297"/>
      <c r="AR158" s="297"/>
      <c r="AS158" s="297"/>
      <c r="AT158" s="297"/>
      <c r="AU158" s="297"/>
      <c r="AV158" s="297"/>
      <c r="AW158" s="297"/>
      <c r="AX158" s="297"/>
      <c r="AY158" s="297"/>
      <c r="AZ158" s="297"/>
      <c r="BA158" s="297"/>
      <c r="BB158" s="297"/>
    </row>
    <row r="159" spans="1:54" thickBot="1">
      <c r="A159" s="298"/>
      <c r="B159" s="298"/>
      <c r="C159" s="762"/>
      <c r="D159" s="762"/>
      <c r="E159" s="762"/>
      <c r="F159" s="769"/>
      <c r="G159" s="762"/>
      <c r="H159" s="762"/>
      <c r="I159" s="769"/>
      <c r="J159" s="762"/>
      <c r="K159" s="764"/>
      <c r="L159" s="769"/>
      <c r="M159" s="769"/>
      <c r="N159" s="762"/>
      <c r="O159" s="769"/>
      <c r="P159" s="769"/>
      <c r="Q159" s="762"/>
      <c r="R159" s="769"/>
      <c r="S159" s="769"/>
      <c r="T159" s="762"/>
      <c r="U159" s="769"/>
      <c r="V159" s="762"/>
      <c r="W159" s="762"/>
      <c r="X159" s="770"/>
      <c r="Y159" s="770"/>
      <c r="Z159" s="770"/>
      <c r="AA159" s="297"/>
      <c r="AB159" s="297"/>
      <c r="AC159" s="297"/>
      <c r="AD159" s="297"/>
      <c r="AE159" s="297"/>
      <c r="AF159" s="297"/>
      <c r="AG159" s="297"/>
      <c r="AH159" s="297"/>
      <c r="AI159" s="297"/>
      <c r="AJ159" s="297"/>
      <c r="AK159" s="297"/>
      <c r="AL159" s="297"/>
      <c r="AM159" s="297"/>
      <c r="AN159" s="297"/>
      <c r="AO159" s="297"/>
      <c r="AP159" s="297"/>
      <c r="AQ159" s="297"/>
      <c r="AR159" s="297"/>
      <c r="AS159" s="297"/>
      <c r="AT159" s="297"/>
      <c r="AU159" s="297"/>
      <c r="AV159" s="297"/>
      <c r="AW159" s="297"/>
      <c r="AX159" s="297"/>
      <c r="AY159" s="297"/>
      <c r="AZ159" s="297"/>
      <c r="BA159" s="297"/>
      <c r="BB159" s="297"/>
    </row>
    <row r="160" spans="1:54" thickBot="1">
      <c r="A160" s="298"/>
      <c r="B160" s="298"/>
      <c r="C160" s="762"/>
      <c r="D160" s="762"/>
      <c r="E160" s="762"/>
      <c r="F160" s="769"/>
      <c r="G160" s="762"/>
      <c r="H160" s="762"/>
      <c r="I160" s="769"/>
      <c r="J160" s="762"/>
      <c r="K160" s="764"/>
      <c r="L160" s="769"/>
      <c r="M160" s="769"/>
      <c r="N160" s="762"/>
      <c r="O160" s="769"/>
      <c r="P160" s="769"/>
      <c r="Q160" s="762"/>
      <c r="R160" s="769"/>
      <c r="S160" s="769"/>
      <c r="T160" s="762"/>
      <c r="U160" s="769"/>
      <c r="V160" s="762"/>
      <c r="W160" s="762"/>
      <c r="X160" s="770"/>
      <c r="Y160" s="770"/>
      <c r="Z160" s="770"/>
      <c r="AA160" s="297"/>
      <c r="AB160" s="297"/>
      <c r="AC160" s="297"/>
      <c r="AD160" s="297"/>
      <c r="AE160" s="297"/>
      <c r="AF160" s="297"/>
      <c r="AG160" s="297"/>
      <c r="AH160" s="297"/>
      <c r="AI160" s="297"/>
      <c r="AJ160" s="297"/>
      <c r="AK160" s="297"/>
      <c r="AL160" s="297"/>
      <c r="AM160" s="297"/>
      <c r="AN160" s="297"/>
      <c r="AO160" s="297"/>
      <c r="AP160" s="297"/>
      <c r="AQ160" s="297"/>
      <c r="AR160" s="297"/>
      <c r="AS160" s="297"/>
      <c r="AT160" s="297"/>
      <c r="AU160" s="297"/>
      <c r="AV160" s="297"/>
      <c r="AW160" s="297"/>
      <c r="AX160" s="297"/>
      <c r="AY160" s="297"/>
      <c r="AZ160" s="297"/>
      <c r="BA160" s="297"/>
      <c r="BB160" s="297"/>
    </row>
    <row r="161" spans="1:54" thickBot="1">
      <c r="A161" s="298"/>
      <c r="B161" s="298"/>
      <c r="C161" s="762"/>
      <c r="D161" s="762"/>
      <c r="E161" s="762"/>
      <c r="F161" s="769"/>
      <c r="G161" s="762"/>
      <c r="H161" s="762"/>
      <c r="I161" s="769"/>
      <c r="J161" s="762"/>
      <c r="K161" s="764"/>
      <c r="L161" s="769"/>
      <c r="M161" s="769"/>
      <c r="N161" s="762"/>
      <c r="O161" s="769"/>
      <c r="P161" s="769"/>
      <c r="Q161" s="762"/>
      <c r="R161" s="769"/>
      <c r="S161" s="769"/>
      <c r="T161" s="762"/>
      <c r="U161" s="769"/>
      <c r="V161" s="762"/>
      <c r="W161" s="762"/>
      <c r="X161" s="770"/>
      <c r="Y161" s="770"/>
      <c r="Z161" s="770"/>
      <c r="AA161" s="297"/>
      <c r="AB161" s="297"/>
      <c r="AC161" s="297"/>
      <c r="AD161" s="297"/>
      <c r="AE161" s="297"/>
      <c r="AF161" s="297"/>
      <c r="AG161" s="297"/>
      <c r="AH161" s="297"/>
      <c r="AI161" s="297"/>
      <c r="AJ161" s="297"/>
      <c r="AK161" s="297"/>
      <c r="AL161" s="297"/>
      <c r="AM161" s="297"/>
      <c r="AN161" s="297"/>
      <c r="AO161" s="297"/>
      <c r="AP161" s="297"/>
      <c r="AQ161" s="297"/>
      <c r="AR161" s="297"/>
      <c r="AS161" s="297"/>
      <c r="AT161" s="297"/>
      <c r="AU161" s="297"/>
      <c r="AV161" s="297"/>
      <c r="AW161" s="297"/>
      <c r="AX161" s="297"/>
      <c r="AY161" s="297"/>
      <c r="AZ161" s="297"/>
      <c r="BA161" s="297"/>
      <c r="BB161" s="297"/>
    </row>
    <row r="162" spans="1:54" thickBot="1">
      <c r="A162" s="298"/>
      <c r="B162" s="298"/>
      <c r="C162" s="762"/>
      <c r="D162" s="762"/>
      <c r="E162" s="762"/>
      <c r="F162" s="769"/>
      <c r="G162" s="762"/>
      <c r="H162" s="762"/>
      <c r="I162" s="769"/>
      <c r="J162" s="762"/>
      <c r="K162" s="764"/>
      <c r="L162" s="769"/>
      <c r="M162" s="769"/>
      <c r="N162" s="762"/>
      <c r="O162" s="769"/>
      <c r="P162" s="769"/>
      <c r="Q162" s="762"/>
      <c r="R162" s="769"/>
      <c r="S162" s="769"/>
      <c r="T162" s="762"/>
      <c r="U162" s="769"/>
      <c r="V162" s="762"/>
      <c r="W162" s="762"/>
      <c r="X162" s="770"/>
      <c r="Y162" s="770"/>
      <c r="Z162" s="770"/>
      <c r="AA162" s="297"/>
      <c r="AB162" s="297"/>
      <c r="AC162" s="297"/>
      <c r="AD162" s="297"/>
      <c r="AE162" s="297"/>
      <c r="AF162" s="297"/>
      <c r="AG162" s="297"/>
      <c r="AH162" s="297"/>
      <c r="AI162" s="297"/>
      <c r="AJ162" s="297"/>
      <c r="AK162" s="297"/>
      <c r="AL162" s="297"/>
      <c r="AM162" s="297"/>
      <c r="AN162" s="297"/>
      <c r="AO162" s="297"/>
      <c r="AP162" s="297"/>
      <c r="AQ162" s="297"/>
      <c r="AR162" s="297"/>
      <c r="AS162" s="297"/>
      <c r="AT162" s="297"/>
      <c r="AU162" s="297"/>
      <c r="AV162" s="297"/>
      <c r="AW162" s="297"/>
      <c r="AX162" s="297"/>
      <c r="AY162" s="297"/>
      <c r="AZ162" s="297"/>
      <c r="BA162" s="297"/>
      <c r="BB162" s="297"/>
    </row>
    <row r="163" spans="1:54" thickBot="1">
      <c r="A163" s="298"/>
      <c r="B163" s="298"/>
      <c r="C163" s="762"/>
      <c r="D163" s="762"/>
      <c r="E163" s="762"/>
      <c r="F163" s="769"/>
      <c r="G163" s="762"/>
      <c r="H163" s="762"/>
      <c r="I163" s="769"/>
      <c r="J163" s="762"/>
      <c r="K163" s="764"/>
      <c r="L163" s="769"/>
      <c r="M163" s="769"/>
      <c r="N163" s="762"/>
      <c r="O163" s="769"/>
      <c r="P163" s="769"/>
      <c r="Q163" s="762"/>
      <c r="R163" s="769"/>
      <c r="S163" s="769"/>
      <c r="T163" s="762"/>
      <c r="U163" s="769"/>
      <c r="V163" s="762"/>
      <c r="W163" s="762"/>
      <c r="X163" s="770"/>
      <c r="Y163" s="770"/>
      <c r="Z163" s="770"/>
      <c r="AA163" s="297"/>
      <c r="AB163" s="297"/>
      <c r="AC163" s="297"/>
      <c r="AD163" s="297"/>
      <c r="AE163" s="297"/>
      <c r="AF163" s="297"/>
      <c r="AG163" s="297"/>
      <c r="AH163" s="297"/>
      <c r="AI163" s="297"/>
      <c r="AJ163" s="297"/>
      <c r="AK163" s="297"/>
      <c r="AL163" s="297"/>
      <c r="AM163" s="297"/>
      <c r="AN163" s="297"/>
      <c r="AO163" s="297"/>
      <c r="AP163" s="297"/>
      <c r="AQ163" s="297"/>
      <c r="AR163" s="297"/>
      <c r="AS163" s="297"/>
      <c r="AT163" s="297"/>
      <c r="AU163" s="297"/>
      <c r="AV163" s="297"/>
      <c r="AW163" s="297"/>
      <c r="AX163" s="297"/>
      <c r="AY163" s="297"/>
      <c r="AZ163" s="297"/>
      <c r="BA163" s="297"/>
      <c r="BB163" s="297"/>
    </row>
    <row r="164" spans="1:54" thickBot="1">
      <c r="A164" s="298"/>
      <c r="B164" s="298"/>
      <c r="C164" s="762"/>
      <c r="D164" s="762"/>
      <c r="E164" s="762"/>
      <c r="F164" s="769"/>
      <c r="G164" s="762"/>
      <c r="H164" s="762"/>
      <c r="I164" s="769"/>
      <c r="J164" s="762"/>
      <c r="K164" s="764"/>
      <c r="L164" s="769"/>
      <c r="M164" s="769"/>
      <c r="N164" s="762"/>
      <c r="O164" s="769"/>
      <c r="P164" s="769"/>
      <c r="Q164" s="762"/>
      <c r="R164" s="769"/>
      <c r="S164" s="769"/>
      <c r="T164" s="762"/>
      <c r="U164" s="769"/>
      <c r="V164" s="762"/>
      <c r="W164" s="762"/>
      <c r="X164" s="770"/>
      <c r="Y164" s="770"/>
      <c r="Z164" s="770"/>
      <c r="AA164" s="297"/>
      <c r="AB164" s="297"/>
      <c r="AC164" s="297"/>
      <c r="AD164" s="297"/>
      <c r="AE164" s="297"/>
      <c r="AF164" s="297"/>
      <c r="AG164" s="297"/>
      <c r="AH164" s="297"/>
      <c r="AI164" s="297"/>
      <c r="AJ164" s="297"/>
      <c r="AK164" s="297"/>
      <c r="AL164" s="297"/>
      <c r="AM164" s="297"/>
      <c r="AN164" s="297"/>
      <c r="AO164" s="297"/>
      <c r="AP164" s="297"/>
      <c r="AQ164" s="297"/>
      <c r="AR164" s="297"/>
      <c r="AS164" s="297"/>
      <c r="AT164" s="297"/>
      <c r="AU164" s="297"/>
      <c r="AV164" s="297"/>
      <c r="AW164" s="297"/>
      <c r="AX164" s="297"/>
      <c r="AY164" s="297"/>
      <c r="AZ164" s="297"/>
      <c r="BA164" s="297"/>
      <c r="BB164" s="297"/>
    </row>
    <row r="165" spans="1:54" thickBot="1">
      <c r="A165" s="298"/>
      <c r="B165" s="298"/>
      <c r="C165" s="762"/>
      <c r="D165" s="762"/>
      <c r="E165" s="762"/>
      <c r="F165" s="769"/>
      <c r="G165" s="762"/>
      <c r="H165" s="762"/>
      <c r="I165" s="769"/>
      <c r="J165" s="762"/>
      <c r="K165" s="764"/>
      <c r="L165" s="769"/>
      <c r="M165" s="769"/>
      <c r="N165" s="762"/>
      <c r="O165" s="769"/>
      <c r="P165" s="769"/>
      <c r="Q165" s="762"/>
      <c r="R165" s="769"/>
      <c r="S165" s="769"/>
      <c r="T165" s="762"/>
      <c r="U165" s="769"/>
      <c r="V165" s="762"/>
      <c r="W165" s="762"/>
      <c r="X165" s="770"/>
      <c r="Y165" s="770"/>
      <c r="Z165" s="770"/>
      <c r="AA165" s="297"/>
      <c r="AB165" s="297"/>
      <c r="AC165" s="297"/>
      <c r="AD165" s="297"/>
      <c r="AE165" s="297"/>
      <c r="AF165" s="297"/>
      <c r="AG165" s="297"/>
      <c r="AH165" s="297"/>
      <c r="AI165" s="297"/>
      <c r="AJ165" s="297"/>
      <c r="AK165" s="297"/>
      <c r="AL165" s="297"/>
      <c r="AM165" s="297"/>
      <c r="AN165" s="297"/>
      <c r="AO165" s="297"/>
      <c r="AP165" s="297"/>
      <c r="AQ165" s="297"/>
      <c r="AR165" s="297"/>
      <c r="AS165" s="297"/>
      <c r="AT165" s="297"/>
      <c r="AU165" s="297"/>
      <c r="AV165" s="297"/>
      <c r="AW165" s="297"/>
      <c r="AX165" s="297"/>
      <c r="AY165" s="297"/>
      <c r="AZ165" s="297"/>
      <c r="BA165" s="297"/>
      <c r="BB165" s="297"/>
    </row>
    <row r="166" spans="1:54" thickBot="1">
      <c r="A166" s="298"/>
      <c r="B166" s="298"/>
      <c r="C166" s="762"/>
      <c r="D166" s="762"/>
      <c r="E166" s="762"/>
      <c r="F166" s="769"/>
      <c r="G166" s="762"/>
      <c r="H166" s="762"/>
      <c r="I166" s="769"/>
      <c r="J166" s="762"/>
      <c r="K166" s="764"/>
      <c r="L166" s="769"/>
      <c r="M166" s="769"/>
      <c r="N166" s="762"/>
      <c r="O166" s="769"/>
      <c r="P166" s="769"/>
      <c r="Q166" s="762"/>
      <c r="R166" s="769"/>
      <c r="S166" s="769"/>
      <c r="T166" s="762"/>
      <c r="U166" s="769"/>
      <c r="V166" s="762"/>
      <c r="W166" s="762"/>
      <c r="X166" s="770"/>
      <c r="Y166" s="770"/>
      <c r="Z166" s="770"/>
      <c r="AA166" s="297"/>
      <c r="AB166" s="297"/>
      <c r="AC166" s="297"/>
      <c r="AD166" s="297"/>
      <c r="AE166" s="297"/>
      <c r="AF166" s="297"/>
      <c r="AG166" s="297"/>
      <c r="AH166" s="297"/>
      <c r="AI166" s="297"/>
      <c r="AJ166" s="297"/>
      <c r="AK166" s="297"/>
      <c r="AL166" s="297"/>
      <c r="AM166" s="297"/>
      <c r="AN166" s="297"/>
      <c r="AO166" s="297"/>
      <c r="AP166" s="297"/>
      <c r="AQ166" s="297"/>
      <c r="AR166" s="297"/>
      <c r="AS166" s="297"/>
      <c r="AT166" s="297"/>
      <c r="AU166" s="297"/>
      <c r="AV166" s="297"/>
      <c r="AW166" s="297"/>
      <c r="AX166" s="297"/>
      <c r="AY166" s="297"/>
      <c r="AZ166" s="297"/>
      <c r="BA166" s="297"/>
      <c r="BB166" s="297"/>
    </row>
    <row r="167" spans="1:54" thickBot="1">
      <c r="A167" s="298"/>
      <c r="B167" s="298"/>
      <c r="C167" s="762"/>
      <c r="D167" s="762"/>
      <c r="E167" s="762"/>
      <c r="F167" s="769"/>
      <c r="G167" s="762"/>
      <c r="H167" s="762"/>
      <c r="I167" s="769"/>
      <c r="J167" s="762"/>
      <c r="K167" s="764"/>
      <c r="L167" s="769"/>
      <c r="M167" s="769"/>
      <c r="N167" s="762"/>
      <c r="O167" s="769"/>
      <c r="P167" s="769"/>
      <c r="Q167" s="762"/>
      <c r="R167" s="769"/>
      <c r="S167" s="769"/>
      <c r="T167" s="762"/>
      <c r="U167" s="769"/>
      <c r="V167" s="762"/>
      <c r="W167" s="762"/>
      <c r="X167" s="770"/>
      <c r="Y167" s="770"/>
      <c r="Z167" s="770"/>
      <c r="AA167" s="297"/>
      <c r="AB167" s="297"/>
      <c r="AC167" s="297"/>
      <c r="AD167" s="297"/>
      <c r="AE167" s="297"/>
      <c r="AF167" s="297"/>
      <c r="AG167" s="297"/>
      <c r="AH167" s="297"/>
      <c r="AI167" s="297"/>
      <c r="AJ167" s="297"/>
      <c r="AK167" s="297"/>
      <c r="AL167" s="297"/>
      <c r="AM167" s="297"/>
      <c r="AN167" s="297"/>
      <c r="AO167" s="297"/>
      <c r="AP167" s="297"/>
      <c r="AQ167" s="297"/>
      <c r="AR167" s="297"/>
      <c r="AS167" s="297"/>
      <c r="AT167" s="297"/>
      <c r="AU167" s="297"/>
      <c r="AV167" s="297"/>
      <c r="AW167" s="297"/>
      <c r="AX167" s="297"/>
      <c r="AY167" s="297"/>
      <c r="AZ167" s="297"/>
      <c r="BA167" s="297"/>
      <c r="BB167" s="297"/>
    </row>
    <row r="168" spans="1:54" thickBot="1">
      <c r="A168" s="298"/>
      <c r="B168" s="298"/>
      <c r="C168" s="762"/>
      <c r="D168" s="762"/>
      <c r="E168" s="762"/>
      <c r="F168" s="769"/>
      <c r="G168" s="762"/>
      <c r="H168" s="762"/>
      <c r="I168" s="769"/>
      <c r="J168" s="762"/>
      <c r="K168" s="764"/>
      <c r="L168" s="769"/>
      <c r="M168" s="769"/>
      <c r="N168" s="762"/>
      <c r="O168" s="769"/>
      <c r="P168" s="769"/>
      <c r="Q168" s="762"/>
      <c r="R168" s="769"/>
      <c r="S168" s="769"/>
      <c r="T168" s="762"/>
      <c r="U168" s="769"/>
      <c r="V168" s="762"/>
      <c r="W168" s="762"/>
      <c r="X168" s="770"/>
      <c r="Y168" s="770"/>
      <c r="Z168" s="770"/>
      <c r="AA168" s="297"/>
      <c r="AB168" s="297"/>
      <c r="AC168" s="297"/>
      <c r="AD168" s="297"/>
      <c r="AE168" s="297"/>
      <c r="AF168" s="297"/>
      <c r="AG168" s="297"/>
      <c r="AH168" s="297"/>
      <c r="AI168" s="297"/>
      <c r="AJ168" s="297"/>
      <c r="AK168" s="297"/>
      <c r="AL168" s="297"/>
      <c r="AM168" s="297"/>
      <c r="AN168" s="297"/>
      <c r="AO168" s="297"/>
      <c r="AP168" s="297"/>
      <c r="AQ168" s="297"/>
      <c r="AR168" s="297"/>
      <c r="AS168" s="297"/>
      <c r="AT168" s="297"/>
      <c r="AU168" s="297"/>
      <c r="AV168" s="297"/>
      <c r="AW168" s="297"/>
      <c r="AX168" s="297"/>
      <c r="AY168" s="297"/>
      <c r="AZ168" s="297"/>
      <c r="BA168" s="297"/>
      <c r="BB168" s="297"/>
    </row>
    <row r="169" spans="1:54" thickBot="1">
      <c r="A169" s="298"/>
      <c r="B169" s="298"/>
      <c r="C169" s="762"/>
      <c r="D169" s="762"/>
      <c r="E169" s="762"/>
      <c r="F169" s="769"/>
      <c r="G169" s="762"/>
      <c r="H169" s="762"/>
      <c r="I169" s="769"/>
      <c r="J169" s="762"/>
      <c r="K169" s="764"/>
      <c r="L169" s="769"/>
      <c r="M169" s="769"/>
      <c r="N169" s="762"/>
      <c r="O169" s="769"/>
      <c r="P169" s="769"/>
      <c r="Q169" s="762"/>
      <c r="R169" s="769"/>
      <c r="S169" s="769"/>
      <c r="T169" s="762"/>
      <c r="U169" s="769"/>
      <c r="V169" s="762"/>
      <c r="W169" s="762"/>
      <c r="X169" s="770"/>
      <c r="Y169" s="770"/>
      <c r="Z169" s="770"/>
      <c r="AA169" s="297"/>
      <c r="AB169" s="297"/>
      <c r="AC169" s="297"/>
      <c r="AD169" s="297"/>
      <c r="AE169" s="297"/>
      <c r="AF169" s="297"/>
      <c r="AG169" s="297"/>
      <c r="AH169" s="297"/>
      <c r="AI169" s="297"/>
      <c r="AJ169" s="297"/>
      <c r="AK169" s="297"/>
      <c r="AL169" s="297"/>
      <c r="AM169" s="297"/>
      <c r="AN169" s="297"/>
      <c r="AO169" s="297"/>
      <c r="AP169" s="297"/>
      <c r="AQ169" s="297"/>
      <c r="AR169" s="297"/>
      <c r="AS169" s="297"/>
      <c r="AT169" s="297"/>
      <c r="AU169" s="297"/>
      <c r="AV169" s="297"/>
      <c r="AW169" s="297"/>
      <c r="AX169" s="297"/>
      <c r="AY169" s="297"/>
      <c r="AZ169" s="297"/>
      <c r="BA169" s="297"/>
      <c r="BB169" s="297"/>
    </row>
    <row r="170" spans="1:54" thickBot="1">
      <c r="A170" s="298"/>
      <c r="B170" s="298"/>
      <c r="C170" s="762"/>
      <c r="D170" s="762"/>
      <c r="E170" s="762"/>
      <c r="F170" s="769"/>
      <c r="G170" s="762"/>
      <c r="H170" s="762"/>
      <c r="I170" s="769"/>
      <c r="J170" s="762"/>
      <c r="K170" s="764"/>
      <c r="L170" s="769"/>
      <c r="M170" s="769"/>
      <c r="N170" s="762"/>
      <c r="O170" s="769"/>
      <c r="P170" s="769"/>
      <c r="Q170" s="762"/>
      <c r="R170" s="769"/>
      <c r="S170" s="769"/>
      <c r="T170" s="762"/>
      <c r="U170" s="769"/>
      <c r="V170" s="762"/>
      <c r="W170" s="762"/>
      <c r="X170" s="770"/>
      <c r="Y170" s="770"/>
      <c r="Z170" s="770"/>
      <c r="AA170" s="297"/>
      <c r="AB170" s="297"/>
      <c r="AC170" s="297"/>
      <c r="AD170" s="297"/>
      <c r="AE170" s="297"/>
      <c r="AF170" s="297"/>
      <c r="AG170" s="297"/>
      <c r="AH170" s="297"/>
      <c r="AI170" s="297"/>
      <c r="AJ170" s="297"/>
      <c r="AK170" s="297"/>
      <c r="AL170" s="297"/>
      <c r="AM170" s="297"/>
      <c r="AN170" s="297"/>
      <c r="AO170" s="297"/>
      <c r="AP170" s="297"/>
      <c r="AQ170" s="297"/>
      <c r="AR170" s="297"/>
      <c r="AS170" s="297"/>
      <c r="AT170" s="297"/>
      <c r="AU170" s="297"/>
      <c r="AV170" s="297"/>
      <c r="AW170" s="297"/>
      <c r="AX170" s="297"/>
      <c r="AY170" s="297"/>
      <c r="AZ170" s="297"/>
      <c r="BA170" s="297"/>
      <c r="BB170" s="297"/>
    </row>
    <row r="171" spans="1:54" thickBot="1">
      <c r="A171" s="298"/>
      <c r="B171" s="298"/>
      <c r="C171" s="762"/>
      <c r="D171" s="762"/>
      <c r="E171" s="762"/>
      <c r="F171" s="769"/>
      <c r="G171" s="762"/>
      <c r="H171" s="762"/>
      <c r="I171" s="769"/>
      <c r="J171" s="762"/>
      <c r="K171" s="764"/>
      <c r="L171" s="769"/>
      <c r="M171" s="769"/>
      <c r="N171" s="762"/>
      <c r="O171" s="769"/>
      <c r="P171" s="769"/>
      <c r="Q171" s="762"/>
      <c r="R171" s="769"/>
      <c r="S171" s="769"/>
      <c r="T171" s="762"/>
      <c r="U171" s="769"/>
      <c r="V171" s="762"/>
      <c r="W171" s="762"/>
      <c r="X171" s="770"/>
      <c r="Y171" s="770"/>
      <c r="Z171" s="770"/>
      <c r="AA171" s="297"/>
      <c r="AB171" s="297"/>
      <c r="AC171" s="297"/>
      <c r="AD171" s="297"/>
      <c r="AE171" s="297"/>
      <c r="AF171" s="297"/>
      <c r="AG171" s="297"/>
      <c r="AH171" s="297"/>
      <c r="AI171" s="297"/>
      <c r="AJ171" s="297"/>
      <c r="AK171" s="297"/>
      <c r="AL171" s="297"/>
      <c r="AM171" s="297"/>
      <c r="AN171" s="297"/>
      <c r="AO171" s="297"/>
      <c r="AP171" s="297"/>
      <c r="AQ171" s="297"/>
      <c r="AR171" s="297"/>
      <c r="AS171" s="297"/>
      <c r="AT171" s="297"/>
      <c r="AU171" s="297"/>
      <c r="AV171" s="297"/>
      <c r="AW171" s="297"/>
      <c r="AX171" s="297"/>
      <c r="AY171" s="297"/>
      <c r="AZ171" s="297"/>
      <c r="BA171" s="297"/>
      <c r="BB171" s="297"/>
    </row>
    <row r="172" spans="1:54" thickBot="1">
      <c r="A172" s="298"/>
      <c r="B172" s="298"/>
      <c r="C172" s="762"/>
      <c r="D172" s="762"/>
      <c r="E172" s="762"/>
      <c r="F172" s="769"/>
      <c r="G172" s="762"/>
      <c r="H172" s="762"/>
      <c r="I172" s="769"/>
      <c r="J172" s="762"/>
      <c r="K172" s="764"/>
      <c r="L172" s="769"/>
      <c r="M172" s="769"/>
      <c r="N172" s="762"/>
      <c r="O172" s="769"/>
      <c r="P172" s="769"/>
      <c r="Q172" s="762"/>
      <c r="R172" s="769"/>
      <c r="S172" s="769"/>
      <c r="T172" s="762"/>
      <c r="U172" s="769"/>
      <c r="V172" s="762"/>
      <c r="W172" s="762"/>
      <c r="X172" s="770"/>
      <c r="Y172" s="770"/>
      <c r="Z172" s="770"/>
      <c r="AA172" s="297"/>
      <c r="AB172" s="297"/>
      <c r="AC172" s="297"/>
      <c r="AD172" s="297"/>
      <c r="AE172" s="297"/>
      <c r="AF172" s="297"/>
      <c r="AG172" s="297"/>
      <c r="AH172" s="297"/>
      <c r="AI172" s="297"/>
      <c r="AJ172" s="297"/>
      <c r="AK172" s="297"/>
      <c r="AL172" s="297"/>
      <c r="AM172" s="297"/>
      <c r="AN172" s="297"/>
      <c r="AO172" s="297"/>
      <c r="AP172" s="297"/>
      <c r="AQ172" s="297"/>
      <c r="AR172" s="297"/>
      <c r="AS172" s="297"/>
      <c r="AT172" s="297"/>
      <c r="AU172" s="297"/>
      <c r="AV172" s="297"/>
      <c r="AW172" s="297"/>
      <c r="AX172" s="297"/>
      <c r="AY172" s="297"/>
      <c r="AZ172" s="297"/>
      <c r="BA172" s="297"/>
      <c r="BB172" s="297"/>
    </row>
    <row r="173" spans="1:54" thickBot="1">
      <c r="A173" s="298"/>
      <c r="B173" s="298"/>
      <c r="C173" s="762"/>
      <c r="D173" s="762"/>
      <c r="E173" s="762"/>
      <c r="F173" s="769"/>
      <c r="G173" s="762"/>
      <c r="H173" s="762"/>
      <c r="I173" s="769"/>
      <c r="J173" s="762"/>
      <c r="K173" s="764"/>
      <c r="L173" s="769"/>
      <c r="M173" s="769"/>
      <c r="N173" s="762"/>
      <c r="O173" s="769"/>
      <c r="P173" s="769"/>
      <c r="Q173" s="762"/>
      <c r="R173" s="769"/>
      <c r="S173" s="769"/>
      <c r="T173" s="762"/>
      <c r="U173" s="769"/>
      <c r="V173" s="762"/>
      <c r="W173" s="762"/>
      <c r="X173" s="770"/>
      <c r="Y173" s="770"/>
      <c r="Z173" s="770"/>
      <c r="AA173" s="297"/>
      <c r="AB173" s="297"/>
      <c r="AC173" s="297"/>
      <c r="AD173" s="297"/>
      <c r="AE173" s="297"/>
      <c r="AF173" s="297"/>
      <c r="AG173" s="297"/>
      <c r="AH173" s="297"/>
      <c r="AI173" s="297"/>
      <c r="AJ173" s="297"/>
      <c r="AK173" s="297"/>
      <c r="AL173" s="297"/>
      <c r="AM173" s="297"/>
      <c r="AN173" s="297"/>
      <c r="AO173" s="297"/>
      <c r="AP173" s="297"/>
      <c r="AQ173" s="297"/>
      <c r="AR173" s="297"/>
      <c r="AS173" s="297"/>
      <c r="AT173" s="297"/>
      <c r="AU173" s="297"/>
      <c r="AV173" s="297"/>
      <c r="AW173" s="297"/>
      <c r="AX173" s="297"/>
      <c r="AY173" s="297"/>
      <c r="AZ173" s="297"/>
      <c r="BA173" s="297"/>
      <c r="BB173" s="297"/>
    </row>
    <row r="174" spans="1:54" thickBot="1">
      <c r="A174" s="298"/>
      <c r="B174" s="298"/>
      <c r="C174" s="762"/>
      <c r="D174" s="762"/>
      <c r="E174" s="762"/>
      <c r="F174" s="769"/>
      <c r="G174" s="762"/>
      <c r="H174" s="762"/>
      <c r="I174" s="769"/>
      <c r="J174" s="762"/>
      <c r="K174" s="764"/>
      <c r="L174" s="769"/>
      <c r="M174" s="769"/>
      <c r="N174" s="762"/>
      <c r="O174" s="769"/>
      <c r="P174" s="769"/>
      <c r="Q174" s="762"/>
      <c r="R174" s="769"/>
      <c r="S174" s="769"/>
      <c r="T174" s="762"/>
      <c r="U174" s="769"/>
      <c r="V174" s="762"/>
      <c r="W174" s="762"/>
      <c r="X174" s="770"/>
      <c r="Y174" s="770"/>
      <c r="Z174" s="770"/>
      <c r="AA174" s="297"/>
      <c r="AB174" s="297"/>
      <c r="AC174" s="297"/>
      <c r="AD174" s="297"/>
      <c r="AE174" s="297"/>
      <c r="AF174" s="297"/>
      <c r="AG174" s="297"/>
      <c r="AH174" s="297"/>
      <c r="AI174" s="297"/>
      <c r="AJ174" s="297"/>
      <c r="AK174" s="297"/>
      <c r="AL174" s="297"/>
      <c r="AM174" s="297"/>
      <c r="AN174" s="297"/>
      <c r="AO174" s="297"/>
      <c r="AP174" s="297"/>
      <c r="AQ174" s="297"/>
      <c r="AR174" s="297"/>
      <c r="AS174" s="297"/>
      <c r="AT174" s="297"/>
      <c r="AU174" s="297"/>
      <c r="AV174" s="297"/>
      <c r="AW174" s="297"/>
      <c r="AX174" s="297"/>
      <c r="AY174" s="297"/>
      <c r="AZ174" s="297"/>
      <c r="BA174" s="297"/>
      <c r="BB174" s="297"/>
    </row>
    <row r="175" spans="1:54" thickBot="1">
      <c r="A175" s="298"/>
      <c r="B175" s="298"/>
      <c r="C175" s="762"/>
      <c r="D175" s="762"/>
      <c r="E175" s="762"/>
      <c r="F175" s="769"/>
      <c r="G175" s="762"/>
      <c r="H175" s="762"/>
      <c r="I175" s="769"/>
      <c r="J175" s="762"/>
      <c r="K175" s="764"/>
      <c r="L175" s="769"/>
      <c r="M175" s="769"/>
      <c r="N175" s="762"/>
      <c r="O175" s="769"/>
      <c r="P175" s="769"/>
      <c r="Q175" s="762"/>
      <c r="R175" s="769"/>
      <c r="S175" s="769"/>
      <c r="T175" s="762"/>
      <c r="U175" s="769"/>
      <c r="V175" s="762"/>
      <c r="W175" s="762"/>
      <c r="X175" s="770"/>
      <c r="Y175" s="770"/>
      <c r="Z175" s="770"/>
      <c r="AA175" s="297"/>
      <c r="AB175" s="297"/>
      <c r="AC175" s="297"/>
      <c r="AD175" s="297"/>
      <c r="AE175" s="297"/>
      <c r="AF175" s="297"/>
      <c r="AG175" s="297"/>
      <c r="AH175" s="297"/>
      <c r="AI175" s="297"/>
      <c r="AJ175" s="297"/>
      <c r="AK175" s="297"/>
      <c r="AL175" s="297"/>
      <c r="AM175" s="297"/>
      <c r="AN175" s="297"/>
      <c r="AO175" s="297"/>
      <c r="AP175" s="297"/>
      <c r="AQ175" s="297"/>
      <c r="AR175" s="297"/>
      <c r="AS175" s="297"/>
      <c r="AT175" s="297"/>
      <c r="AU175" s="297"/>
      <c r="AV175" s="297"/>
      <c r="AW175" s="297"/>
      <c r="AX175" s="297"/>
      <c r="AY175" s="297"/>
      <c r="AZ175" s="297"/>
      <c r="BA175" s="297"/>
      <c r="BB175" s="297"/>
    </row>
    <row r="176" spans="1:54" thickBot="1">
      <c r="A176" s="298"/>
      <c r="B176" s="298"/>
      <c r="C176" s="762"/>
      <c r="D176" s="762"/>
      <c r="E176" s="762"/>
      <c r="F176" s="769"/>
      <c r="G176" s="762"/>
      <c r="H176" s="762"/>
      <c r="I176" s="769"/>
      <c r="J176" s="762"/>
      <c r="K176" s="764"/>
      <c r="L176" s="769"/>
      <c r="M176" s="769"/>
      <c r="N176" s="762"/>
      <c r="O176" s="769"/>
      <c r="P176" s="769"/>
      <c r="Q176" s="762"/>
      <c r="R176" s="769"/>
      <c r="S176" s="769"/>
      <c r="T176" s="762"/>
      <c r="U176" s="769"/>
      <c r="V176" s="762"/>
      <c r="W176" s="762"/>
      <c r="X176" s="770"/>
      <c r="Y176" s="770"/>
      <c r="Z176" s="770"/>
      <c r="AA176" s="297"/>
      <c r="AB176" s="297"/>
      <c r="AC176" s="297"/>
      <c r="AD176" s="297"/>
      <c r="AE176" s="297"/>
      <c r="AF176" s="297"/>
      <c r="AG176" s="297"/>
      <c r="AH176" s="297"/>
      <c r="AI176" s="297"/>
      <c r="AJ176" s="297"/>
      <c r="AK176" s="297"/>
      <c r="AL176" s="297"/>
      <c r="AM176" s="297"/>
      <c r="AN176" s="297"/>
      <c r="AO176" s="297"/>
      <c r="AP176" s="297"/>
      <c r="AQ176" s="297"/>
      <c r="AR176" s="297"/>
      <c r="AS176" s="297"/>
      <c r="AT176" s="297"/>
      <c r="AU176" s="297"/>
      <c r="AV176" s="297"/>
      <c r="AW176" s="297"/>
      <c r="AX176" s="297"/>
      <c r="AY176" s="297"/>
      <c r="AZ176" s="297"/>
      <c r="BA176" s="297"/>
      <c r="BB176" s="297"/>
    </row>
    <row r="177" spans="1:54" thickBot="1">
      <c r="A177" s="298"/>
      <c r="B177" s="298"/>
      <c r="C177" s="762"/>
      <c r="D177" s="762"/>
      <c r="E177" s="762"/>
      <c r="F177" s="769"/>
      <c r="G177" s="762"/>
      <c r="H177" s="762"/>
      <c r="I177" s="769"/>
      <c r="J177" s="762"/>
      <c r="K177" s="764"/>
      <c r="L177" s="769"/>
      <c r="M177" s="769"/>
      <c r="N177" s="762"/>
      <c r="O177" s="769"/>
      <c r="P177" s="769"/>
      <c r="Q177" s="762"/>
      <c r="R177" s="769"/>
      <c r="S177" s="769"/>
      <c r="T177" s="762"/>
      <c r="U177" s="769"/>
      <c r="V177" s="762"/>
      <c r="W177" s="762"/>
      <c r="X177" s="770"/>
      <c r="Y177" s="770"/>
      <c r="Z177" s="770"/>
      <c r="AA177" s="297"/>
      <c r="AB177" s="297"/>
      <c r="AC177" s="297"/>
      <c r="AD177" s="297"/>
      <c r="AE177" s="297"/>
      <c r="AF177" s="297"/>
      <c r="AG177" s="297"/>
      <c r="AH177" s="297"/>
      <c r="AI177" s="297"/>
      <c r="AJ177" s="297"/>
      <c r="AK177" s="297"/>
      <c r="AL177" s="297"/>
      <c r="AM177" s="297"/>
      <c r="AN177" s="297"/>
      <c r="AO177" s="297"/>
      <c r="AP177" s="297"/>
      <c r="AQ177" s="297"/>
      <c r="AR177" s="297"/>
      <c r="AS177" s="297"/>
      <c r="AT177" s="297"/>
      <c r="AU177" s="297"/>
      <c r="AV177" s="297"/>
      <c r="AW177" s="297"/>
      <c r="AX177" s="297"/>
      <c r="AY177" s="297"/>
      <c r="AZ177" s="297"/>
      <c r="BA177" s="297"/>
      <c r="BB177" s="297"/>
    </row>
    <row r="178" spans="1:54" thickBot="1">
      <c r="A178" s="298"/>
      <c r="B178" s="298"/>
      <c r="C178" s="762"/>
      <c r="D178" s="762"/>
      <c r="E178" s="762"/>
      <c r="F178" s="769"/>
      <c r="G178" s="762"/>
      <c r="H178" s="762"/>
      <c r="I178" s="769"/>
      <c r="J178" s="762"/>
      <c r="K178" s="764"/>
      <c r="L178" s="769"/>
      <c r="M178" s="769"/>
      <c r="N178" s="762"/>
      <c r="O178" s="769"/>
      <c r="P178" s="769"/>
      <c r="Q178" s="762"/>
      <c r="R178" s="769"/>
      <c r="S178" s="769"/>
      <c r="T178" s="762"/>
      <c r="U178" s="769"/>
      <c r="V178" s="762"/>
      <c r="W178" s="762"/>
      <c r="X178" s="770"/>
      <c r="Y178" s="770"/>
      <c r="Z178" s="770"/>
      <c r="AA178" s="297"/>
      <c r="AB178" s="297"/>
      <c r="AC178" s="297"/>
      <c r="AD178" s="297"/>
      <c r="AE178" s="297"/>
      <c r="AF178" s="297"/>
      <c r="AG178" s="297"/>
      <c r="AH178" s="297"/>
      <c r="AI178" s="297"/>
      <c r="AJ178" s="297"/>
      <c r="AK178" s="297"/>
      <c r="AL178" s="297"/>
      <c r="AM178" s="297"/>
      <c r="AN178" s="297"/>
      <c r="AO178" s="297"/>
      <c r="AP178" s="297"/>
      <c r="AQ178" s="297"/>
      <c r="AR178" s="297"/>
      <c r="AS178" s="297"/>
      <c r="AT178" s="297"/>
      <c r="AU178" s="297"/>
      <c r="AV178" s="297"/>
      <c r="AW178" s="297"/>
      <c r="AX178" s="297"/>
      <c r="AY178" s="297"/>
      <c r="AZ178" s="297"/>
      <c r="BA178" s="297"/>
      <c r="BB178" s="297"/>
    </row>
    <row r="179" spans="1:54" thickBot="1">
      <c r="A179" s="298"/>
      <c r="B179" s="298"/>
      <c r="C179" s="762"/>
      <c r="D179" s="762"/>
      <c r="E179" s="762"/>
      <c r="F179" s="769"/>
      <c r="G179" s="762"/>
      <c r="H179" s="762"/>
      <c r="I179" s="769"/>
      <c r="J179" s="762"/>
      <c r="K179" s="764"/>
      <c r="L179" s="769"/>
      <c r="M179" s="769"/>
      <c r="N179" s="762"/>
      <c r="O179" s="769"/>
      <c r="P179" s="769"/>
      <c r="Q179" s="762"/>
      <c r="R179" s="769"/>
      <c r="S179" s="769"/>
      <c r="T179" s="762"/>
      <c r="U179" s="769"/>
      <c r="V179" s="762"/>
      <c r="W179" s="762"/>
      <c r="X179" s="770"/>
      <c r="Y179" s="770"/>
      <c r="Z179" s="770"/>
      <c r="AA179" s="297"/>
      <c r="AB179" s="297"/>
      <c r="AC179" s="297"/>
      <c r="AD179" s="297"/>
      <c r="AE179" s="297"/>
      <c r="AF179" s="297"/>
      <c r="AG179" s="297"/>
      <c r="AH179" s="297"/>
      <c r="AI179" s="297"/>
      <c r="AJ179" s="297"/>
      <c r="AK179" s="297"/>
      <c r="AL179" s="297"/>
      <c r="AM179" s="297"/>
      <c r="AN179" s="297"/>
      <c r="AO179" s="297"/>
      <c r="AP179" s="297"/>
      <c r="AQ179" s="297"/>
      <c r="AR179" s="297"/>
      <c r="AS179" s="297"/>
      <c r="AT179" s="297"/>
      <c r="AU179" s="297"/>
      <c r="AV179" s="297"/>
      <c r="AW179" s="297"/>
      <c r="AX179" s="297"/>
      <c r="AY179" s="297"/>
      <c r="AZ179" s="297"/>
      <c r="BA179" s="297"/>
      <c r="BB179" s="297"/>
    </row>
    <row r="180" spans="1:54" thickBot="1">
      <c r="A180" s="298"/>
      <c r="B180" s="298"/>
      <c r="C180" s="762"/>
      <c r="D180" s="762"/>
      <c r="E180" s="762"/>
      <c r="F180" s="769"/>
      <c r="G180" s="762"/>
      <c r="H180" s="762"/>
      <c r="I180" s="769"/>
      <c r="J180" s="762"/>
      <c r="K180" s="764"/>
      <c r="L180" s="769"/>
      <c r="M180" s="769"/>
      <c r="N180" s="762"/>
      <c r="O180" s="769"/>
      <c r="P180" s="769"/>
      <c r="Q180" s="762"/>
      <c r="R180" s="769"/>
      <c r="S180" s="769"/>
      <c r="T180" s="762"/>
      <c r="U180" s="769"/>
      <c r="V180" s="762"/>
      <c r="W180" s="762"/>
      <c r="X180" s="770"/>
      <c r="Y180" s="770"/>
      <c r="Z180" s="770"/>
      <c r="AA180" s="297"/>
      <c r="AB180" s="297"/>
      <c r="AC180" s="297"/>
      <c r="AD180" s="297"/>
      <c r="AE180" s="297"/>
      <c r="AF180" s="297"/>
      <c r="AG180" s="297"/>
      <c r="AH180" s="297"/>
      <c r="AI180" s="297"/>
      <c r="AJ180" s="297"/>
      <c r="AK180" s="297"/>
      <c r="AL180" s="297"/>
      <c r="AM180" s="297"/>
      <c r="AN180" s="297"/>
      <c r="AO180" s="297"/>
      <c r="AP180" s="297"/>
      <c r="AQ180" s="297"/>
      <c r="AR180" s="297"/>
      <c r="AS180" s="297"/>
      <c r="AT180" s="297"/>
      <c r="AU180" s="297"/>
      <c r="AV180" s="297"/>
      <c r="AW180" s="297"/>
      <c r="AX180" s="297"/>
      <c r="AY180" s="297"/>
      <c r="AZ180" s="297"/>
      <c r="BA180" s="297"/>
      <c r="BB180" s="297"/>
    </row>
    <row r="181" spans="1:54" thickBot="1">
      <c r="A181" s="298"/>
      <c r="B181" s="298"/>
      <c r="C181" s="762"/>
      <c r="D181" s="762"/>
      <c r="E181" s="762"/>
      <c r="F181" s="769"/>
      <c r="G181" s="762"/>
      <c r="H181" s="762"/>
      <c r="I181" s="769"/>
      <c r="J181" s="762"/>
      <c r="K181" s="764"/>
      <c r="L181" s="769"/>
      <c r="M181" s="769"/>
      <c r="N181" s="762"/>
      <c r="O181" s="769"/>
      <c r="P181" s="769"/>
      <c r="Q181" s="762"/>
      <c r="R181" s="769"/>
      <c r="S181" s="769"/>
      <c r="T181" s="762"/>
      <c r="U181" s="769"/>
      <c r="V181" s="762"/>
      <c r="W181" s="762"/>
      <c r="X181" s="770"/>
      <c r="Y181" s="770"/>
      <c r="Z181" s="770"/>
      <c r="AA181" s="297"/>
      <c r="AB181" s="297"/>
      <c r="AC181" s="297"/>
      <c r="AD181" s="297"/>
      <c r="AE181" s="297"/>
      <c r="AF181" s="297"/>
      <c r="AG181" s="297"/>
      <c r="AH181" s="297"/>
      <c r="AI181" s="297"/>
      <c r="AJ181" s="297"/>
      <c r="AK181" s="297"/>
      <c r="AL181" s="297"/>
      <c r="AM181" s="297"/>
      <c r="AN181" s="297"/>
      <c r="AO181" s="297"/>
      <c r="AP181" s="297"/>
      <c r="AQ181" s="297"/>
      <c r="AR181" s="297"/>
      <c r="AS181" s="297"/>
      <c r="AT181" s="297"/>
      <c r="AU181" s="297"/>
      <c r="AV181" s="297"/>
      <c r="AW181" s="297"/>
      <c r="AX181" s="297"/>
      <c r="AY181" s="297"/>
      <c r="AZ181" s="297"/>
      <c r="BA181" s="297"/>
      <c r="BB181" s="297"/>
    </row>
    <row r="182" spans="1:54" thickBot="1">
      <c r="A182" s="298"/>
      <c r="B182" s="298"/>
      <c r="C182" s="762"/>
      <c r="D182" s="762"/>
      <c r="E182" s="762"/>
      <c r="F182" s="769"/>
      <c r="G182" s="762"/>
      <c r="H182" s="762"/>
      <c r="I182" s="769"/>
      <c r="J182" s="762"/>
      <c r="K182" s="764"/>
      <c r="L182" s="769"/>
      <c r="M182" s="769"/>
      <c r="N182" s="762"/>
      <c r="O182" s="769"/>
      <c r="P182" s="769"/>
      <c r="Q182" s="762"/>
      <c r="R182" s="769"/>
      <c r="S182" s="769"/>
      <c r="T182" s="762"/>
      <c r="U182" s="769"/>
      <c r="V182" s="762"/>
      <c r="W182" s="762"/>
      <c r="X182" s="770"/>
      <c r="Y182" s="770"/>
      <c r="Z182" s="770"/>
      <c r="AA182" s="297"/>
      <c r="AB182" s="297"/>
      <c r="AC182" s="297"/>
      <c r="AD182" s="297"/>
      <c r="AE182" s="297"/>
      <c r="AF182" s="297"/>
      <c r="AG182" s="297"/>
      <c r="AH182" s="297"/>
      <c r="AI182" s="297"/>
      <c r="AJ182" s="297"/>
      <c r="AK182" s="297"/>
      <c r="AL182" s="297"/>
      <c r="AM182" s="297"/>
      <c r="AN182" s="297"/>
      <c r="AO182" s="297"/>
      <c r="AP182" s="297"/>
      <c r="AQ182" s="297"/>
      <c r="AR182" s="297"/>
      <c r="AS182" s="297"/>
      <c r="AT182" s="297"/>
      <c r="AU182" s="297"/>
      <c r="AV182" s="297"/>
      <c r="AW182" s="297"/>
      <c r="AX182" s="297"/>
      <c r="AY182" s="297"/>
      <c r="AZ182" s="297"/>
      <c r="BA182" s="297"/>
      <c r="BB182" s="297"/>
    </row>
    <row r="183" spans="1:54" thickBot="1">
      <c r="A183" s="298"/>
      <c r="B183" s="298"/>
      <c r="C183" s="762"/>
      <c r="D183" s="762"/>
      <c r="E183" s="762"/>
      <c r="F183" s="769"/>
      <c r="G183" s="762"/>
      <c r="H183" s="762"/>
      <c r="I183" s="769"/>
      <c r="J183" s="762"/>
      <c r="K183" s="764"/>
      <c r="L183" s="769"/>
      <c r="M183" s="769"/>
      <c r="N183" s="762"/>
      <c r="O183" s="769"/>
      <c r="P183" s="769"/>
      <c r="Q183" s="762"/>
      <c r="R183" s="769"/>
      <c r="S183" s="769"/>
      <c r="T183" s="762"/>
      <c r="U183" s="769"/>
      <c r="V183" s="762"/>
      <c r="W183" s="762"/>
      <c r="X183" s="770"/>
      <c r="Y183" s="770"/>
      <c r="Z183" s="770"/>
      <c r="AA183" s="297"/>
      <c r="AB183" s="297"/>
      <c r="AC183" s="297"/>
      <c r="AD183" s="297"/>
      <c r="AE183" s="297"/>
      <c r="AF183" s="297"/>
      <c r="AG183" s="297"/>
      <c r="AH183" s="297"/>
      <c r="AI183" s="297"/>
      <c r="AJ183" s="297"/>
      <c r="AK183" s="297"/>
      <c r="AL183" s="297"/>
      <c r="AM183" s="297"/>
      <c r="AN183" s="297"/>
      <c r="AO183" s="297"/>
      <c r="AP183" s="297"/>
      <c r="AQ183" s="297"/>
      <c r="AR183" s="297"/>
      <c r="AS183" s="297"/>
      <c r="AT183" s="297"/>
      <c r="AU183" s="297"/>
      <c r="AV183" s="297"/>
      <c r="AW183" s="297"/>
      <c r="AX183" s="297"/>
      <c r="AY183" s="297"/>
      <c r="AZ183" s="297"/>
      <c r="BA183" s="297"/>
      <c r="BB183" s="297"/>
    </row>
    <row r="184" spans="1:54" thickBot="1">
      <c r="A184" s="298"/>
      <c r="B184" s="298"/>
      <c r="C184" s="762"/>
      <c r="D184" s="762"/>
      <c r="E184" s="762"/>
      <c r="F184" s="769"/>
      <c r="G184" s="762"/>
      <c r="H184" s="762"/>
      <c r="I184" s="769"/>
      <c r="J184" s="762"/>
      <c r="K184" s="764"/>
      <c r="L184" s="769"/>
      <c r="M184" s="769"/>
      <c r="N184" s="762"/>
      <c r="O184" s="769"/>
      <c r="P184" s="769"/>
      <c r="Q184" s="762"/>
      <c r="R184" s="769"/>
      <c r="S184" s="769"/>
      <c r="T184" s="762"/>
      <c r="U184" s="769"/>
      <c r="V184" s="762"/>
      <c r="W184" s="762"/>
      <c r="X184" s="770"/>
      <c r="Y184" s="770"/>
      <c r="Z184" s="770"/>
      <c r="AA184" s="297"/>
      <c r="AB184" s="297"/>
      <c r="AC184" s="297"/>
      <c r="AD184" s="297"/>
      <c r="AE184" s="297"/>
      <c r="AF184" s="297"/>
      <c r="AG184" s="297"/>
      <c r="AH184" s="297"/>
      <c r="AI184" s="297"/>
      <c r="AJ184" s="297"/>
      <c r="AK184" s="297"/>
      <c r="AL184" s="297"/>
      <c r="AM184" s="297"/>
      <c r="AN184" s="297"/>
      <c r="AO184" s="297"/>
      <c r="AP184" s="297"/>
      <c r="AQ184" s="297"/>
      <c r="AR184" s="297"/>
      <c r="AS184" s="297"/>
      <c r="AT184" s="297"/>
      <c r="AU184" s="297"/>
      <c r="AV184" s="297"/>
      <c r="AW184" s="297"/>
      <c r="AX184" s="297"/>
      <c r="AY184" s="297"/>
      <c r="AZ184" s="297"/>
      <c r="BA184" s="297"/>
      <c r="BB184" s="297"/>
    </row>
    <row r="185" spans="1:54" thickBot="1">
      <c r="A185" s="298"/>
      <c r="B185" s="298"/>
      <c r="C185" s="762"/>
      <c r="D185" s="762"/>
      <c r="E185" s="762"/>
      <c r="F185" s="769"/>
      <c r="G185" s="762"/>
      <c r="H185" s="762"/>
      <c r="I185" s="769"/>
      <c r="J185" s="762"/>
      <c r="K185" s="764"/>
      <c r="L185" s="769"/>
      <c r="M185" s="769"/>
      <c r="N185" s="762"/>
      <c r="O185" s="769"/>
      <c r="P185" s="769"/>
      <c r="Q185" s="762"/>
      <c r="R185" s="769"/>
      <c r="S185" s="769"/>
      <c r="T185" s="762"/>
      <c r="U185" s="769"/>
      <c r="V185" s="762"/>
      <c r="W185" s="762"/>
      <c r="X185" s="770"/>
      <c r="Y185" s="770"/>
      <c r="Z185" s="770"/>
      <c r="AA185" s="297"/>
      <c r="AB185" s="297"/>
      <c r="AC185" s="297"/>
      <c r="AD185" s="297"/>
      <c r="AE185" s="297"/>
      <c r="AF185" s="297"/>
      <c r="AG185" s="297"/>
      <c r="AH185" s="297"/>
      <c r="AI185" s="297"/>
      <c r="AJ185" s="297"/>
      <c r="AK185" s="297"/>
      <c r="AL185" s="297"/>
      <c r="AM185" s="297"/>
      <c r="AN185" s="297"/>
      <c r="AO185" s="297"/>
      <c r="AP185" s="297"/>
      <c r="AQ185" s="297"/>
      <c r="AR185" s="297"/>
      <c r="AS185" s="297"/>
      <c r="AT185" s="297"/>
      <c r="AU185" s="297"/>
      <c r="AV185" s="297"/>
      <c r="AW185" s="297"/>
      <c r="AX185" s="297"/>
      <c r="AY185" s="297"/>
      <c r="AZ185" s="297"/>
      <c r="BA185" s="297"/>
      <c r="BB185" s="297"/>
    </row>
    <row r="186" spans="1:54" thickBot="1">
      <c r="A186" s="298"/>
      <c r="B186" s="298"/>
      <c r="C186" s="762"/>
      <c r="D186" s="762"/>
      <c r="E186" s="762"/>
      <c r="F186" s="769"/>
      <c r="G186" s="762"/>
      <c r="H186" s="762"/>
      <c r="I186" s="769"/>
      <c r="J186" s="762"/>
      <c r="K186" s="764"/>
      <c r="L186" s="769"/>
      <c r="M186" s="769"/>
      <c r="N186" s="762"/>
      <c r="O186" s="769"/>
      <c r="P186" s="769"/>
      <c r="Q186" s="762"/>
      <c r="R186" s="769"/>
      <c r="S186" s="769"/>
      <c r="T186" s="762"/>
      <c r="U186" s="769"/>
      <c r="V186" s="762"/>
      <c r="W186" s="762"/>
      <c r="X186" s="770"/>
      <c r="Y186" s="770"/>
      <c r="Z186" s="770"/>
      <c r="AA186" s="297"/>
      <c r="AB186" s="297"/>
      <c r="AC186" s="297"/>
      <c r="AD186" s="297"/>
      <c r="AE186" s="297"/>
      <c r="AF186" s="297"/>
      <c r="AG186" s="297"/>
      <c r="AH186" s="297"/>
      <c r="AI186" s="297"/>
      <c r="AJ186" s="297"/>
      <c r="AK186" s="297"/>
      <c r="AL186" s="297"/>
      <c r="AM186" s="297"/>
      <c r="AN186" s="297"/>
      <c r="AO186" s="297"/>
      <c r="AP186" s="297"/>
      <c r="AQ186" s="297"/>
      <c r="AR186" s="297"/>
      <c r="AS186" s="297"/>
      <c r="AT186" s="297"/>
      <c r="AU186" s="297"/>
      <c r="AV186" s="297"/>
      <c r="AW186" s="297"/>
      <c r="AX186" s="297"/>
      <c r="AY186" s="297"/>
      <c r="AZ186" s="297"/>
      <c r="BA186" s="297"/>
      <c r="BB186" s="297"/>
    </row>
    <row r="187" spans="1:54" thickBot="1">
      <c r="A187" s="298"/>
      <c r="B187" s="298"/>
      <c r="C187" s="762"/>
      <c r="D187" s="762"/>
      <c r="E187" s="762"/>
      <c r="F187" s="769"/>
      <c r="G187" s="762"/>
      <c r="H187" s="762"/>
      <c r="I187" s="769"/>
      <c r="J187" s="762"/>
      <c r="K187" s="764"/>
      <c r="L187" s="769"/>
      <c r="M187" s="769"/>
      <c r="N187" s="762"/>
      <c r="O187" s="769"/>
      <c r="P187" s="769"/>
      <c r="Q187" s="762"/>
      <c r="R187" s="769"/>
      <c r="S187" s="769"/>
      <c r="T187" s="762"/>
      <c r="U187" s="769"/>
      <c r="V187" s="762"/>
      <c r="W187" s="762"/>
      <c r="X187" s="770"/>
      <c r="Y187" s="770"/>
      <c r="Z187" s="770"/>
      <c r="AA187" s="297"/>
      <c r="AB187" s="297"/>
      <c r="AC187" s="297"/>
      <c r="AD187" s="297"/>
      <c r="AE187" s="297"/>
      <c r="AF187" s="297"/>
      <c r="AG187" s="297"/>
      <c r="AH187" s="297"/>
      <c r="AI187" s="297"/>
      <c r="AJ187" s="297"/>
      <c r="AK187" s="297"/>
      <c r="AL187" s="297"/>
      <c r="AM187" s="297"/>
      <c r="AN187" s="297"/>
      <c r="AO187" s="297"/>
      <c r="AP187" s="297"/>
      <c r="AQ187" s="297"/>
      <c r="AR187" s="297"/>
      <c r="AS187" s="297"/>
      <c r="AT187" s="297"/>
      <c r="AU187" s="297"/>
      <c r="AV187" s="297"/>
      <c r="AW187" s="297"/>
      <c r="AX187" s="297"/>
      <c r="AY187" s="297"/>
      <c r="AZ187" s="297"/>
      <c r="BA187" s="297"/>
      <c r="BB187" s="297"/>
    </row>
    <row r="188" spans="1:54" thickBot="1">
      <c r="A188" s="298"/>
      <c r="B188" s="298"/>
      <c r="C188" s="762"/>
      <c r="D188" s="762"/>
      <c r="E188" s="762"/>
      <c r="F188" s="769"/>
      <c r="G188" s="762"/>
      <c r="H188" s="762"/>
      <c r="I188" s="769"/>
      <c r="J188" s="762"/>
      <c r="K188" s="764"/>
      <c r="L188" s="769"/>
      <c r="M188" s="769"/>
      <c r="N188" s="762"/>
      <c r="O188" s="769"/>
      <c r="P188" s="769"/>
      <c r="Q188" s="762"/>
      <c r="R188" s="769"/>
      <c r="S188" s="769"/>
      <c r="T188" s="762"/>
      <c r="U188" s="769"/>
      <c r="V188" s="762"/>
      <c r="W188" s="762"/>
      <c r="X188" s="770"/>
      <c r="Y188" s="770"/>
      <c r="Z188" s="770"/>
      <c r="AA188" s="297"/>
      <c r="AB188" s="297"/>
      <c r="AC188" s="297"/>
      <c r="AD188" s="297"/>
      <c r="AE188" s="297"/>
      <c r="AF188" s="297"/>
      <c r="AG188" s="297"/>
      <c r="AH188" s="297"/>
      <c r="AI188" s="297"/>
      <c r="AJ188" s="297"/>
      <c r="AK188" s="297"/>
      <c r="AL188" s="297"/>
      <c r="AM188" s="297"/>
      <c r="AN188" s="297"/>
      <c r="AO188" s="297"/>
      <c r="AP188" s="297"/>
      <c r="AQ188" s="297"/>
      <c r="AR188" s="297"/>
      <c r="AS188" s="297"/>
      <c r="AT188" s="297"/>
      <c r="AU188" s="297"/>
      <c r="AV188" s="297"/>
      <c r="AW188" s="297"/>
      <c r="AX188" s="297"/>
      <c r="AY188" s="297"/>
      <c r="AZ188" s="297"/>
      <c r="BA188" s="297"/>
      <c r="BB188" s="297"/>
    </row>
    <row r="189" spans="1:54" thickBot="1">
      <c r="A189" s="298"/>
      <c r="B189" s="298"/>
      <c r="C189" s="762"/>
      <c r="D189" s="762"/>
      <c r="E189" s="762"/>
      <c r="F189" s="769"/>
      <c r="G189" s="762"/>
      <c r="H189" s="762"/>
      <c r="I189" s="769"/>
      <c r="J189" s="762"/>
      <c r="K189" s="764"/>
      <c r="L189" s="769"/>
      <c r="M189" s="769"/>
      <c r="N189" s="762"/>
      <c r="O189" s="769"/>
      <c r="P189" s="769"/>
      <c r="Q189" s="762"/>
      <c r="R189" s="769"/>
      <c r="S189" s="769"/>
      <c r="T189" s="762"/>
      <c r="U189" s="769"/>
      <c r="V189" s="762"/>
      <c r="W189" s="762"/>
      <c r="X189" s="770"/>
      <c r="Y189" s="770"/>
      <c r="Z189" s="770"/>
      <c r="AA189" s="297"/>
      <c r="AB189" s="297"/>
      <c r="AC189" s="297"/>
      <c r="AD189" s="297"/>
      <c r="AE189" s="297"/>
      <c r="AF189" s="297"/>
      <c r="AG189" s="297"/>
      <c r="AH189" s="297"/>
      <c r="AI189" s="297"/>
      <c r="AJ189" s="297"/>
      <c r="AK189" s="297"/>
      <c r="AL189" s="297"/>
      <c r="AM189" s="297"/>
      <c r="AN189" s="297"/>
      <c r="AO189" s="297"/>
      <c r="AP189" s="297"/>
      <c r="AQ189" s="297"/>
      <c r="AR189" s="297"/>
      <c r="AS189" s="297"/>
      <c r="AT189" s="297"/>
      <c r="AU189" s="297"/>
      <c r="AV189" s="297"/>
      <c r="AW189" s="297"/>
      <c r="AX189" s="297"/>
      <c r="AY189" s="297"/>
      <c r="AZ189" s="297"/>
      <c r="BA189" s="297"/>
      <c r="BB189" s="297"/>
    </row>
    <row r="190" spans="1:54" thickBot="1">
      <c r="A190" s="298"/>
      <c r="B190" s="298"/>
      <c r="C190" s="762"/>
      <c r="D190" s="762"/>
      <c r="E190" s="762"/>
      <c r="F190" s="769"/>
      <c r="G190" s="762"/>
      <c r="H190" s="762"/>
      <c r="I190" s="769"/>
      <c r="J190" s="762"/>
      <c r="K190" s="764"/>
      <c r="L190" s="769"/>
      <c r="M190" s="769"/>
      <c r="N190" s="762"/>
      <c r="O190" s="769"/>
      <c r="P190" s="769"/>
      <c r="Q190" s="762"/>
      <c r="R190" s="769"/>
      <c r="S190" s="769"/>
      <c r="T190" s="762"/>
      <c r="U190" s="769"/>
      <c r="V190" s="762"/>
      <c r="W190" s="762"/>
      <c r="X190" s="770"/>
      <c r="Y190" s="770"/>
      <c r="Z190" s="770"/>
      <c r="AA190" s="297"/>
      <c r="AB190" s="297"/>
      <c r="AC190" s="297"/>
      <c r="AD190" s="297"/>
      <c r="AE190" s="297"/>
      <c r="AF190" s="297"/>
      <c r="AG190" s="297"/>
      <c r="AH190" s="297"/>
      <c r="AI190" s="297"/>
      <c r="AJ190" s="297"/>
      <c r="AK190" s="297"/>
      <c r="AL190" s="297"/>
      <c r="AM190" s="297"/>
      <c r="AN190" s="297"/>
      <c r="AO190" s="297"/>
      <c r="AP190" s="297"/>
      <c r="AQ190" s="297"/>
      <c r="AR190" s="297"/>
      <c r="AS190" s="297"/>
      <c r="AT190" s="297"/>
      <c r="AU190" s="297"/>
      <c r="AV190" s="297"/>
      <c r="AW190" s="297"/>
      <c r="AX190" s="297"/>
      <c r="AY190" s="297"/>
      <c r="AZ190" s="297"/>
      <c r="BA190" s="297"/>
      <c r="BB190" s="297"/>
    </row>
    <row r="191" spans="1:54" thickBot="1">
      <c r="A191" s="298"/>
      <c r="B191" s="298"/>
      <c r="C191" s="762"/>
      <c r="D191" s="762"/>
      <c r="E191" s="762"/>
      <c r="F191" s="769"/>
      <c r="G191" s="762"/>
      <c r="H191" s="762"/>
      <c r="I191" s="769"/>
      <c r="J191" s="762"/>
      <c r="K191" s="764"/>
      <c r="L191" s="769"/>
      <c r="M191" s="769"/>
      <c r="N191" s="762"/>
      <c r="O191" s="769"/>
      <c r="P191" s="769"/>
      <c r="Q191" s="762"/>
      <c r="R191" s="769"/>
      <c r="S191" s="769"/>
      <c r="T191" s="762"/>
      <c r="U191" s="769"/>
      <c r="V191" s="762"/>
      <c r="W191" s="762"/>
      <c r="X191" s="770"/>
      <c r="Y191" s="770"/>
      <c r="Z191" s="770"/>
      <c r="AA191" s="297"/>
      <c r="AB191" s="297"/>
      <c r="AC191" s="297"/>
      <c r="AD191" s="297"/>
      <c r="AE191" s="297"/>
      <c r="AF191" s="297"/>
      <c r="AG191" s="297"/>
      <c r="AH191" s="297"/>
      <c r="AI191" s="297"/>
      <c r="AJ191" s="297"/>
      <c r="AK191" s="297"/>
      <c r="AL191" s="297"/>
      <c r="AM191" s="297"/>
      <c r="AN191" s="297"/>
      <c r="AO191" s="297"/>
      <c r="AP191" s="297"/>
      <c r="AQ191" s="297"/>
      <c r="AR191" s="297"/>
      <c r="AS191" s="297"/>
      <c r="AT191" s="297"/>
      <c r="AU191" s="297"/>
      <c r="AV191" s="297"/>
      <c r="AW191" s="297"/>
      <c r="AX191" s="297"/>
      <c r="AY191" s="297"/>
      <c r="AZ191" s="297"/>
      <c r="BA191" s="297"/>
      <c r="BB191" s="297"/>
    </row>
    <row r="192" spans="1:54" thickBot="1">
      <c r="A192" s="298"/>
      <c r="B192" s="298"/>
      <c r="C192" s="762"/>
      <c r="D192" s="762"/>
      <c r="E192" s="762"/>
      <c r="F192" s="769"/>
      <c r="G192" s="762"/>
      <c r="H192" s="762"/>
      <c r="I192" s="769"/>
      <c r="J192" s="762"/>
      <c r="K192" s="764"/>
      <c r="L192" s="769"/>
      <c r="M192" s="769"/>
      <c r="N192" s="762"/>
      <c r="O192" s="769"/>
      <c r="P192" s="769"/>
      <c r="Q192" s="762"/>
      <c r="R192" s="769"/>
      <c r="S192" s="769"/>
      <c r="T192" s="762"/>
      <c r="U192" s="769"/>
      <c r="V192" s="762"/>
      <c r="W192" s="762"/>
      <c r="X192" s="770"/>
      <c r="Y192" s="770"/>
      <c r="Z192" s="770"/>
      <c r="AA192" s="297"/>
      <c r="AB192" s="297"/>
      <c r="AC192" s="297"/>
      <c r="AD192" s="297"/>
      <c r="AE192" s="297"/>
      <c r="AF192" s="297"/>
      <c r="AG192" s="297"/>
      <c r="AH192" s="297"/>
      <c r="AI192" s="297"/>
      <c r="AJ192" s="297"/>
      <c r="AK192" s="297"/>
      <c r="AL192" s="297"/>
      <c r="AM192" s="297"/>
      <c r="AN192" s="297"/>
      <c r="AO192" s="297"/>
      <c r="AP192" s="297"/>
      <c r="AQ192" s="297"/>
      <c r="AR192" s="297"/>
      <c r="AS192" s="297"/>
      <c r="AT192" s="297"/>
      <c r="AU192" s="297"/>
      <c r="AV192" s="297"/>
      <c r="AW192" s="297"/>
      <c r="AX192" s="297"/>
      <c r="AY192" s="297"/>
      <c r="AZ192" s="297"/>
      <c r="BA192" s="297"/>
      <c r="BB192" s="297"/>
    </row>
    <row r="193" spans="1:54" thickBot="1">
      <c r="A193" s="298"/>
      <c r="B193" s="298"/>
      <c r="C193" s="762"/>
      <c r="D193" s="762"/>
      <c r="E193" s="762"/>
      <c r="F193" s="769"/>
      <c r="G193" s="762"/>
      <c r="H193" s="762"/>
      <c r="I193" s="769"/>
      <c r="J193" s="762"/>
      <c r="K193" s="764"/>
      <c r="L193" s="769"/>
      <c r="M193" s="769"/>
      <c r="N193" s="762"/>
      <c r="O193" s="769"/>
      <c r="P193" s="769"/>
      <c r="Q193" s="762"/>
      <c r="R193" s="769"/>
      <c r="S193" s="769"/>
      <c r="T193" s="762"/>
      <c r="U193" s="769"/>
      <c r="V193" s="762"/>
      <c r="W193" s="762"/>
      <c r="X193" s="770"/>
      <c r="Y193" s="770"/>
      <c r="Z193" s="770"/>
      <c r="AA193" s="297"/>
      <c r="AB193" s="297"/>
      <c r="AC193" s="297"/>
      <c r="AD193" s="297"/>
      <c r="AE193" s="297"/>
      <c r="AF193" s="297"/>
      <c r="AG193" s="297"/>
      <c r="AH193" s="297"/>
      <c r="AI193" s="297"/>
      <c r="AJ193" s="297"/>
      <c r="AK193" s="297"/>
      <c r="AL193" s="297"/>
      <c r="AM193" s="297"/>
      <c r="AN193" s="297"/>
      <c r="AO193" s="297"/>
      <c r="AP193" s="297"/>
      <c r="AQ193" s="297"/>
      <c r="AR193" s="297"/>
      <c r="AS193" s="297"/>
      <c r="AT193" s="297"/>
      <c r="AU193" s="297"/>
      <c r="AV193" s="297"/>
      <c r="AW193" s="297"/>
      <c r="AX193" s="297"/>
      <c r="AY193" s="297"/>
      <c r="AZ193" s="297"/>
      <c r="BA193" s="297"/>
      <c r="BB193" s="297"/>
    </row>
    <row r="194" spans="1:54" thickBot="1">
      <c r="A194" s="298"/>
      <c r="B194" s="298"/>
      <c r="C194" s="762"/>
      <c r="D194" s="762"/>
      <c r="E194" s="762"/>
      <c r="F194" s="769"/>
      <c r="G194" s="762"/>
      <c r="H194" s="762"/>
      <c r="I194" s="769"/>
      <c r="J194" s="762"/>
      <c r="K194" s="764"/>
      <c r="L194" s="769"/>
      <c r="M194" s="769"/>
      <c r="N194" s="762"/>
      <c r="O194" s="769"/>
      <c r="P194" s="769"/>
      <c r="Q194" s="762"/>
      <c r="R194" s="769"/>
      <c r="S194" s="769"/>
      <c r="T194" s="762"/>
      <c r="U194" s="769"/>
      <c r="V194" s="762"/>
      <c r="W194" s="762"/>
      <c r="X194" s="770"/>
      <c r="Y194" s="770"/>
      <c r="Z194" s="770"/>
      <c r="AA194" s="297"/>
      <c r="AB194" s="297"/>
      <c r="AC194" s="297"/>
      <c r="AD194" s="297"/>
      <c r="AE194" s="297"/>
      <c r="AF194" s="297"/>
      <c r="AG194" s="297"/>
      <c r="AH194" s="297"/>
      <c r="AI194" s="297"/>
      <c r="AJ194" s="297"/>
      <c r="AK194" s="297"/>
      <c r="AL194" s="297"/>
      <c r="AM194" s="297"/>
      <c r="AN194" s="297"/>
      <c r="AO194" s="297"/>
      <c r="AP194" s="297"/>
      <c r="AQ194" s="297"/>
      <c r="AR194" s="297"/>
      <c r="AS194" s="297"/>
      <c r="AT194" s="297"/>
      <c r="AU194" s="297"/>
      <c r="AV194" s="297"/>
      <c r="AW194" s="297"/>
      <c r="AX194" s="297"/>
      <c r="AY194" s="297"/>
      <c r="AZ194" s="297"/>
      <c r="BA194" s="297"/>
      <c r="BB194" s="297"/>
    </row>
    <row r="195" spans="1:54" thickBot="1">
      <c r="A195" s="298"/>
      <c r="B195" s="298"/>
      <c r="C195" s="762"/>
      <c r="D195" s="762"/>
      <c r="E195" s="762"/>
      <c r="F195" s="769"/>
      <c r="G195" s="762"/>
      <c r="H195" s="762"/>
      <c r="I195" s="769"/>
      <c r="J195" s="762"/>
      <c r="K195" s="764"/>
      <c r="L195" s="769"/>
      <c r="M195" s="769"/>
      <c r="N195" s="762"/>
      <c r="O195" s="769"/>
      <c r="P195" s="769"/>
      <c r="Q195" s="762"/>
      <c r="R195" s="769"/>
      <c r="S195" s="769"/>
      <c r="T195" s="762"/>
      <c r="U195" s="769"/>
      <c r="V195" s="762"/>
      <c r="W195" s="762"/>
      <c r="X195" s="770"/>
      <c r="Y195" s="770"/>
      <c r="Z195" s="770"/>
      <c r="AA195" s="297"/>
      <c r="AB195" s="297"/>
      <c r="AC195" s="297"/>
      <c r="AD195" s="297"/>
      <c r="AE195" s="297"/>
      <c r="AF195" s="297"/>
      <c r="AG195" s="297"/>
      <c r="AH195" s="297"/>
      <c r="AI195" s="297"/>
      <c r="AJ195" s="297"/>
      <c r="AK195" s="297"/>
      <c r="AL195" s="297"/>
      <c r="AM195" s="297"/>
      <c r="AN195" s="297"/>
      <c r="AO195" s="297"/>
      <c r="AP195" s="297"/>
      <c r="AQ195" s="297"/>
      <c r="AR195" s="297"/>
      <c r="AS195" s="297"/>
      <c r="AT195" s="297"/>
      <c r="AU195" s="297"/>
      <c r="AV195" s="297"/>
      <c r="AW195" s="297"/>
      <c r="AX195" s="297"/>
      <c r="AY195" s="297"/>
      <c r="AZ195" s="297"/>
      <c r="BA195" s="297"/>
      <c r="BB195" s="297"/>
    </row>
    <row r="196" spans="1:54" thickBot="1">
      <c r="A196" s="298"/>
      <c r="B196" s="298"/>
      <c r="C196" s="762"/>
      <c r="D196" s="762"/>
      <c r="E196" s="762"/>
      <c r="F196" s="769"/>
      <c r="G196" s="762"/>
      <c r="H196" s="762"/>
      <c r="I196" s="769"/>
      <c r="J196" s="762"/>
      <c r="K196" s="764"/>
      <c r="L196" s="769"/>
      <c r="M196" s="769"/>
      <c r="N196" s="762"/>
      <c r="O196" s="769"/>
      <c r="P196" s="769"/>
      <c r="Q196" s="762"/>
      <c r="R196" s="769"/>
      <c r="S196" s="769"/>
      <c r="T196" s="762"/>
      <c r="U196" s="769"/>
      <c r="V196" s="762"/>
      <c r="W196" s="762"/>
      <c r="X196" s="770"/>
      <c r="Y196" s="770"/>
      <c r="Z196" s="770"/>
      <c r="AA196" s="297"/>
      <c r="AB196" s="297"/>
      <c r="AC196" s="297"/>
      <c r="AD196" s="297"/>
      <c r="AE196" s="297"/>
      <c r="AF196" s="297"/>
      <c r="AG196" s="297"/>
      <c r="AH196" s="297"/>
      <c r="AI196" s="297"/>
      <c r="AJ196" s="297"/>
      <c r="AK196" s="297"/>
      <c r="AL196" s="297"/>
      <c r="AM196" s="297"/>
      <c r="AN196" s="297"/>
      <c r="AO196" s="297"/>
      <c r="AP196" s="297"/>
      <c r="AQ196" s="297"/>
      <c r="AR196" s="297"/>
      <c r="AS196" s="297"/>
      <c r="AT196" s="297"/>
      <c r="AU196" s="297"/>
      <c r="AV196" s="297"/>
      <c r="AW196" s="297"/>
      <c r="AX196" s="297"/>
      <c r="AY196" s="297"/>
      <c r="AZ196" s="297"/>
      <c r="BA196" s="297"/>
      <c r="BB196" s="297"/>
    </row>
    <row r="197" spans="1:54" thickBot="1">
      <c r="A197" s="298"/>
      <c r="B197" s="298"/>
      <c r="C197" s="762"/>
      <c r="D197" s="762"/>
      <c r="E197" s="762"/>
      <c r="F197" s="769"/>
      <c r="G197" s="762"/>
      <c r="H197" s="762"/>
      <c r="I197" s="769"/>
      <c r="J197" s="762"/>
      <c r="K197" s="764"/>
      <c r="L197" s="769"/>
      <c r="M197" s="769"/>
      <c r="N197" s="762"/>
      <c r="O197" s="769"/>
      <c r="P197" s="769"/>
      <c r="Q197" s="762"/>
      <c r="R197" s="769"/>
      <c r="S197" s="769"/>
      <c r="T197" s="762"/>
      <c r="U197" s="769"/>
      <c r="V197" s="762"/>
      <c r="W197" s="762"/>
      <c r="X197" s="770"/>
      <c r="Y197" s="770"/>
      <c r="Z197" s="770"/>
      <c r="AA197" s="297"/>
      <c r="AB197" s="297"/>
      <c r="AC197" s="297"/>
      <c r="AD197" s="297"/>
      <c r="AE197" s="297"/>
      <c r="AF197" s="297"/>
      <c r="AG197" s="297"/>
      <c r="AH197" s="297"/>
      <c r="AI197" s="297"/>
      <c r="AJ197" s="297"/>
      <c r="AK197" s="297"/>
      <c r="AL197" s="297"/>
      <c r="AM197" s="297"/>
      <c r="AN197" s="297"/>
      <c r="AO197" s="297"/>
      <c r="AP197" s="297"/>
      <c r="AQ197" s="297"/>
      <c r="AR197" s="297"/>
      <c r="AS197" s="297"/>
      <c r="AT197" s="297"/>
      <c r="AU197" s="297"/>
      <c r="AV197" s="297"/>
      <c r="AW197" s="297"/>
      <c r="AX197" s="297"/>
      <c r="AY197" s="297"/>
      <c r="AZ197" s="297"/>
      <c r="BA197" s="297"/>
      <c r="BB197" s="297"/>
    </row>
    <row r="198" spans="1:54" thickBot="1">
      <c r="A198" s="298"/>
      <c r="B198" s="298"/>
      <c r="C198" s="762"/>
      <c r="D198" s="762"/>
      <c r="E198" s="762"/>
      <c r="F198" s="769"/>
      <c r="G198" s="762"/>
      <c r="H198" s="762"/>
      <c r="I198" s="769"/>
      <c r="J198" s="762"/>
      <c r="K198" s="764"/>
      <c r="L198" s="769"/>
      <c r="M198" s="769"/>
      <c r="N198" s="762"/>
      <c r="O198" s="769"/>
      <c r="P198" s="769"/>
      <c r="Q198" s="762"/>
      <c r="R198" s="769"/>
      <c r="S198" s="769"/>
      <c r="T198" s="762"/>
      <c r="U198" s="769"/>
      <c r="V198" s="762"/>
      <c r="W198" s="762"/>
      <c r="X198" s="770"/>
      <c r="Y198" s="770"/>
      <c r="Z198" s="770"/>
      <c r="AA198" s="297"/>
      <c r="AB198" s="297"/>
      <c r="AC198" s="297"/>
      <c r="AD198" s="297"/>
      <c r="AE198" s="297"/>
      <c r="AF198" s="297"/>
      <c r="AG198" s="297"/>
      <c r="AH198" s="297"/>
      <c r="AI198" s="297"/>
      <c r="AJ198" s="297"/>
      <c r="AK198" s="297"/>
      <c r="AL198" s="297"/>
      <c r="AM198" s="297"/>
      <c r="AN198" s="297"/>
      <c r="AO198" s="297"/>
      <c r="AP198" s="297"/>
      <c r="AQ198" s="297"/>
      <c r="AR198" s="297"/>
      <c r="AS198" s="297"/>
      <c r="AT198" s="297"/>
      <c r="AU198" s="297"/>
      <c r="AV198" s="297"/>
      <c r="AW198" s="297"/>
      <c r="AX198" s="297"/>
      <c r="AY198" s="297"/>
      <c r="AZ198" s="297"/>
      <c r="BA198" s="297"/>
      <c r="BB198" s="297"/>
    </row>
    <row r="199" spans="1:54" thickBot="1">
      <c r="A199" s="298"/>
      <c r="B199" s="298"/>
      <c r="C199" s="762"/>
      <c r="D199" s="762"/>
      <c r="E199" s="762"/>
      <c r="F199" s="769"/>
      <c r="G199" s="762"/>
      <c r="H199" s="762"/>
      <c r="I199" s="769"/>
      <c r="J199" s="762"/>
      <c r="K199" s="764"/>
      <c r="L199" s="769"/>
      <c r="M199" s="769"/>
      <c r="N199" s="762"/>
      <c r="O199" s="769"/>
      <c r="P199" s="769"/>
      <c r="Q199" s="762"/>
      <c r="R199" s="769"/>
      <c r="S199" s="769"/>
      <c r="T199" s="762"/>
      <c r="U199" s="769"/>
      <c r="V199" s="762"/>
      <c r="W199" s="762"/>
      <c r="X199" s="770"/>
      <c r="Y199" s="770"/>
      <c r="Z199" s="770"/>
      <c r="AA199" s="297"/>
      <c r="AB199" s="297"/>
      <c r="AC199" s="297"/>
      <c r="AD199" s="297"/>
      <c r="AE199" s="297"/>
      <c r="AF199" s="297"/>
      <c r="AG199" s="297"/>
      <c r="AH199" s="297"/>
      <c r="AI199" s="297"/>
      <c r="AJ199" s="297"/>
      <c r="AK199" s="297"/>
      <c r="AL199" s="297"/>
      <c r="AM199" s="297"/>
      <c r="AN199" s="297"/>
      <c r="AO199" s="297"/>
      <c r="AP199" s="297"/>
      <c r="AQ199" s="297"/>
      <c r="AR199" s="297"/>
      <c r="AS199" s="297"/>
      <c r="AT199" s="297"/>
      <c r="AU199" s="297"/>
      <c r="AV199" s="297"/>
      <c r="AW199" s="297"/>
      <c r="AX199" s="297"/>
      <c r="AY199" s="297"/>
      <c r="AZ199" s="297"/>
      <c r="BA199" s="297"/>
      <c r="BB199" s="297"/>
    </row>
    <row r="200" spans="1:54" thickBot="1">
      <c r="A200" s="298"/>
      <c r="B200" s="298"/>
      <c r="C200" s="762"/>
      <c r="D200" s="762"/>
      <c r="E200" s="762"/>
      <c r="F200" s="769"/>
      <c r="G200" s="762"/>
      <c r="H200" s="762"/>
      <c r="I200" s="769"/>
      <c r="J200" s="762"/>
      <c r="K200" s="764"/>
      <c r="L200" s="769"/>
      <c r="M200" s="769"/>
      <c r="N200" s="762"/>
      <c r="O200" s="769"/>
      <c r="P200" s="769"/>
      <c r="Q200" s="762"/>
      <c r="R200" s="769"/>
      <c r="S200" s="769"/>
      <c r="T200" s="762"/>
      <c r="U200" s="769"/>
      <c r="V200" s="762"/>
      <c r="W200" s="762"/>
      <c r="X200" s="770"/>
      <c r="Y200" s="770"/>
      <c r="Z200" s="770"/>
      <c r="AA200" s="297"/>
      <c r="AB200" s="297"/>
      <c r="AC200" s="297"/>
      <c r="AD200" s="297"/>
      <c r="AE200" s="297"/>
      <c r="AF200" s="297"/>
      <c r="AG200" s="297"/>
      <c r="AH200" s="297"/>
      <c r="AI200" s="297"/>
      <c r="AJ200" s="297"/>
      <c r="AK200" s="297"/>
      <c r="AL200" s="297"/>
      <c r="AM200" s="297"/>
      <c r="AN200" s="297"/>
      <c r="AO200" s="297"/>
      <c r="AP200" s="297"/>
      <c r="AQ200" s="297"/>
      <c r="AR200" s="297"/>
      <c r="AS200" s="297"/>
      <c r="AT200" s="297"/>
      <c r="AU200" s="297"/>
      <c r="AV200" s="297"/>
      <c r="AW200" s="297"/>
      <c r="AX200" s="297"/>
      <c r="AY200" s="297"/>
      <c r="AZ200" s="297"/>
      <c r="BA200" s="297"/>
      <c r="BB200" s="297"/>
    </row>
    <row r="201" spans="1:54" thickBot="1">
      <c r="A201" s="298"/>
      <c r="B201" s="298"/>
      <c r="C201" s="762"/>
      <c r="D201" s="762"/>
      <c r="E201" s="762"/>
      <c r="F201" s="769"/>
      <c r="G201" s="762"/>
      <c r="H201" s="762"/>
      <c r="I201" s="769"/>
      <c r="J201" s="762"/>
      <c r="K201" s="764"/>
      <c r="L201" s="769"/>
      <c r="M201" s="769"/>
      <c r="N201" s="762"/>
      <c r="O201" s="769"/>
      <c r="P201" s="769"/>
      <c r="Q201" s="762"/>
      <c r="R201" s="769"/>
      <c r="S201" s="769"/>
      <c r="T201" s="762"/>
      <c r="U201" s="769"/>
      <c r="V201" s="762"/>
      <c r="W201" s="762"/>
      <c r="X201" s="770"/>
      <c r="Y201" s="770"/>
      <c r="Z201" s="770"/>
      <c r="AA201" s="297"/>
      <c r="AB201" s="297"/>
      <c r="AC201" s="297"/>
      <c r="AD201" s="297"/>
      <c r="AE201" s="297"/>
      <c r="AF201" s="297"/>
      <c r="AG201" s="297"/>
      <c r="AH201" s="297"/>
      <c r="AI201" s="297"/>
      <c r="AJ201" s="297"/>
      <c r="AK201" s="297"/>
      <c r="AL201" s="297"/>
      <c r="AM201" s="297"/>
      <c r="AN201" s="297"/>
      <c r="AO201" s="297"/>
      <c r="AP201" s="297"/>
      <c r="AQ201" s="297"/>
      <c r="AR201" s="297"/>
      <c r="AS201" s="297"/>
      <c r="AT201" s="297"/>
      <c r="AU201" s="297"/>
      <c r="AV201" s="297"/>
      <c r="AW201" s="297"/>
      <c r="AX201" s="297"/>
      <c r="AY201" s="297"/>
      <c r="AZ201" s="297"/>
      <c r="BA201" s="297"/>
      <c r="BB201" s="297"/>
    </row>
    <row r="202" spans="1:54" thickBot="1">
      <c r="A202" s="298"/>
      <c r="B202" s="298"/>
      <c r="C202" s="762"/>
      <c r="D202" s="762"/>
      <c r="E202" s="762"/>
      <c r="F202" s="769"/>
      <c r="G202" s="762"/>
      <c r="H202" s="762"/>
      <c r="I202" s="769"/>
      <c r="J202" s="762"/>
      <c r="K202" s="764"/>
      <c r="L202" s="769"/>
      <c r="M202" s="769"/>
      <c r="N202" s="762"/>
      <c r="O202" s="769"/>
      <c r="P202" s="769"/>
      <c r="Q202" s="762"/>
      <c r="R202" s="769"/>
      <c r="S202" s="769"/>
      <c r="T202" s="762"/>
      <c r="U202" s="769"/>
      <c r="V202" s="762"/>
      <c r="W202" s="762"/>
      <c r="X202" s="770"/>
      <c r="Y202" s="770"/>
      <c r="Z202" s="770"/>
      <c r="AA202" s="297"/>
      <c r="AB202" s="297"/>
      <c r="AC202" s="297"/>
      <c r="AD202" s="297"/>
      <c r="AE202" s="297"/>
      <c r="AF202" s="297"/>
      <c r="AG202" s="297"/>
      <c r="AH202" s="297"/>
      <c r="AI202" s="297"/>
      <c r="AJ202" s="297"/>
      <c r="AK202" s="297"/>
      <c r="AL202" s="297"/>
      <c r="AM202" s="297"/>
      <c r="AN202" s="297"/>
      <c r="AO202" s="297"/>
      <c r="AP202" s="297"/>
      <c r="AQ202" s="297"/>
      <c r="AR202" s="297"/>
      <c r="AS202" s="297"/>
      <c r="AT202" s="297"/>
      <c r="AU202" s="297"/>
      <c r="AV202" s="297"/>
      <c r="AW202" s="297"/>
      <c r="AX202" s="297"/>
      <c r="AY202" s="297"/>
      <c r="AZ202" s="297"/>
      <c r="BA202" s="297"/>
      <c r="BB202" s="297"/>
    </row>
    <row r="203" spans="1:54" thickBot="1">
      <c r="A203" s="298"/>
      <c r="B203" s="298"/>
      <c r="C203" s="762"/>
      <c r="D203" s="762"/>
      <c r="E203" s="762"/>
      <c r="F203" s="769"/>
      <c r="G203" s="762"/>
      <c r="H203" s="762"/>
      <c r="I203" s="769"/>
      <c r="J203" s="762"/>
      <c r="K203" s="764"/>
      <c r="L203" s="769"/>
      <c r="M203" s="769"/>
      <c r="N203" s="762"/>
      <c r="O203" s="769"/>
      <c r="P203" s="769"/>
      <c r="Q203" s="762"/>
      <c r="R203" s="769"/>
      <c r="S203" s="769"/>
      <c r="T203" s="762"/>
      <c r="U203" s="769"/>
      <c r="V203" s="762"/>
      <c r="W203" s="762"/>
      <c r="X203" s="770"/>
      <c r="Y203" s="770"/>
      <c r="Z203" s="770"/>
      <c r="AA203" s="297"/>
      <c r="AB203" s="297"/>
      <c r="AC203" s="297"/>
      <c r="AD203" s="297"/>
      <c r="AE203" s="297"/>
      <c r="AF203" s="297"/>
      <c r="AG203" s="297"/>
      <c r="AH203" s="297"/>
      <c r="AI203" s="297"/>
      <c r="AJ203" s="297"/>
      <c r="AK203" s="297"/>
      <c r="AL203" s="297"/>
      <c r="AM203" s="297"/>
      <c r="AN203" s="297"/>
      <c r="AO203" s="297"/>
      <c r="AP203" s="297"/>
      <c r="AQ203" s="297"/>
      <c r="AR203" s="297"/>
      <c r="AS203" s="297"/>
      <c r="AT203" s="297"/>
      <c r="AU203" s="297"/>
      <c r="AV203" s="297"/>
      <c r="AW203" s="297"/>
      <c r="AX203" s="297"/>
      <c r="AY203" s="297"/>
      <c r="AZ203" s="297"/>
      <c r="BA203" s="297"/>
      <c r="BB203" s="297"/>
    </row>
    <row r="204" spans="1:54" thickBot="1">
      <c r="A204" s="298"/>
      <c r="B204" s="298"/>
      <c r="C204" s="762"/>
      <c r="D204" s="762"/>
      <c r="E204" s="762"/>
      <c r="F204" s="769"/>
      <c r="G204" s="762"/>
      <c r="H204" s="762"/>
      <c r="I204" s="769"/>
      <c r="J204" s="762"/>
      <c r="K204" s="764"/>
      <c r="L204" s="769"/>
      <c r="M204" s="769"/>
      <c r="N204" s="762"/>
      <c r="O204" s="769"/>
      <c r="P204" s="769"/>
      <c r="Q204" s="762"/>
      <c r="R204" s="769"/>
      <c r="S204" s="769"/>
      <c r="T204" s="762"/>
      <c r="U204" s="769"/>
      <c r="V204" s="762"/>
      <c r="W204" s="762"/>
      <c r="X204" s="770"/>
      <c r="Y204" s="770"/>
      <c r="Z204" s="770"/>
      <c r="AA204" s="297"/>
      <c r="AB204" s="297"/>
      <c r="AC204" s="297"/>
      <c r="AD204" s="297"/>
      <c r="AE204" s="297"/>
      <c r="AF204" s="297"/>
      <c r="AG204" s="297"/>
      <c r="AH204" s="297"/>
      <c r="AI204" s="297"/>
      <c r="AJ204" s="297"/>
      <c r="AK204" s="297"/>
      <c r="AL204" s="297"/>
      <c r="AM204" s="297"/>
      <c r="AN204" s="297"/>
      <c r="AO204" s="297"/>
      <c r="AP204" s="297"/>
      <c r="AQ204" s="297"/>
      <c r="AR204" s="297"/>
      <c r="AS204" s="297"/>
      <c r="AT204" s="297"/>
      <c r="AU204" s="297"/>
      <c r="AV204" s="297"/>
      <c r="AW204" s="297"/>
      <c r="AX204" s="297"/>
      <c r="AY204" s="297"/>
      <c r="AZ204" s="297"/>
      <c r="BA204" s="297"/>
      <c r="BB204" s="297"/>
    </row>
    <row r="205" spans="1:54" thickBot="1">
      <c r="A205" s="298"/>
      <c r="B205" s="298"/>
      <c r="C205" s="762"/>
      <c r="D205" s="762"/>
      <c r="E205" s="762"/>
      <c r="F205" s="769"/>
      <c r="G205" s="762"/>
      <c r="H205" s="762"/>
      <c r="I205" s="769"/>
      <c r="J205" s="762"/>
      <c r="K205" s="764"/>
      <c r="L205" s="769"/>
      <c r="M205" s="769"/>
      <c r="N205" s="762"/>
      <c r="O205" s="769"/>
      <c r="P205" s="769"/>
      <c r="Q205" s="762"/>
      <c r="R205" s="769"/>
      <c r="S205" s="769"/>
      <c r="T205" s="762"/>
      <c r="U205" s="769"/>
      <c r="V205" s="762"/>
      <c r="W205" s="762"/>
      <c r="X205" s="770"/>
      <c r="Y205" s="770"/>
      <c r="Z205" s="770"/>
      <c r="AA205" s="297"/>
      <c r="AB205" s="297"/>
      <c r="AC205" s="297"/>
      <c r="AD205" s="297"/>
      <c r="AE205" s="297"/>
      <c r="AF205" s="297"/>
      <c r="AG205" s="297"/>
      <c r="AH205" s="297"/>
      <c r="AI205" s="297"/>
      <c r="AJ205" s="297"/>
      <c r="AK205" s="297"/>
      <c r="AL205" s="297"/>
      <c r="AM205" s="297"/>
      <c r="AN205" s="297"/>
      <c r="AO205" s="297"/>
      <c r="AP205" s="297"/>
      <c r="AQ205" s="297"/>
      <c r="AR205" s="297"/>
      <c r="AS205" s="297"/>
      <c r="AT205" s="297"/>
      <c r="AU205" s="297"/>
      <c r="AV205" s="297"/>
      <c r="AW205" s="297"/>
      <c r="AX205" s="297"/>
      <c r="AY205" s="297"/>
      <c r="AZ205" s="297"/>
      <c r="BA205" s="297"/>
      <c r="BB205" s="297"/>
    </row>
    <row r="206" spans="1:54" thickBot="1">
      <c r="A206" s="298"/>
      <c r="B206" s="298"/>
      <c r="C206" s="762"/>
      <c r="D206" s="762"/>
      <c r="E206" s="762"/>
      <c r="F206" s="769"/>
      <c r="G206" s="762"/>
      <c r="H206" s="762"/>
      <c r="I206" s="769"/>
      <c r="J206" s="762"/>
      <c r="K206" s="764"/>
      <c r="L206" s="769"/>
      <c r="M206" s="769"/>
      <c r="N206" s="762"/>
      <c r="O206" s="769"/>
      <c r="P206" s="769"/>
      <c r="Q206" s="762"/>
      <c r="R206" s="769"/>
      <c r="S206" s="769"/>
      <c r="T206" s="762"/>
      <c r="U206" s="769"/>
      <c r="V206" s="762"/>
      <c r="W206" s="762"/>
      <c r="X206" s="770"/>
      <c r="Y206" s="770"/>
      <c r="Z206" s="770"/>
      <c r="AA206" s="297"/>
      <c r="AB206" s="297"/>
      <c r="AC206" s="297"/>
      <c r="AD206" s="297"/>
      <c r="AE206" s="297"/>
      <c r="AF206" s="297"/>
      <c r="AG206" s="297"/>
      <c r="AH206" s="297"/>
      <c r="AI206" s="297"/>
      <c r="AJ206" s="297"/>
      <c r="AK206" s="297"/>
      <c r="AL206" s="297"/>
      <c r="AM206" s="297"/>
      <c r="AN206" s="297"/>
      <c r="AO206" s="297"/>
      <c r="AP206" s="297"/>
      <c r="AQ206" s="297"/>
      <c r="AR206" s="297"/>
      <c r="AS206" s="297"/>
      <c r="AT206" s="297"/>
      <c r="AU206" s="297"/>
      <c r="AV206" s="297"/>
      <c r="AW206" s="297"/>
      <c r="AX206" s="297"/>
      <c r="AY206" s="297"/>
      <c r="AZ206" s="297"/>
      <c r="BA206" s="297"/>
      <c r="BB206" s="297"/>
    </row>
    <row r="207" spans="1:54" thickBot="1">
      <c r="A207" s="298"/>
      <c r="B207" s="298"/>
      <c r="C207" s="762"/>
      <c r="D207" s="762"/>
      <c r="E207" s="762"/>
      <c r="F207" s="769"/>
      <c r="G207" s="762"/>
      <c r="H207" s="762"/>
      <c r="I207" s="769"/>
      <c r="J207" s="762"/>
      <c r="K207" s="764"/>
      <c r="L207" s="769"/>
      <c r="M207" s="769"/>
      <c r="N207" s="762"/>
      <c r="O207" s="769"/>
      <c r="P207" s="769"/>
      <c r="Q207" s="762"/>
      <c r="R207" s="769"/>
      <c r="S207" s="769"/>
      <c r="T207" s="762"/>
      <c r="U207" s="769"/>
      <c r="V207" s="762"/>
      <c r="W207" s="762"/>
      <c r="X207" s="770"/>
      <c r="Y207" s="770"/>
      <c r="Z207" s="770"/>
      <c r="AA207" s="297"/>
      <c r="AB207" s="297"/>
      <c r="AC207" s="297"/>
      <c r="AD207" s="297"/>
      <c r="AE207" s="297"/>
      <c r="AF207" s="297"/>
      <c r="AG207" s="297"/>
      <c r="AH207" s="297"/>
      <c r="AI207" s="297"/>
      <c r="AJ207" s="297"/>
      <c r="AK207" s="297"/>
      <c r="AL207" s="297"/>
      <c r="AM207" s="297"/>
      <c r="AN207" s="297"/>
      <c r="AO207" s="297"/>
      <c r="AP207" s="297"/>
      <c r="AQ207" s="297"/>
      <c r="AR207" s="297"/>
      <c r="AS207" s="297"/>
      <c r="AT207" s="297"/>
      <c r="AU207" s="297"/>
      <c r="AV207" s="297"/>
      <c r="AW207" s="297"/>
      <c r="AX207" s="297"/>
      <c r="AY207" s="297"/>
      <c r="AZ207" s="297"/>
      <c r="BA207" s="297"/>
      <c r="BB207" s="297"/>
    </row>
    <row r="208" spans="1:54" thickBot="1">
      <c r="A208" s="298"/>
      <c r="B208" s="298"/>
      <c r="C208" s="762"/>
      <c r="D208" s="762"/>
      <c r="E208" s="762"/>
      <c r="F208" s="769"/>
      <c r="G208" s="762"/>
      <c r="H208" s="762"/>
      <c r="I208" s="769"/>
      <c r="J208" s="762"/>
      <c r="K208" s="764"/>
      <c r="L208" s="769"/>
      <c r="M208" s="769"/>
      <c r="N208" s="762"/>
      <c r="O208" s="769"/>
      <c r="P208" s="769"/>
      <c r="Q208" s="762"/>
      <c r="R208" s="769"/>
      <c r="S208" s="769"/>
      <c r="T208" s="762"/>
      <c r="U208" s="769"/>
      <c r="V208" s="762"/>
      <c r="W208" s="762"/>
      <c r="X208" s="770"/>
      <c r="Y208" s="770"/>
      <c r="Z208" s="770"/>
      <c r="AA208" s="297"/>
      <c r="AB208" s="297"/>
      <c r="AC208" s="297"/>
      <c r="AD208" s="297"/>
      <c r="AE208" s="297"/>
      <c r="AF208" s="297"/>
      <c r="AG208" s="297"/>
      <c r="AH208" s="297"/>
      <c r="AI208" s="297"/>
      <c r="AJ208" s="297"/>
      <c r="AK208" s="297"/>
      <c r="AL208" s="297"/>
      <c r="AM208" s="297"/>
      <c r="AN208" s="297"/>
      <c r="AO208" s="297"/>
      <c r="AP208" s="297"/>
      <c r="AQ208" s="297"/>
      <c r="AR208" s="297"/>
      <c r="AS208" s="297"/>
      <c r="AT208" s="297"/>
      <c r="AU208" s="297"/>
      <c r="AV208" s="297"/>
      <c r="AW208" s="297"/>
      <c r="AX208" s="297"/>
      <c r="AY208" s="297"/>
      <c r="AZ208" s="297"/>
      <c r="BA208" s="297"/>
      <c r="BB208" s="297"/>
    </row>
    <row r="209" spans="1:54" thickBot="1">
      <c r="A209" s="298"/>
      <c r="B209" s="298"/>
      <c r="C209" s="762"/>
      <c r="D209" s="762"/>
      <c r="E209" s="762"/>
      <c r="F209" s="769"/>
      <c r="G209" s="762"/>
      <c r="H209" s="762"/>
      <c r="I209" s="769"/>
      <c r="J209" s="762"/>
      <c r="K209" s="764"/>
      <c r="L209" s="769"/>
      <c r="M209" s="769"/>
      <c r="N209" s="762"/>
      <c r="O209" s="769"/>
      <c r="P209" s="769"/>
      <c r="Q209" s="762"/>
      <c r="R209" s="769"/>
      <c r="S209" s="769"/>
      <c r="T209" s="762"/>
      <c r="U209" s="769"/>
      <c r="V209" s="762"/>
      <c r="W209" s="762"/>
      <c r="X209" s="770"/>
      <c r="Y209" s="770"/>
      <c r="Z209" s="770"/>
      <c r="AA209" s="297"/>
      <c r="AB209" s="297"/>
      <c r="AC209" s="297"/>
      <c r="AD209" s="297"/>
      <c r="AE209" s="297"/>
      <c r="AF209" s="297"/>
      <c r="AG209" s="297"/>
      <c r="AH209" s="297"/>
      <c r="AI209" s="297"/>
      <c r="AJ209" s="297"/>
      <c r="AK209" s="297"/>
      <c r="AL209" s="297"/>
      <c r="AM209" s="297"/>
      <c r="AN209" s="297"/>
      <c r="AO209" s="297"/>
      <c r="AP209" s="297"/>
      <c r="AQ209" s="297"/>
      <c r="AR209" s="297"/>
      <c r="AS209" s="297"/>
      <c r="AT209" s="297"/>
      <c r="AU209" s="297"/>
      <c r="AV209" s="297"/>
      <c r="AW209" s="297"/>
      <c r="AX209" s="297"/>
      <c r="AY209" s="297"/>
      <c r="AZ209" s="297"/>
      <c r="BA209" s="297"/>
      <c r="BB209" s="297"/>
    </row>
    <row r="210" spans="1:54" thickBot="1">
      <c r="A210" s="298"/>
      <c r="B210" s="298"/>
      <c r="C210" s="762"/>
      <c r="D210" s="762"/>
      <c r="E210" s="762"/>
      <c r="F210" s="769"/>
      <c r="G210" s="762"/>
      <c r="H210" s="762"/>
      <c r="I210" s="769"/>
      <c r="J210" s="762"/>
      <c r="K210" s="764"/>
      <c r="L210" s="769"/>
      <c r="M210" s="769"/>
      <c r="N210" s="762"/>
      <c r="O210" s="769"/>
      <c r="P210" s="769"/>
      <c r="Q210" s="762"/>
      <c r="R210" s="769"/>
      <c r="S210" s="769"/>
      <c r="T210" s="762"/>
      <c r="U210" s="769"/>
      <c r="V210" s="762"/>
      <c r="W210" s="762"/>
      <c r="X210" s="770"/>
      <c r="Y210" s="770"/>
      <c r="Z210" s="770"/>
      <c r="AA210" s="297"/>
      <c r="AB210" s="297"/>
      <c r="AC210" s="297"/>
      <c r="AD210" s="297"/>
      <c r="AE210" s="297"/>
      <c r="AF210" s="297"/>
      <c r="AG210" s="297"/>
      <c r="AH210" s="297"/>
      <c r="AI210" s="297"/>
      <c r="AJ210" s="297"/>
      <c r="AK210" s="297"/>
      <c r="AL210" s="297"/>
      <c r="AM210" s="297"/>
      <c r="AN210" s="297"/>
      <c r="AO210" s="297"/>
      <c r="AP210" s="297"/>
      <c r="AQ210" s="297"/>
      <c r="AR210" s="297"/>
      <c r="AS210" s="297"/>
      <c r="AT210" s="297"/>
      <c r="AU210" s="297"/>
      <c r="AV210" s="297"/>
      <c r="AW210" s="297"/>
      <c r="AX210" s="297"/>
      <c r="AY210" s="297"/>
      <c r="AZ210" s="297"/>
      <c r="BA210" s="297"/>
      <c r="BB210" s="297"/>
    </row>
    <row r="211" spans="1:54" thickBot="1">
      <c r="A211" s="298"/>
      <c r="B211" s="298"/>
      <c r="C211" s="762"/>
      <c r="D211" s="762"/>
      <c r="E211" s="762"/>
      <c r="F211" s="769"/>
      <c r="G211" s="762"/>
      <c r="H211" s="762"/>
      <c r="I211" s="769"/>
      <c r="J211" s="762"/>
      <c r="K211" s="764"/>
      <c r="L211" s="769"/>
      <c r="M211" s="769"/>
      <c r="N211" s="762"/>
      <c r="O211" s="769"/>
      <c r="P211" s="769"/>
      <c r="Q211" s="762"/>
      <c r="R211" s="769"/>
      <c r="S211" s="769"/>
      <c r="T211" s="762"/>
      <c r="U211" s="769"/>
      <c r="V211" s="762"/>
      <c r="W211" s="762"/>
      <c r="X211" s="770"/>
      <c r="Y211" s="770"/>
      <c r="Z211" s="770"/>
      <c r="AA211" s="297"/>
      <c r="AB211" s="297"/>
      <c r="AC211" s="297"/>
      <c r="AD211" s="297"/>
      <c r="AE211" s="297"/>
      <c r="AF211" s="297"/>
      <c r="AG211" s="297"/>
      <c r="AH211" s="297"/>
      <c r="AI211" s="297"/>
      <c r="AJ211" s="297"/>
      <c r="AK211" s="297"/>
      <c r="AL211" s="297"/>
      <c r="AM211" s="297"/>
      <c r="AN211" s="297"/>
      <c r="AO211" s="297"/>
      <c r="AP211" s="297"/>
      <c r="AQ211" s="297"/>
      <c r="AR211" s="297"/>
      <c r="AS211" s="297"/>
      <c r="AT211" s="297"/>
      <c r="AU211" s="297"/>
      <c r="AV211" s="297"/>
      <c r="AW211" s="297"/>
      <c r="AX211" s="297"/>
      <c r="AY211" s="297"/>
      <c r="AZ211" s="297"/>
      <c r="BA211" s="297"/>
      <c r="BB211" s="297"/>
    </row>
    <row r="212" spans="1:54" thickBot="1">
      <c r="A212" s="298"/>
      <c r="B212" s="298"/>
      <c r="C212" s="762"/>
      <c r="D212" s="762"/>
      <c r="E212" s="762"/>
      <c r="F212" s="769"/>
      <c r="G212" s="762"/>
      <c r="H212" s="762"/>
      <c r="I212" s="769"/>
      <c r="J212" s="762"/>
      <c r="K212" s="764"/>
      <c r="L212" s="769"/>
      <c r="M212" s="769"/>
      <c r="N212" s="762"/>
      <c r="O212" s="769"/>
      <c r="P212" s="769"/>
      <c r="Q212" s="762"/>
      <c r="R212" s="769"/>
      <c r="S212" s="769"/>
      <c r="T212" s="762"/>
      <c r="U212" s="769"/>
      <c r="V212" s="762"/>
      <c r="W212" s="762"/>
      <c r="X212" s="770"/>
      <c r="Y212" s="770"/>
      <c r="Z212" s="770"/>
      <c r="AA212" s="297"/>
      <c r="AB212" s="297"/>
      <c r="AC212" s="297"/>
      <c r="AD212" s="297"/>
      <c r="AE212" s="297"/>
      <c r="AF212" s="297"/>
      <c r="AG212" s="297"/>
      <c r="AH212" s="297"/>
      <c r="AI212" s="297"/>
      <c r="AJ212" s="297"/>
      <c r="AK212" s="297"/>
      <c r="AL212" s="297"/>
      <c r="AM212" s="297"/>
      <c r="AN212" s="297"/>
      <c r="AO212" s="297"/>
      <c r="AP212" s="297"/>
      <c r="AQ212" s="297"/>
      <c r="AR212" s="297"/>
      <c r="AS212" s="297"/>
      <c r="AT212" s="297"/>
      <c r="AU212" s="297"/>
      <c r="AV212" s="297"/>
      <c r="AW212" s="297"/>
      <c r="AX212" s="297"/>
      <c r="AY212" s="297"/>
      <c r="AZ212" s="297"/>
      <c r="BA212" s="297"/>
      <c r="BB212" s="297"/>
    </row>
    <row r="213" spans="1:54" thickBot="1">
      <c r="A213" s="298"/>
      <c r="B213" s="298"/>
      <c r="C213" s="762"/>
      <c r="D213" s="762"/>
      <c r="E213" s="762"/>
      <c r="F213" s="769"/>
      <c r="G213" s="762"/>
      <c r="H213" s="762"/>
      <c r="I213" s="769"/>
      <c r="J213" s="762"/>
      <c r="K213" s="764"/>
      <c r="L213" s="769"/>
      <c r="M213" s="769"/>
      <c r="N213" s="762"/>
      <c r="O213" s="769"/>
      <c r="P213" s="769"/>
      <c r="Q213" s="762"/>
      <c r="R213" s="769"/>
      <c r="S213" s="769"/>
      <c r="T213" s="762"/>
      <c r="U213" s="769"/>
      <c r="V213" s="762"/>
      <c r="W213" s="762"/>
      <c r="X213" s="770"/>
      <c r="Y213" s="770"/>
      <c r="Z213" s="770"/>
      <c r="AA213" s="297"/>
      <c r="AB213" s="297"/>
      <c r="AC213" s="297"/>
      <c r="AD213" s="297"/>
      <c r="AE213" s="297"/>
      <c r="AF213" s="297"/>
      <c r="AG213" s="297"/>
      <c r="AH213" s="297"/>
      <c r="AI213" s="297"/>
      <c r="AJ213" s="297"/>
      <c r="AK213" s="297"/>
      <c r="AL213" s="297"/>
      <c r="AM213" s="297"/>
      <c r="AN213" s="297"/>
      <c r="AO213" s="297"/>
      <c r="AP213" s="297"/>
      <c r="AQ213" s="297"/>
      <c r="AR213" s="297"/>
      <c r="AS213" s="297"/>
      <c r="AT213" s="297"/>
      <c r="AU213" s="297"/>
      <c r="AV213" s="297"/>
      <c r="AW213" s="297"/>
      <c r="AX213" s="297"/>
      <c r="AY213" s="297"/>
      <c r="AZ213" s="297"/>
      <c r="BA213" s="297"/>
      <c r="BB213" s="297"/>
    </row>
    <row r="214" spans="1:54" thickBot="1">
      <c r="A214" s="298"/>
      <c r="B214" s="298"/>
      <c r="C214" s="762"/>
      <c r="D214" s="762"/>
      <c r="E214" s="762"/>
      <c r="F214" s="769"/>
      <c r="G214" s="762"/>
      <c r="H214" s="762"/>
      <c r="I214" s="769"/>
      <c r="J214" s="762"/>
      <c r="K214" s="764"/>
      <c r="L214" s="769"/>
      <c r="M214" s="769"/>
      <c r="N214" s="762"/>
      <c r="O214" s="769"/>
      <c r="P214" s="769"/>
      <c r="Q214" s="762"/>
      <c r="R214" s="769"/>
      <c r="S214" s="769"/>
      <c r="T214" s="762"/>
      <c r="U214" s="769"/>
      <c r="V214" s="762"/>
      <c r="W214" s="762"/>
      <c r="X214" s="770"/>
      <c r="Y214" s="770"/>
      <c r="Z214" s="770"/>
      <c r="AA214" s="297"/>
      <c r="AB214" s="297"/>
      <c r="AC214" s="297"/>
      <c r="AD214" s="297"/>
      <c r="AE214" s="297"/>
      <c r="AF214" s="297"/>
      <c r="AG214" s="297"/>
      <c r="AH214" s="297"/>
      <c r="AI214" s="297"/>
      <c r="AJ214" s="297"/>
      <c r="AK214" s="297"/>
      <c r="AL214" s="297"/>
      <c r="AM214" s="297"/>
      <c r="AN214" s="297"/>
      <c r="AO214" s="297"/>
      <c r="AP214" s="297"/>
      <c r="AQ214" s="297"/>
      <c r="AR214" s="297"/>
      <c r="AS214" s="297"/>
      <c r="AT214" s="297"/>
      <c r="AU214" s="297"/>
      <c r="AV214" s="297"/>
      <c r="AW214" s="297"/>
      <c r="AX214" s="297"/>
      <c r="AY214" s="297"/>
      <c r="AZ214" s="297"/>
      <c r="BA214" s="297"/>
      <c r="BB214" s="297"/>
    </row>
    <row r="215" spans="1:54" thickBot="1">
      <c r="A215" s="298"/>
      <c r="B215" s="298"/>
      <c r="C215" s="762"/>
      <c r="D215" s="762"/>
      <c r="E215" s="762"/>
      <c r="F215" s="769"/>
      <c r="G215" s="762"/>
      <c r="H215" s="762"/>
      <c r="I215" s="769"/>
      <c r="J215" s="762"/>
      <c r="K215" s="764"/>
      <c r="L215" s="769"/>
      <c r="M215" s="769"/>
      <c r="N215" s="762"/>
      <c r="O215" s="769"/>
      <c r="P215" s="769"/>
      <c r="Q215" s="762"/>
      <c r="R215" s="769"/>
      <c r="S215" s="769"/>
      <c r="T215" s="762"/>
      <c r="U215" s="769"/>
      <c r="V215" s="762"/>
      <c r="W215" s="762"/>
      <c r="X215" s="770"/>
      <c r="Y215" s="770"/>
      <c r="Z215" s="770"/>
      <c r="AA215" s="297"/>
      <c r="AB215" s="297"/>
      <c r="AC215" s="297"/>
      <c r="AD215" s="297"/>
      <c r="AE215" s="297"/>
      <c r="AF215" s="297"/>
      <c r="AG215" s="297"/>
      <c r="AH215" s="297"/>
      <c r="AI215" s="297"/>
      <c r="AJ215" s="297"/>
      <c r="AK215" s="297"/>
      <c r="AL215" s="297"/>
      <c r="AM215" s="297"/>
      <c r="AN215" s="297"/>
      <c r="AO215" s="297"/>
      <c r="AP215" s="297"/>
      <c r="AQ215" s="297"/>
      <c r="AR215" s="297"/>
      <c r="AS215" s="297"/>
      <c r="AT215" s="297"/>
      <c r="AU215" s="297"/>
      <c r="AV215" s="297"/>
      <c r="AW215" s="297"/>
      <c r="AX215" s="297"/>
      <c r="AY215" s="297"/>
      <c r="AZ215" s="297"/>
      <c r="BA215" s="297"/>
      <c r="BB215" s="297"/>
    </row>
    <row r="216" spans="1:54" thickBot="1">
      <c r="A216" s="298"/>
      <c r="B216" s="298"/>
      <c r="C216" s="762"/>
      <c r="D216" s="762"/>
      <c r="E216" s="762"/>
      <c r="F216" s="769"/>
      <c r="G216" s="762"/>
      <c r="H216" s="762"/>
      <c r="I216" s="769"/>
      <c r="J216" s="762"/>
      <c r="K216" s="764"/>
      <c r="L216" s="769"/>
      <c r="M216" s="769"/>
      <c r="N216" s="762"/>
      <c r="O216" s="769"/>
      <c r="P216" s="769"/>
      <c r="Q216" s="762"/>
      <c r="R216" s="769"/>
      <c r="S216" s="769"/>
      <c r="T216" s="762"/>
      <c r="U216" s="769"/>
      <c r="V216" s="762"/>
      <c r="W216" s="762"/>
      <c r="X216" s="770"/>
      <c r="Y216" s="770"/>
      <c r="Z216" s="770"/>
      <c r="AA216" s="297"/>
      <c r="AB216" s="297"/>
      <c r="AC216" s="297"/>
      <c r="AD216" s="297"/>
      <c r="AE216" s="297"/>
      <c r="AF216" s="297"/>
      <c r="AG216" s="297"/>
      <c r="AH216" s="297"/>
      <c r="AI216" s="297"/>
      <c r="AJ216" s="297"/>
      <c r="AK216" s="297"/>
      <c r="AL216" s="297"/>
      <c r="AM216" s="297"/>
      <c r="AN216" s="297"/>
      <c r="AO216" s="297"/>
      <c r="AP216" s="297"/>
      <c r="AQ216" s="297"/>
      <c r="AR216" s="297"/>
      <c r="AS216" s="297"/>
      <c r="AT216" s="297"/>
      <c r="AU216" s="297"/>
      <c r="AV216" s="297"/>
      <c r="AW216" s="297"/>
      <c r="AX216" s="297"/>
      <c r="AY216" s="297"/>
      <c r="AZ216" s="297"/>
      <c r="BA216" s="297"/>
      <c r="BB216" s="297"/>
    </row>
    <row r="217" spans="1:54" thickBot="1">
      <c r="A217" s="298"/>
      <c r="B217" s="298"/>
      <c r="C217" s="762"/>
      <c r="D217" s="762"/>
      <c r="E217" s="762"/>
      <c r="F217" s="769"/>
      <c r="G217" s="762"/>
      <c r="H217" s="762"/>
      <c r="I217" s="769"/>
      <c r="J217" s="762"/>
      <c r="K217" s="764"/>
      <c r="L217" s="769"/>
      <c r="M217" s="769"/>
      <c r="N217" s="762"/>
      <c r="O217" s="769"/>
      <c r="P217" s="769"/>
      <c r="Q217" s="762"/>
      <c r="R217" s="769"/>
      <c r="S217" s="769"/>
      <c r="T217" s="762"/>
      <c r="U217" s="769"/>
      <c r="V217" s="762"/>
      <c r="W217" s="762"/>
      <c r="X217" s="770"/>
      <c r="Y217" s="770"/>
      <c r="Z217" s="770"/>
      <c r="AA217" s="297"/>
      <c r="AB217" s="297"/>
      <c r="AC217" s="297"/>
      <c r="AD217" s="297"/>
      <c r="AE217" s="297"/>
      <c r="AF217" s="297"/>
      <c r="AG217" s="297"/>
      <c r="AH217" s="297"/>
      <c r="AI217" s="297"/>
      <c r="AJ217" s="297"/>
      <c r="AK217" s="297"/>
      <c r="AL217" s="297"/>
      <c r="AM217" s="297"/>
      <c r="AN217" s="297"/>
      <c r="AO217" s="297"/>
      <c r="AP217" s="297"/>
      <c r="AQ217" s="297"/>
      <c r="AR217" s="297"/>
      <c r="AS217" s="297"/>
      <c r="AT217" s="297"/>
      <c r="AU217" s="297"/>
      <c r="AV217" s="297"/>
      <c r="AW217" s="297"/>
      <c r="AX217" s="297"/>
      <c r="AY217" s="297"/>
      <c r="AZ217" s="297"/>
      <c r="BA217" s="297"/>
      <c r="BB217" s="297"/>
    </row>
    <row r="218" spans="1:54" thickBot="1">
      <c r="A218" s="298"/>
      <c r="B218" s="298"/>
      <c r="C218" s="762"/>
      <c r="D218" s="762"/>
      <c r="E218" s="762"/>
      <c r="F218" s="769"/>
      <c r="G218" s="762"/>
      <c r="H218" s="762"/>
      <c r="I218" s="769"/>
      <c r="J218" s="762"/>
      <c r="K218" s="764"/>
      <c r="L218" s="769"/>
      <c r="M218" s="769"/>
      <c r="N218" s="762"/>
      <c r="O218" s="769"/>
      <c r="P218" s="769"/>
      <c r="Q218" s="762"/>
      <c r="R218" s="769"/>
      <c r="S218" s="769"/>
      <c r="T218" s="762"/>
      <c r="U218" s="769"/>
      <c r="V218" s="762"/>
      <c r="W218" s="762"/>
      <c r="X218" s="770"/>
      <c r="Y218" s="770"/>
      <c r="Z218" s="770"/>
      <c r="AA218" s="297"/>
      <c r="AB218" s="297"/>
      <c r="AC218" s="297"/>
      <c r="AD218" s="297"/>
      <c r="AE218" s="297"/>
      <c r="AF218" s="297"/>
      <c r="AG218" s="297"/>
      <c r="AH218" s="297"/>
      <c r="AI218" s="297"/>
      <c r="AJ218" s="297"/>
      <c r="AK218" s="297"/>
      <c r="AL218" s="297"/>
      <c r="AM218" s="297"/>
      <c r="AN218" s="297"/>
      <c r="AO218" s="297"/>
      <c r="AP218" s="297"/>
      <c r="AQ218" s="297"/>
      <c r="AR218" s="297"/>
      <c r="AS218" s="297"/>
      <c r="AT218" s="297"/>
      <c r="AU218" s="297"/>
      <c r="AV218" s="297"/>
      <c r="AW218" s="297"/>
      <c r="AX218" s="297"/>
      <c r="AY218" s="297"/>
      <c r="AZ218" s="297"/>
      <c r="BA218" s="297"/>
      <c r="BB218" s="297"/>
    </row>
    <row r="219" spans="1:54" thickBot="1">
      <c r="A219" s="298"/>
      <c r="B219" s="298"/>
      <c r="C219" s="762"/>
      <c r="D219" s="762"/>
      <c r="E219" s="762"/>
      <c r="F219" s="769"/>
      <c r="G219" s="762"/>
      <c r="H219" s="762"/>
      <c r="I219" s="769"/>
      <c r="J219" s="762"/>
      <c r="K219" s="764"/>
      <c r="L219" s="769"/>
      <c r="M219" s="769"/>
      <c r="N219" s="762"/>
      <c r="O219" s="769"/>
      <c r="P219" s="769"/>
      <c r="Q219" s="762"/>
      <c r="R219" s="769"/>
      <c r="S219" s="769"/>
      <c r="T219" s="762"/>
      <c r="U219" s="769"/>
      <c r="V219" s="762"/>
      <c r="W219" s="762"/>
      <c r="X219" s="770"/>
      <c r="Y219" s="770"/>
      <c r="Z219" s="770"/>
      <c r="AA219" s="297"/>
      <c r="AB219" s="297"/>
      <c r="AC219" s="297"/>
      <c r="AD219" s="297"/>
      <c r="AE219" s="297"/>
      <c r="AF219" s="297"/>
      <c r="AG219" s="297"/>
      <c r="AH219" s="297"/>
      <c r="AI219" s="297"/>
      <c r="AJ219" s="297"/>
      <c r="AK219" s="297"/>
      <c r="AL219" s="297"/>
      <c r="AM219" s="297"/>
      <c r="AN219" s="297"/>
      <c r="AO219" s="297"/>
      <c r="AP219" s="297"/>
      <c r="AQ219" s="297"/>
      <c r="AR219" s="297"/>
      <c r="AS219" s="297"/>
      <c r="AT219" s="297"/>
      <c r="AU219" s="297"/>
      <c r="AV219" s="297"/>
      <c r="AW219" s="297"/>
      <c r="AX219" s="297"/>
      <c r="AY219" s="297"/>
      <c r="AZ219" s="297"/>
      <c r="BA219" s="297"/>
      <c r="BB219" s="297"/>
    </row>
    <row r="220" spans="1:54" thickBot="1">
      <c r="A220" s="298"/>
      <c r="B220" s="298"/>
      <c r="C220" s="762"/>
      <c r="D220" s="762"/>
      <c r="E220" s="762"/>
      <c r="F220" s="769"/>
      <c r="G220" s="762"/>
      <c r="H220" s="762"/>
      <c r="I220" s="769"/>
      <c r="J220" s="762"/>
      <c r="K220" s="764"/>
      <c r="L220" s="769"/>
      <c r="M220" s="769"/>
      <c r="N220" s="762"/>
      <c r="O220" s="769"/>
      <c r="P220" s="769"/>
      <c r="Q220" s="762"/>
      <c r="R220" s="769"/>
      <c r="S220" s="769"/>
      <c r="T220" s="762"/>
      <c r="U220" s="769"/>
      <c r="V220" s="762"/>
      <c r="W220" s="762"/>
      <c r="X220" s="770"/>
      <c r="Y220" s="770"/>
      <c r="Z220" s="770"/>
      <c r="AA220" s="297"/>
      <c r="AB220" s="297"/>
      <c r="AC220" s="297"/>
      <c r="AD220" s="297"/>
      <c r="AE220" s="297"/>
      <c r="AF220" s="297"/>
      <c r="AG220" s="297"/>
      <c r="AH220" s="297"/>
      <c r="AI220" s="297"/>
      <c r="AJ220" s="297"/>
      <c r="AK220" s="297"/>
      <c r="AL220" s="297"/>
      <c r="AM220" s="297"/>
      <c r="AN220" s="297"/>
      <c r="AO220" s="297"/>
      <c r="AP220" s="297"/>
      <c r="AQ220" s="297"/>
      <c r="AR220" s="297"/>
      <c r="AS220" s="297"/>
      <c r="AT220" s="297"/>
      <c r="AU220" s="297"/>
      <c r="AV220" s="297"/>
      <c r="AW220" s="297"/>
      <c r="AX220" s="297"/>
      <c r="AY220" s="297"/>
      <c r="AZ220" s="297"/>
      <c r="BA220" s="297"/>
      <c r="BB220" s="297"/>
    </row>
    <row r="221" spans="1:54" thickBot="1">
      <c r="A221" s="298"/>
      <c r="B221" s="298"/>
      <c r="C221" s="762"/>
      <c r="D221" s="762"/>
      <c r="E221" s="762"/>
      <c r="F221" s="769"/>
      <c r="G221" s="762"/>
      <c r="H221" s="762"/>
      <c r="I221" s="769"/>
      <c r="J221" s="762"/>
      <c r="K221" s="764"/>
      <c r="L221" s="769"/>
      <c r="M221" s="769"/>
      <c r="N221" s="762"/>
      <c r="O221" s="769"/>
      <c r="P221" s="769"/>
      <c r="Q221" s="762"/>
      <c r="R221" s="769"/>
      <c r="S221" s="769"/>
      <c r="T221" s="762"/>
      <c r="U221" s="769"/>
      <c r="V221" s="762"/>
      <c r="W221" s="762"/>
      <c r="X221" s="770"/>
      <c r="Y221" s="770"/>
      <c r="Z221" s="770"/>
      <c r="AA221" s="297"/>
      <c r="AB221" s="297"/>
      <c r="AC221" s="297"/>
      <c r="AD221" s="297"/>
      <c r="AE221" s="297"/>
      <c r="AF221" s="297"/>
      <c r="AG221" s="297"/>
      <c r="AH221" s="297"/>
      <c r="AI221" s="297"/>
      <c r="AJ221" s="297"/>
      <c r="AK221" s="297"/>
      <c r="AL221" s="297"/>
      <c r="AM221" s="297"/>
      <c r="AN221" s="297"/>
      <c r="AO221" s="297"/>
      <c r="AP221" s="297"/>
      <c r="AQ221" s="297"/>
      <c r="AR221" s="297"/>
      <c r="AS221" s="297"/>
      <c r="AT221" s="297"/>
      <c r="AU221" s="297"/>
      <c r="AV221" s="297"/>
      <c r="AW221" s="297"/>
      <c r="AX221" s="297"/>
      <c r="AY221" s="297"/>
      <c r="AZ221" s="297"/>
      <c r="BA221" s="297"/>
      <c r="BB221" s="297"/>
    </row>
    <row r="222" spans="1:54" thickBot="1">
      <c r="A222" s="298"/>
      <c r="B222" s="298"/>
      <c r="C222" s="762"/>
      <c r="D222" s="762"/>
      <c r="E222" s="762"/>
      <c r="F222" s="769"/>
      <c r="G222" s="762"/>
      <c r="H222" s="762"/>
      <c r="I222" s="769"/>
      <c r="J222" s="762"/>
      <c r="K222" s="764"/>
      <c r="L222" s="769"/>
      <c r="M222" s="769"/>
      <c r="N222" s="762"/>
      <c r="O222" s="769"/>
      <c r="P222" s="769"/>
      <c r="Q222" s="762"/>
      <c r="R222" s="769"/>
      <c r="S222" s="769"/>
      <c r="T222" s="762"/>
      <c r="U222" s="769"/>
      <c r="V222" s="762"/>
      <c r="W222" s="762"/>
      <c r="X222" s="770"/>
      <c r="Y222" s="770"/>
      <c r="Z222" s="770"/>
      <c r="AA222" s="297"/>
      <c r="AB222" s="297"/>
      <c r="AC222" s="297"/>
      <c r="AD222" s="297"/>
      <c r="AE222" s="297"/>
      <c r="AF222" s="297"/>
      <c r="AG222" s="297"/>
      <c r="AH222" s="297"/>
      <c r="AI222" s="297"/>
      <c r="AJ222" s="297"/>
      <c r="AK222" s="297"/>
      <c r="AL222" s="297"/>
      <c r="AM222" s="297"/>
      <c r="AN222" s="297"/>
      <c r="AO222" s="297"/>
      <c r="AP222" s="297"/>
      <c r="AQ222" s="297"/>
      <c r="AR222" s="297"/>
      <c r="AS222" s="297"/>
      <c r="AT222" s="297"/>
      <c r="AU222" s="297"/>
      <c r="AV222" s="297"/>
      <c r="AW222" s="297"/>
      <c r="AX222" s="297"/>
      <c r="AY222" s="297"/>
      <c r="AZ222" s="297"/>
      <c r="BA222" s="297"/>
      <c r="BB222" s="297"/>
    </row>
    <row r="223" spans="1:54" thickBot="1">
      <c r="A223" s="298"/>
      <c r="B223" s="298"/>
      <c r="C223" s="762"/>
      <c r="D223" s="762"/>
      <c r="E223" s="762"/>
      <c r="F223" s="769"/>
      <c r="G223" s="762"/>
      <c r="H223" s="762"/>
      <c r="I223" s="769"/>
      <c r="J223" s="762"/>
      <c r="K223" s="764"/>
      <c r="L223" s="769"/>
      <c r="M223" s="769"/>
      <c r="N223" s="762"/>
      <c r="O223" s="769"/>
      <c r="P223" s="769"/>
      <c r="Q223" s="762"/>
      <c r="R223" s="769"/>
      <c r="S223" s="769"/>
      <c r="T223" s="762"/>
      <c r="U223" s="769"/>
      <c r="V223" s="762"/>
      <c r="W223" s="762"/>
      <c r="X223" s="770"/>
      <c r="Y223" s="770"/>
      <c r="Z223" s="770"/>
      <c r="AA223" s="297"/>
      <c r="AB223" s="297"/>
      <c r="AC223" s="297"/>
      <c r="AD223" s="297"/>
      <c r="AE223" s="297"/>
      <c r="AF223" s="297"/>
      <c r="AG223" s="297"/>
      <c r="AH223" s="297"/>
      <c r="AI223" s="297"/>
      <c r="AJ223" s="297"/>
      <c r="AK223" s="297"/>
      <c r="AL223" s="297"/>
      <c r="AM223" s="297"/>
      <c r="AN223" s="297"/>
      <c r="AO223" s="297"/>
      <c r="AP223" s="297"/>
      <c r="AQ223" s="297"/>
      <c r="AR223" s="297"/>
      <c r="AS223" s="297"/>
      <c r="AT223" s="297"/>
      <c r="AU223" s="297"/>
      <c r="AV223" s="297"/>
      <c r="AW223" s="297"/>
      <c r="AX223" s="297"/>
      <c r="AY223" s="297"/>
      <c r="AZ223" s="297"/>
      <c r="BA223" s="297"/>
      <c r="BB223" s="297"/>
    </row>
    <row r="224" spans="1:54" thickBot="1">
      <c r="A224" s="298"/>
      <c r="B224" s="298"/>
      <c r="C224" s="762"/>
      <c r="D224" s="762"/>
      <c r="E224" s="762"/>
      <c r="F224" s="769"/>
      <c r="G224" s="762"/>
      <c r="H224" s="762"/>
      <c r="I224" s="769"/>
      <c r="J224" s="762"/>
      <c r="K224" s="764"/>
      <c r="L224" s="769"/>
      <c r="M224" s="769"/>
      <c r="N224" s="762"/>
      <c r="O224" s="769"/>
      <c r="P224" s="769"/>
      <c r="Q224" s="762"/>
      <c r="R224" s="769"/>
      <c r="S224" s="769"/>
      <c r="T224" s="762"/>
      <c r="U224" s="769"/>
      <c r="V224" s="762"/>
      <c r="W224" s="762"/>
      <c r="X224" s="770"/>
      <c r="Y224" s="770"/>
      <c r="Z224" s="770"/>
      <c r="AA224" s="297"/>
      <c r="AB224" s="297"/>
      <c r="AC224" s="297"/>
      <c r="AD224" s="297"/>
      <c r="AE224" s="297"/>
      <c r="AF224" s="297"/>
      <c r="AG224" s="297"/>
      <c r="AH224" s="297"/>
      <c r="AI224" s="297"/>
      <c r="AJ224" s="297"/>
      <c r="AK224" s="297"/>
      <c r="AL224" s="297"/>
      <c r="AM224" s="297"/>
      <c r="AN224" s="297"/>
      <c r="AO224" s="297"/>
      <c r="AP224" s="297"/>
      <c r="AQ224" s="297"/>
      <c r="AR224" s="297"/>
      <c r="AS224" s="297"/>
      <c r="AT224" s="297"/>
      <c r="AU224" s="297"/>
      <c r="AV224" s="297"/>
      <c r="AW224" s="297"/>
      <c r="AX224" s="297"/>
      <c r="AY224" s="297"/>
      <c r="AZ224" s="297"/>
      <c r="BA224" s="297"/>
      <c r="BB224" s="297"/>
    </row>
    <row r="225" spans="1:54" thickBot="1">
      <c r="A225" s="298"/>
      <c r="B225" s="298"/>
      <c r="C225" s="762"/>
      <c r="D225" s="762"/>
      <c r="E225" s="762"/>
      <c r="F225" s="769"/>
      <c r="G225" s="762"/>
      <c r="H225" s="762"/>
      <c r="I225" s="769"/>
      <c r="J225" s="762"/>
      <c r="K225" s="764"/>
      <c r="L225" s="769"/>
      <c r="M225" s="769"/>
      <c r="N225" s="762"/>
      <c r="O225" s="769"/>
      <c r="P225" s="769"/>
      <c r="Q225" s="762"/>
      <c r="R225" s="769"/>
      <c r="S225" s="769"/>
      <c r="T225" s="762"/>
      <c r="U225" s="769"/>
      <c r="V225" s="762"/>
      <c r="W225" s="762"/>
      <c r="X225" s="770"/>
      <c r="Y225" s="770"/>
      <c r="Z225" s="770"/>
      <c r="AA225" s="297"/>
      <c r="AB225" s="297"/>
      <c r="AC225" s="297"/>
      <c r="AD225" s="297"/>
      <c r="AE225" s="297"/>
      <c r="AF225" s="297"/>
      <c r="AG225" s="297"/>
      <c r="AH225" s="297"/>
      <c r="AI225" s="297"/>
      <c r="AJ225" s="297"/>
      <c r="AK225" s="297"/>
      <c r="AL225" s="297"/>
      <c r="AM225" s="297"/>
      <c r="AN225" s="297"/>
      <c r="AO225" s="297"/>
      <c r="AP225" s="297"/>
      <c r="AQ225" s="297"/>
      <c r="AR225" s="297"/>
      <c r="AS225" s="297"/>
      <c r="AT225" s="297"/>
      <c r="AU225" s="297"/>
      <c r="AV225" s="297"/>
      <c r="AW225" s="297"/>
      <c r="AX225" s="297"/>
      <c r="AY225" s="297"/>
      <c r="AZ225" s="297"/>
      <c r="BA225" s="297"/>
      <c r="BB225" s="297"/>
    </row>
    <row r="226" spans="1:54" thickBot="1">
      <c r="A226" s="298"/>
      <c r="B226" s="298"/>
      <c r="C226" s="762"/>
      <c r="D226" s="762"/>
      <c r="E226" s="762"/>
      <c r="F226" s="769"/>
      <c r="G226" s="762"/>
      <c r="H226" s="762"/>
      <c r="I226" s="769"/>
      <c r="J226" s="762"/>
      <c r="K226" s="764"/>
      <c r="L226" s="769"/>
      <c r="M226" s="769"/>
      <c r="N226" s="762"/>
      <c r="O226" s="769"/>
      <c r="P226" s="769"/>
      <c r="Q226" s="762"/>
      <c r="R226" s="769"/>
      <c r="S226" s="769"/>
      <c r="T226" s="762"/>
      <c r="U226" s="769"/>
      <c r="V226" s="762"/>
      <c r="W226" s="762"/>
      <c r="X226" s="770"/>
      <c r="Y226" s="770"/>
      <c r="Z226" s="770"/>
      <c r="AA226" s="297"/>
      <c r="AB226" s="297"/>
      <c r="AC226" s="297"/>
      <c r="AD226" s="297"/>
      <c r="AE226" s="297"/>
      <c r="AF226" s="297"/>
      <c r="AG226" s="297"/>
      <c r="AH226" s="297"/>
      <c r="AI226" s="297"/>
      <c r="AJ226" s="297"/>
      <c r="AK226" s="297"/>
      <c r="AL226" s="297"/>
      <c r="AM226" s="297"/>
      <c r="AN226" s="297"/>
      <c r="AO226" s="297"/>
      <c r="AP226" s="297"/>
      <c r="AQ226" s="297"/>
      <c r="AR226" s="297"/>
      <c r="AS226" s="297"/>
      <c r="AT226" s="297"/>
      <c r="AU226" s="297"/>
      <c r="AV226" s="297"/>
      <c r="AW226" s="297"/>
      <c r="AX226" s="297"/>
      <c r="AY226" s="297"/>
      <c r="AZ226" s="297"/>
      <c r="BA226" s="297"/>
      <c r="BB226" s="297"/>
    </row>
    <row r="227" spans="1:54" thickBot="1">
      <c r="A227" s="298"/>
      <c r="B227" s="298"/>
      <c r="C227" s="762"/>
      <c r="D227" s="762"/>
      <c r="E227" s="762"/>
      <c r="F227" s="769"/>
      <c r="G227" s="762"/>
      <c r="H227" s="762"/>
      <c r="I227" s="769"/>
      <c r="J227" s="762"/>
      <c r="K227" s="764"/>
      <c r="L227" s="769"/>
      <c r="M227" s="769"/>
      <c r="N227" s="762"/>
      <c r="O227" s="769"/>
      <c r="P227" s="769"/>
      <c r="Q227" s="762"/>
      <c r="R227" s="769"/>
      <c r="S227" s="769"/>
      <c r="T227" s="762"/>
      <c r="U227" s="769"/>
      <c r="V227" s="762"/>
      <c r="W227" s="762"/>
      <c r="X227" s="770"/>
      <c r="Y227" s="770"/>
      <c r="Z227" s="770"/>
      <c r="AA227" s="297"/>
      <c r="AB227" s="297"/>
      <c r="AC227" s="297"/>
      <c r="AD227" s="297"/>
      <c r="AE227" s="297"/>
      <c r="AF227" s="297"/>
      <c r="AG227" s="297"/>
      <c r="AH227" s="297"/>
      <c r="AI227" s="297"/>
      <c r="AJ227" s="297"/>
      <c r="AK227" s="297"/>
      <c r="AL227" s="297"/>
      <c r="AM227" s="297"/>
      <c r="AN227" s="297"/>
      <c r="AO227" s="297"/>
      <c r="AP227" s="297"/>
      <c r="AQ227" s="297"/>
      <c r="AR227" s="297"/>
      <c r="AS227" s="297"/>
      <c r="AT227" s="297"/>
      <c r="AU227" s="297"/>
      <c r="AV227" s="297"/>
      <c r="AW227" s="297"/>
      <c r="AX227" s="297"/>
      <c r="AY227" s="297"/>
      <c r="AZ227" s="297"/>
      <c r="BA227" s="297"/>
      <c r="BB227" s="297"/>
    </row>
    <row r="228" spans="1:54" thickBot="1">
      <c r="A228" s="298"/>
      <c r="B228" s="298"/>
      <c r="C228" s="762"/>
      <c r="D228" s="762"/>
      <c r="E228" s="762"/>
      <c r="F228" s="769"/>
      <c r="G228" s="762"/>
      <c r="H228" s="762"/>
      <c r="I228" s="769"/>
      <c r="J228" s="762"/>
      <c r="K228" s="764"/>
      <c r="L228" s="769"/>
      <c r="M228" s="769"/>
      <c r="N228" s="762"/>
      <c r="O228" s="769"/>
      <c r="P228" s="769"/>
      <c r="Q228" s="762"/>
      <c r="R228" s="769"/>
      <c r="S228" s="769"/>
      <c r="T228" s="762"/>
      <c r="U228" s="769"/>
      <c r="V228" s="762"/>
      <c r="W228" s="762"/>
      <c r="X228" s="770"/>
      <c r="Y228" s="770"/>
      <c r="Z228" s="770"/>
      <c r="AA228" s="297"/>
      <c r="AB228" s="297"/>
      <c r="AC228" s="297"/>
      <c r="AD228" s="297"/>
      <c r="AE228" s="297"/>
      <c r="AF228" s="297"/>
      <c r="AG228" s="297"/>
      <c r="AH228" s="297"/>
      <c r="AI228" s="297"/>
      <c r="AJ228" s="297"/>
      <c r="AK228" s="297"/>
      <c r="AL228" s="297"/>
      <c r="AM228" s="297"/>
      <c r="AN228" s="297"/>
      <c r="AO228" s="297"/>
      <c r="AP228" s="297"/>
      <c r="AQ228" s="297"/>
      <c r="AR228" s="297"/>
      <c r="AS228" s="297"/>
      <c r="AT228" s="297"/>
      <c r="AU228" s="297"/>
      <c r="AV228" s="297"/>
      <c r="AW228" s="297"/>
      <c r="AX228" s="297"/>
      <c r="AY228" s="297"/>
      <c r="AZ228" s="297"/>
      <c r="BA228" s="297"/>
      <c r="BB228" s="297"/>
    </row>
    <row r="229" spans="1:54" thickBot="1">
      <c r="A229" s="298"/>
      <c r="B229" s="298"/>
      <c r="C229" s="762"/>
      <c r="D229" s="762"/>
      <c r="E229" s="762"/>
      <c r="F229" s="769"/>
      <c r="G229" s="762"/>
      <c r="H229" s="762"/>
      <c r="I229" s="769"/>
      <c r="J229" s="762"/>
      <c r="K229" s="764"/>
      <c r="L229" s="769"/>
      <c r="M229" s="769"/>
      <c r="N229" s="762"/>
      <c r="O229" s="769"/>
      <c r="P229" s="769"/>
      <c r="Q229" s="762"/>
      <c r="R229" s="769"/>
      <c r="S229" s="769"/>
      <c r="T229" s="762"/>
      <c r="U229" s="769"/>
      <c r="V229" s="762"/>
      <c r="W229" s="762"/>
      <c r="X229" s="770"/>
      <c r="Y229" s="770"/>
      <c r="Z229" s="770"/>
      <c r="AA229" s="297"/>
      <c r="AB229" s="297"/>
      <c r="AC229" s="297"/>
      <c r="AD229" s="297"/>
      <c r="AE229" s="297"/>
      <c r="AF229" s="297"/>
      <c r="AG229" s="297"/>
      <c r="AH229" s="297"/>
      <c r="AI229" s="297"/>
      <c r="AJ229" s="297"/>
      <c r="AK229" s="297"/>
      <c r="AL229" s="297"/>
      <c r="AM229" s="297"/>
      <c r="AN229" s="297"/>
      <c r="AO229" s="297"/>
      <c r="AP229" s="297"/>
      <c r="AQ229" s="297"/>
      <c r="AR229" s="297"/>
      <c r="AS229" s="297"/>
      <c r="AT229" s="297"/>
      <c r="AU229" s="297"/>
      <c r="AV229" s="297"/>
      <c r="AW229" s="297"/>
      <c r="AX229" s="297"/>
      <c r="AY229" s="297"/>
      <c r="AZ229" s="297"/>
      <c r="BA229" s="297"/>
      <c r="BB229" s="297"/>
    </row>
    <row r="230" spans="1:54" thickBot="1">
      <c r="A230" s="298"/>
      <c r="B230" s="298"/>
      <c r="C230" s="762"/>
      <c r="D230" s="762"/>
      <c r="E230" s="762"/>
      <c r="F230" s="769"/>
      <c r="G230" s="762"/>
      <c r="H230" s="762"/>
      <c r="I230" s="769"/>
      <c r="J230" s="762"/>
      <c r="K230" s="764"/>
      <c r="L230" s="769"/>
      <c r="M230" s="769"/>
      <c r="N230" s="762"/>
      <c r="O230" s="769"/>
      <c r="P230" s="769"/>
      <c r="Q230" s="762"/>
      <c r="R230" s="769"/>
      <c r="S230" s="769"/>
      <c r="T230" s="762"/>
      <c r="U230" s="769"/>
      <c r="V230" s="762"/>
      <c r="W230" s="762"/>
      <c r="X230" s="770"/>
      <c r="Y230" s="770"/>
      <c r="Z230" s="770"/>
      <c r="AA230" s="297"/>
      <c r="AB230" s="297"/>
      <c r="AC230" s="297"/>
      <c r="AD230" s="297"/>
      <c r="AE230" s="297"/>
      <c r="AF230" s="297"/>
      <c r="AG230" s="297"/>
      <c r="AH230" s="297"/>
      <c r="AI230" s="297"/>
      <c r="AJ230" s="297"/>
      <c r="AK230" s="297"/>
      <c r="AL230" s="297"/>
      <c r="AM230" s="297"/>
      <c r="AN230" s="297"/>
      <c r="AO230" s="297"/>
      <c r="AP230" s="297"/>
      <c r="AQ230" s="297"/>
      <c r="AR230" s="297"/>
      <c r="AS230" s="297"/>
      <c r="AT230" s="297"/>
      <c r="AU230" s="297"/>
      <c r="AV230" s="297"/>
      <c r="AW230" s="297"/>
      <c r="AX230" s="297"/>
      <c r="AY230" s="297"/>
      <c r="AZ230" s="297"/>
      <c r="BA230" s="297"/>
      <c r="BB230" s="297"/>
    </row>
    <row r="231" spans="1:54" thickBot="1">
      <c r="A231" s="298"/>
      <c r="B231" s="298"/>
      <c r="C231" s="762"/>
      <c r="D231" s="762"/>
      <c r="E231" s="762"/>
      <c r="F231" s="769"/>
      <c r="G231" s="762"/>
      <c r="H231" s="762"/>
      <c r="I231" s="769"/>
      <c r="J231" s="762"/>
      <c r="K231" s="764"/>
      <c r="L231" s="769"/>
      <c r="M231" s="769"/>
      <c r="N231" s="762"/>
      <c r="O231" s="769"/>
      <c r="P231" s="769"/>
      <c r="Q231" s="762"/>
      <c r="R231" s="769"/>
      <c r="S231" s="769"/>
      <c r="T231" s="762"/>
      <c r="U231" s="769"/>
      <c r="V231" s="762"/>
      <c r="W231" s="762"/>
      <c r="X231" s="770"/>
      <c r="Y231" s="770"/>
      <c r="Z231" s="770"/>
      <c r="AA231" s="297"/>
      <c r="AB231" s="297"/>
      <c r="AC231" s="297"/>
      <c r="AD231" s="297"/>
      <c r="AE231" s="297"/>
      <c r="AF231" s="297"/>
      <c r="AG231" s="297"/>
      <c r="AH231" s="297"/>
      <c r="AI231" s="297"/>
      <c r="AJ231" s="297"/>
      <c r="AK231" s="297"/>
      <c r="AL231" s="297"/>
      <c r="AM231" s="297"/>
      <c r="AN231" s="297"/>
      <c r="AO231" s="297"/>
      <c r="AP231" s="297"/>
      <c r="AQ231" s="297"/>
      <c r="AR231" s="297"/>
      <c r="AS231" s="297"/>
      <c r="AT231" s="297"/>
      <c r="AU231" s="297"/>
      <c r="AV231" s="297"/>
      <c r="AW231" s="297"/>
      <c r="AX231" s="297"/>
      <c r="AY231" s="297"/>
      <c r="AZ231" s="297"/>
      <c r="BA231" s="297"/>
      <c r="BB231" s="297"/>
    </row>
    <row r="232" spans="1:54" thickBot="1">
      <c r="A232" s="298"/>
      <c r="B232" s="298"/>
      <c r="C232" s="762"/>
      <c r="D232" s="762"/>
      <c r="E232" s="762"/>
      <c r="F232" s="769"/>
      <c r="G232" s="762"/>
      <c r="H232" s="762"/>
      <c r="I232" s="769"/>
      <c r="J232" s="762"/>
      <c r="K232" s="764"/>
      <c r="L232" s="769"/>
      <c r="M232" s="769"/>
      <c r="N232" s="762"/>
      <c r="O232" s="769"/>
      <c r="P232" s="769"/>
      <c r="Q232" s="762"/>
      <c r="R232" s="769"/>
      <c r="S232" s="769"/>
      <c r="T232" s="762"/>
      <c r="U232" s="769"/>
      <c r="V232" s="762"/>
      <c r="W232" s="762"/>
      <c r="X232" s="770"/>
      <c r="Y232" s="770"/>
      <c r="Z232" s="770"/>
      <c r="AA232" s="297"/>
      <c r="AB232" s="297"/>
      <c r="AC232" s="297"/>
      <c r="AD232" s="297"/>
      <c r="AE232" s="297"/>
      <c r="AF232" s="297"/>
      <c r="AG232" s="297"/>
      <c r="AH232" s="297"/>
      <c r="AI232" s="297"/>
      <c r="AJ232" s="297"/>
      <c r="AK232" s="297"/>
      <c r="AL232" s="297"/>
      <c r="AM232" s="297"/>
      <c r="AN232" s="297"/>
      <c r="AO232" s="297"/>
      <c r="AP232" s="297"/>
      <c r="AQ232" s="297"/>
      <c r="AR232" s="297"/>
      <c r="AS232" s="297"/>
      <c r="AT232" s="297"/>
      <c r="AU232" s="297"/>
      <c r="AV232" s="297"/>
      <c r="AW232" s="297"/>
      <c r="AX232" s="297"/>
      <c r="AY232" s="297"/>
      <c r="AZ232" s="297"/>
      <c r="BA232" s="297"/>
      <c r="BB232" s="297"/>
    </row>
    <row r="233" spans="1:54" thickBot="1">
      <c r="A233" s="298"/>
      <c r="B233" s="298"/>
      <c r="C233" s="762"/>
      <c r="D233" s="762"/>
      <c r="E233" s="762"/>
      <c r="F233" s="769"/>
      <c r="G233" s="762"/>
      <c r="H233" s="762"/>
      <c r="I233" s="769"/>
      <c r="J233" s="762"/>
      <c r="K233" s="764"/>
      <c r="L233" s="769"/>
      <c r="M233" s="769"/>
      <c r="N233" s="762"/>
      <c r="O233" s="769"/>
      <c r="P233" s="769"/>
      <c r="Q233" s="762"/>
      <c r="R233" s="769"/>
      <c r="S233" s="769"/>
      <c r="T233" s="762"/>
      <c r="U233" s="769"/>
      <c r="V233" s="762"/>
      <c r="W233" s="762"/>
      <c r="X233" s="770"/>
      <c r="Y233" s="770"/>
      <c r="Z233" s="770"/>
      <c r="AA233" s="297"/>
      <c r="AB233" s="297"/>
      <c r="AC233" s="297"/>
      <c r="AD233" s="297"/>
      <c r="AE233" s="297"/>
      <c r="AF233" s="297"/>
      <c r="AG233" s="297"/>
      <c r="AH233" s="297"/>
      <c r="AI233" s="297"/>
      <c r="AJ233" s="297"/>
      <c r="AK233" s="297"/>
      <c r="AL233" s="297"/>
      <c r="AM233" s="297"/>
      <c r="AN233" s="297"/>
      <c r="AO233" s="297"/>
      <c r="AP233" s="297"/>
      <c r="AQ233" s="297"/>
      <c r="AR233" s="297"/>
      <c r="AS233" s="297"/>
      <c r="AT233" s="297"/>
      <c r="AU233" s="297"/>
      <c r="AV233" s="297"/>
      <c r="AW233" s="297"/>
      <c r="AX233" s="297"/>
      <c r="AY233" s="297"/>
      <c r="AZ233" s="297"/>
      <c r="BA233" s="297"/>
      <c r="BB233" s="297"/>
    </row>
    <row r="234" spans="1:54" thickBot="1">
      <c r="A234" s="298"/>
      <c r="B234" s="298"/>
      <c r="C234" s="762"/>
      <c r="D234" s="762"/>
      <c r="E234" s="762"/>
      <c r="F234" s="769"/>
      <c r="G234" s="762"/>
      <c r="H234" s="762"/>
      <c r="I234" s="769"/>
      <c r="J234" s="762"/>
      <c r="K234" s="764"/>
      <c r="L234" s="769"/>
      <c r="M234" s="769"/>
      <c r="N234" s="762"/>
      <c r="O234" s="769"/>
      <c r="P234" s="769"/>
      <c r="Q234" s="762"/>
      <c r="R234" s="769"/>
      <c r="S234" s="769"/>
      <c r="T234" s="762"/>
      <c r="U234" s="769"/>
      <c r="V234" s="762"/>
      <c r="W234" s="762"/>
      <c r="X234" s="770"/>
      <c r="Y234" s="770"/>
      <c r="Z234" s="770"/>
      <c r="AA234" s="297"/>
      <c r="AB234" s="297"/>
      <c r="AC234" s="297"/>
      <c r="AD234" s="297"/>
      <c r="AE234" s="297"/>
      <c r="AF234" s="297"/>
      <c r="AG234" s="297"/>
      <c r="AH234" s="297"/>
      <c r="AI234" s="297"/>
      <c r="AJ234" s="297"/>
      <c r="AK234" s="297"/>
      <c r="AL234" s="297"/>
      <c r="AM234" s="297"/>
      <c r="AN234" s="297"/>
      <c r="AO234" s="297"/>
      <c r="AP234" s="297"/>
      <c r="AQ234" s="297"/>
      <c r="AR234" s="297"/>
      <c r="AS234" s="297"/>
      <c r="AT234" s="297"/>
      <c r="AU234" s="297"/>
      <c r="AV234" s="297"/>
      <c r="AW234" s="297"/>
      <c r="AX234" s="297"/>
      <c r="AY234" s="297"/>
      <c r="AZ234" s="297"/>
      <c r="BA234" s="297"/>
      <c r="BB234" s="297"/>
    </row>
    <row r="235" spans="1:54" thickBot="1">
      <c r="A235" s="298"/>
      <c r="B235" s="298"/>
      <c r="C235" s="762"/>
      <c r="D235" s="762"/>
      <c r="E235" s="762"/>
      <c r="F235" s="769"/>
      <c r="G235" s="762"/>
      <c r="H235" s="762"/>
      <c r="I235" s="769"/>
      <c r="J235" s="762"/>
      <c r="K235" s="764"/>
      <c r="L235" s="769"/>
      <c r="M235" s="769"/>
      <c r="N235" s="762"/>
      <c r="O235" s="769"/>
      <c r="P235" s="769"/>
      <c r="Q235" s="762"/>
      <c r="R235" s="769"/>
      <c r="S235" s="769"/>
      <c r="T235" s="762"/>
      <c r="U235" s="769"/>
      <c r="V235" s="762"/>
      <c r="W235" s="762"/>
      <c r="X235" s="770"/>
      <c r="Y235" s="770"/>
      <c r="Z235" s="770"/>
      <c r="AA235" s="297"/>
      <c r="AB235" s="297"/>
      <c r="AC235" s="297"/>
      <c r="AD235" s="297"/>
      <c r="AE235" s="297"/>
      <c r="AF235" s="297"/>
      <c r="AG235" s="297"/>
      <c r="AH235" s="297"/>
      <c r="AI235" s="297"/>
      <c r="AJ235" s="297"/>
      <c r="AK235" s="297"/>
      <c r="AL235" s="297"/>
      <c r="AM235" s="297"/>
      <c r="AN235" s="297"/>
      <c r="AO235" s="297"/>
      <c r="AP235" s="297"/>
      <c r="AQ235" s="297"/>
      <c r="AR235" s="297"/>
      <c r="AS235" s="297"/>
      <c r="AT235" s="297"/>
      <c r="AU235" s="297"/>
      <c r="AV235" s="297"/>
      <c r="AW235" s="297"/>
      <c r="AX235" s="297"/>
      <c r="AY235" s="297"/>
      <c r="AZ235" s="297"/>
      <c r="BA235" s="297"/>
      <c r="BB235" s="297"/>
    </row>
    <row r="236" spans="1:54" thickBot="1">
      <c r="A236" s="298"/>
      <c r="B236" s="298"/>
      <c r="C236" s="762"/>
      <c r="D236" s="762"/>
      <c r="E236" s="762"/>
      <c r="F236" s="769"/>
      <c r="G236" s="762"/>
      <c r="H236" s="762"/>
      <c r="I236" s="769"/>
      <c r="J236" s="762"/>
      <c r="K236" s="764"/>
      <c r="L236" s="769"/>
      <c r="M236" s="769"/>
      <c r="N236" s="762"/>
      <c r="O236" s="769"/>
      <c r="P236" s="769"/>
      <c r="Q236" s="762"/>
      <c r="R236" s="769"/>
      <c r="S236" s="769"/>
      <c r="T236" s="762"/>
      <c r="U236" s="769"/>
      <c r="V236" s="762"/>
      <c r="W236" s="762"/>
      <c r="X236" s="770"/>
      <c r="Y236" s="770"/>
      <c r="Z236" s="770"/>
      <c r="AA236" s="297"/>
      <c r="AB236" s="297"/>
      <c r="AC236" s="297"/>
      <c r="AD236" s="297"/>
      <c r="AE236" s="297"/>
      <c r="AF236" s="297"/>
      <c r="AG236" s="297"/>
      <c r="AH236" s="297"/>
      <c r="AI236" s="297"/>
      <c r="AJ236" s="297"/>
      <c r="AK236" s="297"/>
      <c r="AL236" s="297"/>
      <c r="AM236" s="297"/>
      <c r="AN236" s="297"/>
      <c r="AO236" s="297"/>
      <c r="AP236" s="297"/>
      <c r="AQ236" s="297"/>
      <c r="AR236" s="297"/>
      <c r="AS236" s="297"/>
      <c r="AT236" s="297"/>
      <c r="AU236" s="297"/>
      <c r="AV236" s="297"/>
      <c r="AW236" s="297"/>
      <c r="AX236" s="297"/>
      <c r="AY236" s="297"/>
      <c r="AZ236" s="297"/>
      <c r="BA236" s="297"/>
      <c r="BB236" s="297"/>
    </row>
    <row r="237" spans="1:54" thickBot="1">
      <c r="A237" s="298"/>
      <c r="B237" s="298"/>
      <c r="C237" s="762"/>
      <c r="D237" s="762"/>
      <c r="E237" s="762"/>
      <c r="F237" s="769"/>
      <c r="G237" s="762"/>
      <c r="H237" s="762"/>
      <c r="I237" s="769"/>
      <c r="J237" s="762"/>
      <c r="K237" s="764"/>
      <c r="L237" s="769"/>
      <c r="M237" s="769"/>
      <c r="N237" s="762"/>
      <c r="O237" s="769"/>
      <c r="P237" s="769"/>
      <c r="Q237" s="762"/>
      <c r="R237" s="769"/>
      <c r="S237" s="769"/>
      <c r="T237" s="762"/>
      <c r="U237" s="769"/>
      <c r="V237" s="762"/>
      <c r="W237" s="762"/>
      <c r="X237" s="770"/>
      <c r="Y237" s="770"/>
      <c r="Z237" s="770"/>
      <c r="AA237" s="297"/>
      <c r="AB237" s="297"/>
      <c r="AC237" s="297"/>
      <c r="AD237" s="297"/>
      <c r="AE237" s="297"/>
      <c r="AF237" s="297"/>
      <c r="AG237" s="297"/>
      <c r="AH237" s="297"/>
      <c r="AI237" s="297"/>
      <c r="AJ237" s="297"/>
      <c r="AK237" s="297"/>
      <c r="AL237" s="297"/>
      <c r="AM237" s="297"/>
      <c r="AN237" s="297"/>
      <c r="AO237" s="297"/>
      <c r="AP237" s="297"/>
      <c r="AQ237" s="297"/>
      <c r="AR237" s="297"/>
      <c r="AS237" s="297"/>
      <c r="AT237" s="297"/>
      <c r="AU237" s="297"/>
      <c r="AV237" s="297"/>
      <c r="AW237" s="297"/>
      <c r="AX237" s="297"/>
      <c r="AY237" s="297"/>
      <c r="AZ237" s="297"/>
      <c r="BA237" s="297"/>
      <c r="BB237" s="297"/>
    </row>
    <row r="238" spans="1:54" thickBot="1">
      <c r="A238" s="298"/>
      <c r="B238" s="298"/>
      <c r="C238" s="762"/>
      <c r="D238" s="762"/>
      <c r="E238" s="762"/>
      <c r="F238" s="769"/>
      <c r="G238" s="762"/>
      <c r="H238" s="762"/>
      <c r="I238" s="769"/>
      <c r="J238" s="762"/>
      <c r="K238" s="764"/>
      <c r="L238" s="769"/>
      <c r="M238" s="769"/>
      <c r="N238" s="762"/>
      <c r="O238" s="769"/>
      <c r="P238" s="769"/>
      <c r="Q238" s="762"/>
      <c r="R238" s="769"/>
      <c r="S238" s="769"/>
      <c r="T238" s="762"/>
      <c r="U238" s="769"/>
      <c r="V238" s="762"/>
      <c r="W238" s="762"/>
      <c r="X238" s="770"/>
      <c r="Y238" s="770"/>
      <c r="Z238" s="770"/>
      <c r="AA238" s="297"/>
      <c r="AB238" s="297"/>
      <c r="AC238" s="297"/>
      <c r="AD238" s="297"/>
      <c r="AE238" s="297"/>
      <c r="AF238" s="297"/>
      <c r="AG238" s="297"/>
      <c r="AH238" s="297"/>
      <c r="AI238" s="297"/>
      <c r="AJ238" s="297"/>
      <c r="AK238" s="297"/>
      <c r="AL238" s="297"/>
      <c r="AM238" s="297"/>
      <c r="AN238" s="297"/>
      <c r="AO238" s="297"/>
      <c r="AP238" s="297"/>
      <c r="AQ238" s="297"/>
      <c r="AR238" s="297"/>
      <c r="AS238" s="297"/>
      <c r="AT238" s="297"/>
      <c r="AU238" s="297"/>
      <c r="AV238" s="297"/>
      <c r="AW238" s="297"/>
      <c r="AX238" s="297"/>
      <c r="AY238" s="297"/>
      <c r="AZ238" s="297"/>
      <c r="BA238" s="297"/>
      <c r="BB238" s="297"/>
    </row>
    <row r="239" spans="1:54" thickBot="1">
      <c r="A239" s="298"/>
      <c r="B239" s="298"/>
      <c r="C239" s="762"/>
      <c r="D239" s="762"/>
      <c r="E239" s="762"/>
      <c r="F239" s="769"/>
      <c r="G239" s="762"/>
      <c r="H239" s="762"/>
      <c r="I239" s="769"/>
      <c r="J239" s="762"/>
      <c r="K239" s="764"/>
      <c r="L239" s="769"/>
      <c r="M239" s="769"/>
      <c r="N239" s="762"/>
      <c r="O239" s="769"/>
      <c r="P239" s="769"/>
      <c r="Q239" s="762"/>
      <c r="R239" s="769"/>
      <c r="S239" s="769"/>
      <c r="T239" s="762"/>
      <c r="U239" s="769"/>
      <c r="V239" s="762"/>
      <c r="W239" s="762"/>
      <c r="X239" s="770"/>
      <c r="Y239" s="770"/>
      <c r="Z239" s="770"/>
      <c r="AA239" s="297"/>
      <c r="AB239" s="297"/>
      <c r="AC239" s="297"/>
      <c r="AD239" s="297"/>
      <c r="AE239" s="297"/>
      <c r="AF239" s="297"/>
      <c r="AG239" s="297"/>
      <c r="AH239" s="297"/>
      <c r="AI239" s="297"/>
      <c r="AJ239" s="297"/>
      <c r="AK239" s="297"/>
      <c r="AL239" s="297"/>
      <c r="AM239" s="297"/>
      <c r="AN239" s="297"/>
      <c r="AO239" s="297"/>
      <c r="AP239" s="297"/>
      <c r="AQ239" s="297"/>
      <c r="AR239" s="297"/>
      <c r="AS239" s="297"/>
      <c r="AT239" s="297"/>
      <c r="AU239" s="297"/>
      <c r="AV239" s="297"/>
      <c r="AW239" s="297"/>
      <c r="AX239" s="297"/>
      <c r="AY239" s="297"/>
      <c r="AZ239" s="297"/>
      <c r="BA239" s="297"/>
      <c r="BB239" s="297"/>
    </row>
    <row r="240" spans="1:54" thickBot="1">
      <c r="A240" s="298"/>
      <c r="B240" s="298"/>
      <c r="C240" s="762"/>
      <c r="D240" s="762"/>
      <c r="E240" s="762"/>
      <c r="F240" s="769"/>
      <c r="G240" s="762"/>
      <c r="H240" s="762"/>
      <c r="I240" s="769"/>
      <c r="J240" s="762"/>
      <c r="K240" s="764"/>
      <c r="L240" s="769"/>
      <c r="M240" s="769"/>
      <c r="N240" s="762"/>
      <c r="O240" s="769"/>
      <c r="P240" s="769"/>
      <c r="Q240" s="762"/>
      <c r="R240" s="769"/>
      <c r="S240" s="769"/>
      <c r="T240" s="762"/>
      <c r="U240" s="769"/>
      <c r="V240" s="762"/>
      <c r="W240" s="762"/>
      <c r="X240" s="770"/>
      <c r="Y240" s="770"/>
      <c r="Z240" s="770"/>
      <c r="AA240" s="297"/>
      <c r="AB240" s="297"/>
      <c r="AC240" s="297"/>
      <c r="AD240" s="297"/>
      <c r="AE240" s="297"/>
      <c r="AF240" s="297"/>
      <c r="AG240" s="297"/>
      <c r="AH240" s="297"/>
      <c r="AI240" s="297"/>
      <c r="AJ240" s="297"/>
      <c r="AK240" s="297"/>
      <c r="AL240" s="297"/>
      <c r="AM240" s="297"/>
      <c r="AN240" s="297"/>
      <c r="AO240" s="297"/>
      <c r="AP240" s="297"/>
      <c r="AQ240" s="297"/>
      <c r="AR240" s="297"/>
      <c r="AS240" s="297"/>
      <c r="AT240" s="297"/>
      <c r="AU240" s="297"/>
      <c r="AV240" s="297"/>
      <c r="AW240" s="297"/>
      <c r="AX240" s="297"/>
      <c r="AY240" s="297"/>
      <c r="AZ240" s="297"/>
      <c r="BA240" s="297"/>
      <c r="BB240" s="297"/>
    </row>
    <row r="241" spans="1:54" thickBot="1">
      <c r="A241" s="298"/>
      <c r="B241" s="298"/>
      <c r="C241" s="298"/>
      <c r="D241" s="298"/>
      <c r="E241" s="298"/>
      <c r="F241" s="282"/>
      <c r="G241" s="298"/>
      <c r="H241" s="298"/>
      <c r="I241" s="282"/>
      <c r="J241" s="298"/>
      <c r="K241" s="566"/>
      <c r="L241" s="282"/>
      <c r="M241" s="282"/>
      <c r="N241" s="298"/>
      <c r="O241" s="282"/>
      <c r="P241" s="282"/>
      <c r="Q241" s="298"/>
      <c r="R241" s="282"/>
      <c r="S241" s="282"/>
      <c r="T241" s="298"/>
      <c r="U241" s="282"/>
      <c r="V241" s="298"/>
      <c r="W241" s="298"/>
      <c r="X241" s="297"/>
      <c r="Y241" s="297"/>
      <c r="Z241" s="297"/>
      <c r="AA241" s="297"/>
      <c r="AB241" s="297"/>
      <c r="AC241" s="297"/>
      <c r="AD241" s="297"/>
      <c r="AE241" s="297"/>
      <c r="AF241" s="297"/>
      <c r="AG241" s="297"/>
      <c r="AH241" s="297"/>
      <c r="AI241" s="297"/>
      <c r="AJ241" s="297"/>
      <c r="AK241" s="297"/>
      <c r="AL241" s="297"/>
      <c r="AM241" s="297"/>
      <c r="AN241" s="297"/>
      <c r="AO241" s="297"/>
      <c r="AP241" s="297"/>
      <c r="AQ241" s="297"/>
      <c r="AR241" s="297"/>
      <c r="AS241" s="297"/>
      <c r="AT241" s="297"/>
      <c r="AU241" s="297"/>
      <c r="AV241" s="297"/>
      <c r="AW241" s="297"/>
      <c r="AX241" s="297"/>
      <c r="AY241" s="297"/>
      <c r="AZ241" s="297"/>
      <c r="BA241" s="297"/>
      <c r="BB241" s="297"/>
    </row>
    <row r="242" spans="1:54" thickBot="1">
      <c r="A242" s="298"/>
      <c r="B242" s="298"/>
      <c r="C242" s="298"/>
      <c r="D242" s="298"/>
      <c r="E242" s="298"/>
      <c r="F242" s="282"/>
      <c r="G242" s="298"/>
      <c r="H242" s="298"/>
      <c r="I242" s="282"/>
      <c r="J242" s="298"/>
      <c r="K242" s="566"/>
      <c r="L242" s="282"/>
      <c r="M242" s="282"/>
      <c r="N242" s="298"/>
      <c r="O242" s="282"/>
      <c r="P242" s="282"/>
      <c r="Q242" s="298"/>
      <c r="R242" s="282"/>
      <c r="S242" s="282"/>
      <c r="T242" s="298"/>
      <c r="U242" s="282"/>
      <c r="V242" s="298"/>
      <c r="W242" s="298"/>
      <c r="X242" s="297"/>
      <c r="Y242" s="297"/>
      <c r="Z242" s="297"/>
      <c r="AA242" s="297"/>
      <c r="AB242" s="297"/>
      <c r="AC242" s="297"/>
      <c r="AD242" s="297"/>
      <c r="AE242" s="297"/>
      <c r="AF242" s="297"/>
      <c r="AG242" s="297"/>
      <c r="AH242" s="297"/>
      <c r="AI242" s="297"/>
      <c r="AJ242" s="297"/>
      <c r="AK242" s="297"/>
      <c r="AL242" s="297"/>
      <c r="AM242" s="297"/>
      <c r="AN242" s="297"/>
      <c r="AO242" s="297"/>
      <c r="AP242" s="297"/>
      <c r="AQ242" s="297"/>
      <c r="AR242" s="297"/>
      <c r="AS242" s="297"/>
      <c r="AT242" s="297"/>
      <c r="AU242" s="297"/>
      <c r="AV242" s="297"/>
      <c r="AW242" s="297"/>
      <c r="AX242" s="297"/>
      <c r="AY242" s="297"/>
      <c r="AZ242" s="297"/>
      <c r="BA242" s="297"/>
      <c r="BB242" s="297"/>
    </row>
    <row r="243" spans="1:54" thickBot="1">
      <c r="A243" s="298"/>
      <c r="B243" s="298"/>
      <c r="C243" s="298"/>
      <c r="D243" s="298"/>
      <c r="E243" s="298"/>
      <c r="F243" s="282"/>
      <c r="G243" s="298"/>
      <c r="H243" s="298"/>
      <c r="I243" s="282"/>
      <c r="J243" s="298"/>
      <c r="K243" s="566"/>
      <c r="L243" s="282"/>
      <c r="M243" s="282"/>
      <c r="N243" s="298"/>
      <c r="O243" s="282"/>
      <c r="P243" s="282"/>
      <c r="Q243" s="298"/>
      <c r="R243" s="282"/>
      <c r="S243" s="282"/>
      <c r="T243" s="298"/>
      <c r="U243" s="282"/>
      <c r="V243" s="298"/>
      <c r="W243" s="298"/>
      <c r="X243" s="297"/>
      <c r="Y243" s="297"/>
      <c r="Z243" s="297"/>
      <c r="AA243" s="297"/>
      <c r="AB243" s="297"/>
      <c r="AC243" s="297"/>
      <c r="AD243" s="297"/>
      <c r="AE243" s="297"/>
      <c r="AF243" s="297"/>
      <c r="AG243" s="297"/>
      <c r="AH243" s="297"/>
      <c r="AI243" s="297"/>
      <c r="AJ243" s="297"/>
      <c r="AK243" s="297"/>
      <c r="AL243" s="297"/>
      <c r="AM243" s="297"/>
      <c r="AN243" s="297"/>
      <c r="AO243" s="297"/>
      <c r="AP243" s="297"/>
      <c r="AQ243" s="297"/>
      <c r="AR243" s="297"/>
      <c r="AS243" s="297"/>
      <c r="AT243" s="297"/>
      <c r="AU243" s="297"/>
      <c r="AV243" s="297"/>
      <c r="AW243" s="297"/>
      <c r="AX243" s="297"/>
      <c r="AY243" s="297"/>
      <c r="AZ243" s="297"/>
      <c r="BA243" s="297"/>
      <c r="BB243" s="297"/>
    </row>
    <row r="244" spans="1:54" thickBot="1">
      <c r="A244" s="298"/>
      <c r="B244" s="298"/>
      <c r="C244" s="298"/>
      <c r="D244" s="298"/>
      <c r="E244" s="298"/>
      <c r="F244" s="282"/>
      <c r="G244" s="298"/>
      <c r="H244" s="298"/>
      <c r="I244" s="282"/>
      <c r="J244" s="298"/>
      <c r="K244" s="566"/>
      <c r="L244" s="282"/>
      <c r="M244" s="282"/>
      <c r="N244" s="298"/>
      <c r="O244" s="282"/>
      <c r="P244" s="282"/>
      <c r="Q244" s="298"/>
      <c r="R244" s="282"/>
      <c r="S244" s="282"/>
      <c r="T244" s="298"/>
      <c r="U244" s="282"/>
      <c r="V244" s="298"/>
      <c r="W244" s="298"/>
      <c r="X244" s="297"/>
      <c r="Y244" s="297"/>
      <c r="Z244" s="297"/>
      <c r="AA244" s="297"/>
      <c r="AB244" s="297"/>
      <c r="AC244" s="297"/>
      <c r="AD244" s="297"/>
      <c r="AE244" s="297"/>
      <c r="AF244" s="297"/>
      <c r="AG244" s="297"/>
      <c r="AH244" s="297"/>
      <c r="AI244" s="297"/>
      <c r="AJ244" s="297"/>
      <c r="AK244" s="297"/>
      <c r="AL244" s="297"/>
      <c r="AM244" s="297"/>
      <c r="AN244" s="297"/>
      <c r="AO244" s="297"/>
      <c r="AP244" s="297"/>
      <c r="AQ244" s="297"/>
      <c r="AR244" s="297"/>
      <c r="AS244" s="297"/>
      <c r="AT244" s="297"/>
      <c r="AU244" s="297"/>
      <c r="AV244" s="297"/>
      <c r="AW244" s="297"/>
      <c r="AX244" s="297"/>
      <c r="AY244" s="297"/>
      <c r="AZ244" s="297"/>
      <c r="BA244" s="297"/>
      <c r="BB244" s="297"/>
    </row>
    <row r="245" spans="1:54" thickBot="1">
      <c r="A245" s="298"/>
      <c r="B245" s="298"/>
      <c r="C245" s="298"/>
      <c r="D245" s="298"/>
      <c r="E245" s="298"/>
      <c r="F245" s="282"/>
      <c r="G245" s="298"/>
      <c r="H245" s="298"/>
      <c r="I245" s="282"/>
      <c r="J245" s="298"/>
      <c r="K245" s="566"/>
      <c r="L245" s="282"/>
      <c r="M245" s="282"/>
      <c r="N245" s="298"/>
      <c r="O245" s="282"/>
      <c r="P245" s="282"/>
      <c r="Q245" s="298"/>
      <c r="R245" s="282"/>
      <c r="S245" s="282"/>
      <c r="T245" s="298"/>
      <c r="U245" s="282"/>
      <c r="V245" s="298"/>
      <c r="W245" s="298"/>
      <c r="X245" s="297"/>
      <c r="Y245" s="297"/>
      <c r="Z245" s="297"/>
      <c r="AA245" s="297"/>
      <c r="AB245" s="297"/>
      <c r="AC245" s="297"/>
      <c r="AD245" s="297"/>
      <c r="AE245" s="297"/>
      <c r="AF245" s="297"/>
      <c r="AG245" s="297"/>
      <c r="AH245" s="297"/>
      <c r="AI245" s="297"/>
      <c r="AJ245" s="297"/>
      <c r="AK245" s="297"/>
      <c r="AL245" s="297"/>
      <c r="AM245" s="297"/>
      <c r="AN245" s="297"/>
      <c r="AO245" s="297"/>
      <c r="AP245" s="297"/>
      <c r="AQ245" s="297"/>
      <c r="AR245" s="297"/>
      <c r="AS245" s="297"/>
      <c r="AT245" s="297"/>
      <c r="AU245" s="297"/>
      <c r="AV245" s="297"/>
      <c r="AW245" s="297"/>
      <c r="AX245" s="297"/>
      <c r="AY245" s="297"/>
      <c r="AZ245" s="297"/>
      <c r="BA245" s="297"/>
      <c r="BB245" s="297"/>
    </row>
    <row r="246" spans="1:54" thickBot="1">
      <c r="A246" s="298"/>
      <c r="B246" s="298"/>
      <c r="C246" s="298"/>
      <c r="D246" s="298"/>
      <c r="E246" s="298"/>
      <c r="F246" s="282"/>
      <c r="G246" s="298"/>
      <c r="H246" s="298"/>
      <c r="I246" s="282"/>
      <c r="J246" s="298"/>
      <c r="K246" s="566"/>
      <c r="L246" s="282"/>
      <c r="M246" s="282"/>
      <c r="N246" s="298"/>
      <c r="O246" s="282"/>
      <c r="P246" s="282"/>
      <c r="Q246" s="298"/>
      <c r="R246" s="282"/>
      <c r="S246" s="282"/>
      <c r="T246" s="298"/>
      <c r="U246" s="282"/>
      <c r="V246" s="298"/>
      <c r="W246" s="298"/>
      <c r="X246" s="297"/>
      <c r="Y246" s="297"/>
      <c r="Z246" s="297"/>
      <c r="AA246" s="297"/>
      <c r="AB246" s="297"/>
      <c r="AC246" s="297"/>
      <c r="AD246" s="297"/>
      <c r="AE246" s="297"/>
      <c r="AF246" s="297"/>
      <c r="AG246" s="297"/>
      <c r="AH246" s="297"/>
      <c r="AI246" s="297"/>
      <c r="AJ246" s="297"/>
      <c r="AK246" s="297"/>
      <c r="AL246" s="297"/>
      <c r="AM246" s="297"/>
      <c r="AN246" s="297"/>
      <c r="AO246" s="297"/>
      <c r="AP246" s="297"/>
      <c r="AQ246" s="297"/>
      <c r="AR246" s="297"/>
      <c r="AS246" s="297"/>
      <c r="AT246" s="297"/>
      <c r="AU246" s="297"/>
      <c r="AV246" s="297"/>
      <c r="AW246" s="297"/>
      <c r="AX246" s="297"/>
      <c r="AY246" s="297"/>
      <c r="AZ246" s="297"/>
      <c r="BA246" s="297"/>
      <c r="BB246" s="297"/>
    </row>
    <row r="247" spans="1:54" thickBot="1">
      <c r="A247" s="298"/>
      <c r="B247" s="298"/>
      <c r="C247" s="298"/>
      <c r="D247" s="298"/>
      <c r="E247" s="298"/>
      <c r="F247" s="282"/>
      <c r="G247" s="298"/>
      <c r="H247" s="298"/>
      <c r="I247" s="282"/>
      <c r="J247" s="298"/>
      <c r="K247" s="566"/>
      <c r="L247" s="282"/>
      <c r="M247" s="282"/>
      <c r="N247" s="298"/>
      <c r="O247" s="282"/>
      <c r="P247" s="282"/>
      <c r="Q247" s="298"/>
      <c r="R247" s="282"/>
      <c r="S247" s="282"/>
      <c r="T247" s="298"/>
      <c r="U247" s="282"/>
      <c r="V247" s="298"/>
      <c r="W247" s="298"/>
      <c r="X247" s="297"/>
      <c r="Y247" s="297"/>
      <c r="Z247" s="297"/>
      <c r="AA247" s="297"/>
      <c r="AB247" s="297"/>
      <c r="AC247" s="297"/>
      <c r="AD247" s="297"/>
      <c r="AE247" s="297"/>
      <c r="AF247" s="297"/>
      <c r="AG247" s="297"/>
      <c r="AH247" s="297"/>
      <c r="AI247" s="297"/>
      <c r="AJ247" s="297"/>
      <c r="AK247" s="297"/>
      <c r="AL247" s="297"/>
      <c r="AM247" s="297"/>
      <c r="AN247" s="297"/>
      <c r="AO247" s="297"/>
      <c r="AP247" s="297"/>
      <c r="AQ247" s="297"/>
      <c r="AR247" s="297"/>
      <c r="AS247" s="297"/>
      <c r="AT247" s="297"/>
      <c r="AU247" s="297"/>
      <c r="AV247" s="297"/>
      <c r="AW247" s="297"/>
      <c r="AX247" s="297"/>
      <c r="AY247" s="297"/>
      <c r="AZ247" s="297"/>
      <c r="BA247" s="297"/>
      <c r="BB247" s="297"/>
    </row>
    <row r="248" spans="1:54" thickBot="1">
      <c r="A248" s="298"/>
      <c r="B248" s="298"/>
      <c r="C248" s="298"/>
      <c r="D248" s="298"/>
      <c r="E248" s="298"/>
      <c r="F248" s="282"/>
      <c r="G248" s="298"/>
      <c r="H248" s="298"/>
      <c r="I248" s="282"/>
      <c r="J248" s="298"/>
      <c r="K248" s="566"/>
      <c r="L248" s="282"/>
      <c r="M248" s="282"/>
      <c r="N248" s="298"/>
      <c r="O248" s="282"/>
      <c r="P248" s="282"/>
      <c r="Q248" s="298"/>
      <c r="R248" s="282"/>
      <c r="S248" s="282"/>
      <c r="T248" s="298"/>
      <c r="U248" s="282"/>
      <c r="V248" s="298"/>
      <c r="W248" s="298"/>
      <c r="X248" s="297"/>
      <c r="Y248" s="297"/>
      <c r="Z248" s="297"/>
      <c r="AA248" s="297"/>
      <c r="AB248" s="297"/>
      <c r="AC248" s="297"/>
      <c r="AD248" s="297"/>
      <c r="AE248" s="297"/>
      <c r="AF248" s="297"/>
      <c r="AG248" s="297"/>
      <c r="AH248" s="297"/>
      <c r="AI248" s="297"/>
      <c r="AJ248" s="297"/>
      <c r="AK248" s="297"/>
      <c r="AL248" s="297"/>
      <c r="AM248" s="297"/>
      <c r="AN248" s="297"/>
      <c r="AO248" s="297"/>
      <c r="AP248" s="297"/>
      <c r="AQ248" s="297"/>
      <c r="AR248" s="297"/>
      <c r="AS248" s="297"/>
      <c r="AT248" s="297"/>
      <c r="AU248" s="297"/>
      <c r="AV248" s="297"/>
      <c r="AW248" s="297"/>
      <c r="AX248" s="297"/>
      <c r="AY248" s="297"/>
      <c r="AZ248" s="297"/>
      <c r="BA248" s="297"/>
      <c r="BB248" s="297"/>
    </row>
    <row r="249" spans="1:54" thickBot="1">
      <c r="A249" s="298"/>
      <c r="B249" s="298"/>
      <c r="C249" s="298"/>
      <c r="D249" s="298"/>
      <c r="E249" s="298"/>
      <c r="F249" s="282"/>
      <c r="G249" s="298"/>
      <c r="H249" s="298"/>
      <c r="I249" s="282"/>
      <c r="J249" s="298"/>
      <c r="K249" s="566"/>
      <c r="L249" s="282"/>
      <c r="M249" s="282"/>
      <c r="N249" s="298"/>
      <c r="O249" s="282"/>
      <c r="P249" s="282"/>
      <c r="Q249" s="298"/>
      <c r="R249" s="282"/>
      <c r="S249" s="282"/>
      <c r="T249" s="298"/>
      <c r="U249" s="282"/>
      <c r="V249" s="298"/>
      <c r="W249" s="298"/>
      <c r="X249" s="297"/>
      <c r="Y249" s="297"/>
      <c r="Z249" s="297"/>
      <c r="AA249" s="297"/>
      <c r="AB249" s="297"/>
      <c r="AC249" s="297"/>
      <c r="AD249" s="297"/>
      <c r="AE249" s="297"/>
      <c r="AF249" s="297"/>
      <c r="AG249" s="297"/>
      <c r="AH249" s="297"/>
      <c r="AI249" s="297"/>
      <c r="AJ249" s="297"/>
      <c r="AK249" s="297"/>
      <c r="AL249" s="297"/>
      <c r="AM249" s="297"/>
      <c r="AN249" s="297"/>
      <c r="AO249" s="297"/>
      <c r="AP249" s="297"/>
      <c r="AQ249" s="297"/>
      <c r="AR249" s="297"/>
      <c r="AS249" s="297"/>
      <c r="AT249" s="297"/>
      <c r="AU249" s="297"/>
      <c r="AV249" s="297"/>
      <c r="AW249" s="297"/>
      <c r="AX249" s="297"/>
      <c r="AY249" s="297"/>
      <c r="AZ249" s="297"/>
      <c r="BA249" s="297"/>
      <c r="BB249" s="297"/>
    </row>
    <row r="250" spans="1:54" thickBot="1">
      <c r="A250" s="298"/>
      <c r="B250" s="298"/>
      <c r="C250" s="298"/>
      <c r="D250" s="298"/>
      <c r="E250" s="298"/>
      <c r="F250" s="282"/>
      <c r="G250" s="298"/>
      <c r="H250" s="298"/>
      <c r="I250" s="282"/>
      <c r="J250" s="298"/>
      <c r="K250" s="566"/>
      <c r="L250" s="282"/>
      <c r="M250" s="282"/>
      <c r="N250" s="298"/>
      <c r="O250" s="282"/>
      <c r="P250" s="282"/>
      <c r="Q250" s="298"/>
      <c r="R250" s="282"/>
      <c r="S250" s="282"/>
      <c r="T250" s="298"/>
      <c r="U250" s="282"/>
      <c r="V250" s="298"/>
      <c r="W250" s="298"/>
      <c r="X250" s="297"/>
      <c r="Y250" s="297"/>
      <c r="Z250" s="297"/>
      <c r="AA250" s="297"/>
      <c r="AB250" s="297"/>
      <c r="AC250" s="297"/>
      <c r="AD250" s="297"/>
      <c r="AE250" s="297"/>
      <c r="AF250" s="297"/>
      <c r="AG250" s="297"/>
      <c r="AH250" s="297"/>
      <c r="AI250" s="297"/>
      <c r="AJ250" s="297"/>
      <c r="AK250" s="297"/>
      <c r="AL250" s="297"/>
      <c r="AM250" s="297"/>
      <c r="AN250" s="297"/>
      <c r="AO250" s="297"/>
      <c r="AP250" s="297"/>
      <c r="AQ250" s="297"/>
      <c r="AR250" s="297"/>
      <c r="AS250" s="297"/>
      <c r="AT250" s="297"/>
      <c r="AU250" s="297"/>
      <c r="AV250" s="297"/>
      <c r="AW250" s="297"/>
      <c r="AX250" s="297"/>
      <c r="AY250" s="297"/>
      <c r="AZ250" s="297"/>
      <c r="BA250" s="297"/>
      <c r="BB250" s="297"/>
    </row>
    <row r="251" spans="1:54" thickBot="1">
      <c r="A251" s="298"/>
      <c r="B251" s="298"/>
      <c r="C251" s="298"/>
      <c r="D251" s="298"/>
      <c r="E251" s="298"/>
      <c r="F251" s="282"/>
      <c r="G251" s="298"/>
      <c r="H251" s="298"/>
      <c r="I251" s="282"/>
      <c r="J251" s="298"/>
      <c r="K251" s="566"/>
      <c r="L251" s="282"/>
      <c r="M251" s="282"/>
      <c r="N251" s="298"/>
      <c r="O251" s="282"/>
      <c r="P251" s="282"/>
      <c r="Q251" s="298"/>
      <c r="R251" s="282"/>
      <c r="S251" s="282"/>
      <c r="T251" s="298"/>
      <c r="U251" s="282"/>
      <c r="V251" s="298"/>
      <c r="W251" s="298"/>
      <c r="X251" s="297"/>
      <c r="Y251" s="297"/>
      <c r="Z251" s="297"/>
      <c r="AA251" s="297"/>
      <c r="AB251" s="297"/>
      <c r="AC251" s="297"/>
      <c r="AD251" s="297"/>
      <c r="AE251" s="297"/>
      <c r="AF251" s="297"/>
      <c r="AG251" s="297"/>
      <c r="AH251" s="297"/>
      <c r="AI251" s="297"/>
      <c r="AJ251" s="297"/>
      <c r="AK251" s="297"/>
      <c r="AL251" s="297"/>
      <c r="AM251" s="297"/>
      <c r="AN251" s="297"/>
      <c r="AO251" s="297"/>
      <c r="AP251" s="297"/>
      <c r="AQ251" s="297"/>
      <c r="AR251" s="297"/>
      <c r="AS251" s="297"/>
      <c r="AT251" s="297"/>
      <c r="AU251" s="297"/>
      <c r="AV251" s="297"/>
      <c r="AW251" s="297"/>
      <c r="AX251" s="297"/>
      <c r="AY251" s="297"/>
      <c r="AZ251" s="297"/>
      <c r="BA251" s="297"/>
      <c r="BB251" s="297"/>
    </row>
    <row r="252" spans="1:54" thickBot="1">
      <c r="A252" s="298"/>
      <c r="B252" s="298"/>
      <c r="C252" s="298"/>
      <c r="D252" s="298"/>
      <c r="E252" s="298"/>
      <c r="F252" s="282"/>
      <c r="G252" s="298"/>
      <c r="H252" s="298"/>
      <c r="I252" s="282"/>
      <c r="J252" s="298"/>
      <c r="K252" s="566"/>
      <c r="L252" s="282"/>
      <c r="M252" s="282"/>
      <c r="N252" s="298"/>
      <c r="O252" s="282"/>
      <c r="P252" s="282"/>
      <c r="Q252" s="298"/>
      <c r="R252" s="282"/>
      <c r="S252" s="282"/>
      <c r="T252" s="298"/>
      <c r="U252" s="282"/>
      <c r="V252" s="298"/>
      <c r="W252" s="298"/>
      <c r="X252" s="297"/>
      <c r="Y252" s="297"/>
      <c r="Z252" s="297"/>
      <c r="AA252" s="297"/>
      <c r="AB252" s="297"/>
      <c r="AC252" s="297"/>
      <c r="AD252" s="297"/>
      <c r="AE252" s="297"/>
      <c r="AF252" s="297"/>
      <c r="AG252" s="297"/>
      <c r="AH252" s="297"/>
      <c r="AI252" s="297"/>
      <c r="AJ252" s="297"/>
      <c r="AK252" s="297"/>
      <c r="AL252" s="297"/>
      <c r="AM252" s="297"/>
      <c r="AN252" s="297"/>
      <c r="AO252" s="297"/>
      <c r="AP252" s="297"/>
      <c r="AQ252" s="297"/>
      <c r="AR252" s="297"/>
      <c r="AS252" s="297"/>
      <c r="AT252" s="297"/>
      <c r="AU252" s="297"/>
      <c r="AV252" s="297"/>
      <c r="AW252" s="297"/>
      <c r="AX252" s="297"/>
      <c r="AY252" s="297"/>
      <c r="AZ252" s="297"/>
      <c r="BA252" s="297"/>
      <c r="BB252" s="297"/>
    </row>
    <row r="253" spans="1:54" thickBot="1">
      <c r="A253" s="298"/>
      <c r="B253" s="298"/>
      <c r="C253" s="298"/>
      <c r="D253" s="298"/>
      <c r="E253" s="298"/>
      <c r="F253" s="282"/>
      <c r="G253" s="298"/>
      <c r="H253" s="298"/>
      <c r="I253" s="282"/>
      <c r="J253" s="298"/>
      <c r="K253" s="566"/>
      <c r="L253" s="282"/>
      <c r="M253" s="282"/>
      <c r="N253" s="298"/>
      <c r="O253" s="282"/>
      <c r="P253" s="282"/>
      <c r="Q253" s="298"/>
      <c r="R253" s="282"/>
      <c r="S253" s="282"/>
      <c r="T253" s="298"/>
      <c r="U253" s="282"/>
      <c r="V253" s="298"/>
      <c r="W253" s="298"/>
      <c r="X253" s="297"/>
      <c r="Y253" s="297"/>
      <c r="Z253" s="297"/>
      <c r="AA253" s="297"/>
      <c r="AB253" s="297"/>
      <c r="AC253" s="297"/>
      <c r="AD253" s="297"/>
      <c r="AE253" s="297"/>
      <c r="AF253" s="297"/>
      <c r="AG253" s="297"/>
      <c r="AH253" s="297"/>
      <c r="AI253" s="297"/>
      <c r="AJ253" s="297"/>
      <c r="AK253" s="297"/>
      <c r="AL253" s="297"/>
      <c r="AM253" s="297"/>
      <c r="AN253" s="297"/>
      <c r="AO253" s="297"/>
      <c r="AP253" s="297"/>
      <c r="AQ253" s="297"/>
      <c r="AR253" s="297"/>
      <c r="AS253" s="297"/>
      <c r="AT253" s="297"/>
      <c r="AU253" s="297"/>
      <c r="AV253" s="297"/>
      <c r="AW253" s="297"/>
      <c r="AX253" s="297"/>
      <c r="AY253" s="297"/>
      <c r="AZ253" s="297"/>
      <c r="BA253" s="297"/>
      <c r="BB253" s="297"/>
    </row>
    <row r="254" spans="1:54" thickBot="1">
      <c r="A254" s="298"/>
      <c r="B254" s="298"/>
      <c r="C254" s="298"/>
      <c r="D254" s="298"/>
      <c r="E254" s="298"/>
      <c r="F254" s="282"/>
      <c r="G254" s="298"/>
      <c r="H254" s="298"/>
      <c r="I254" s="282"/>
      <c r="J254" s="298"/>
      <c r="K254" s="566"/>
      <c r="L254" s="282"/>
      <c r="M254" s="282"/>
      <c r="N254" s="298"/>
      <c r="O254" s="282"/>
      <c r="P254" s="282"/>
      <c r="Q254" s="298"/>
      <c r="R254" s="282"/>
      <c r="S254" s="282"/>
      <c r="T254" s="298"/>
      <c r="U254" s="282"/>
      <c r="V254" s="298"/>
      <c r="W254" s="298"/>
      <c r="X254" s="297"/>
      <c r="Y254" s="297"/>
      <c r="Z254" s="297"/>
      <c r="AA254" s="297"/>
      <c r="AB254" s="297"/>
      <c r="AC254" s="297"/>
      <c r="AD254" s="297"/>
      <c r="AE254" s="297"/>
      <c r="AF254" s="297"/>
      <c r="AG254" s="297"/>
      <c r="AH254" s="297"/>
      <c r="AI254" s="297"/>
      <c r="AJ254" s="297"/>
      <c r="AK254" s="297"/>
      <c r="AL254" s="297"/>
      <c r="AM254" s="297"/>
      <c r="AN254" s="297"/>
      <c r="AO254" s="297"/>
      <c r="AP254" s="297"/>
      <c r="AQ254" s="297"/>
      <c r="AR254" s="297"/>
      <c r="AS254" s="297"/>
      <c r="AT254" s="297"/>
      <c r="AU254" s="297"/>
      <c r="AV254" s="297"/>
      <c r="AW254" s="297"/>
      <c r="AX254" s="297"/>
      <c r="AY254" s="297"/>
      <c r="AZ254" s="297"/>
      <c r="BA254" s="297"/>
      <c r="BB254" s="297"/>
    </row>
    <row r="255" spans="1:54" thickBot="1">
      <c r="A255" s="298"/>
      <c r="B255" s="298"/>
      <c r="C255" s="298"/>
      <c r="D255" s="298"/>
      <c r="E255" s="298"/>
      <c r="F255" s="282"/>
      <c r="G255" s="298"/>
      <c r="H255" s="298"/>
      <c r="I255" s="282"/>
      <c r="J255" s="298"/>
      <c r="K255" s="566"/>
      <c r="L255" s="282"/>
      <c r="M255" s="282"/>
      <c r="N255" s="298"/>
      <c r="O255" s="282"/>
      <c r="P255" s="282"/>
      <c r="Q255" s="298"/>
      <c r="R255" s="282"/>
      <c r="S255" s="282"/>
      <c r="T255" s="298"/>
      <c r="U255" s="282"/>
      <c r="V255" s="298"/>
      <c r="W255" s="298"/>
      <c r="X255" s="297"/>
      <c r="Y255" s="297"/>
      <c r="Z255" s="297"/>
      <c r="AA255" s="297"/>
      <c r="AB255" s="297"/>
      <c r="AC255" s="297"/>
      <c r="AD255" s="297"/>
      <c r="AE255" s="297"/>
      <c r="AF255" s="297"/>
      <c r="AG255" s="297"/>
      <c r="AH255" s="297"/>
      <c r="AI255" s="297"/>
      <c r="AJ255" s="297"/>
      <c r="AK255" s="297"/>
      <c r="AL255" s="297"/>
      <c r="AM255" s="297"/>
      <c r="AN255" s="297"/>
      <c r="AO255" s="297"/>
      <c r="AP255" s="297"/>
      <c r="AQ255" s="297"/>
      <c r="AR255" s="297"/>
      <c r="AS255" s="297"/>
      <c r="AT255" s="297"/>
      <c r="AU255" s="297"/>
      <c r="AV255" s="297"/>
      <c r="AW255" s="297"/>
      <c r="AX255" s="297"/>
      <c r="AY255" s="297"/>
      <c r="AZ255" s="297"/>
      <c r="BA255" s="297"/>
      <c r="BB255" s="297"/>
    </row>
    <row r="256" spans="1:54" thickBot="1">
      <c r="A256" s="298"/>
      <c r="B256" s="298"/>
      <c r="C256" s="298"/>
      <c r="D256" s="298"/>
      <c r="E256" s="298"/>
      <c r="F256" s="282"/>
      <c r="G256" s="298"/>
      <c r="H256" s="298"/>
      <c r="I256" s="282"/>
      <c r="J256" s="298"/>
      <c r="K256" s="566"/>
      <c r="L256" s="282"/>
      <c r="M256" s="282"/>
      <c r="N256" s="298"/>
      <c r="O256" s="282"/>
      <c r="P256" s="282"/>
      <c r="Q256" s="298"/>
      <c r="R256" s="282"/>
      <c r="S256" s="282"/>
      <c r="T256" s="298"/>
      <c r="U256" s="282"/>
      <c r="V256" s="298"/>
      <c r="W256" s="298"/>
      <c r="X256" s="297"/>
      <c r="Y256" s="297"/>
      <c r="Z256" s="297"/>
      <c r="AA256" s="297"/>
      <c r="AB256" s="297"/>
      <c r="AC256" s="297"/>
      <c r="AD256" s="297"/>
      <c r="AE256" s="297"/>
      <c r="AF256" s="297"/>
      <c r="AG256" s="297"/>
      <c r="AH256" s="297"/>
      <c r="AI256" s="297"/>
      <c r="AJ256" s="297"/>
      <c r="AK256" s="297"/>
      <c r="AL256" s="297"/>
      <c r="AM256" s="297"/>
      <c r="AN256" s="297"/>
      <c r="AO256" s="297"/>
      <c r="AP256" s="297"/>
      <c r="AQ256" s="297"/>
      <c r="AR256" s="297"/>
      <c r="AS256" s="297"/>
      <c r="AT256" s="297"/>
      <c r="AU256" s="297"/>
      <c r="AV256" s="297"/>
      <c r="AW256" s="297"/>
      <c r="AX256" s="297"/>
      <c r="AY256" s="297"/>
      <c r="AZ256" s="297"/>
      <c r="BA256" s="297"/>
      <c r="BB256" s="297"/>
    </row>
    <row r="257" spans="1:54" thickBot="1">
      <c r="A257" s="298"/>
      <c r="B257" s="298"/>
      <c r="C257" s="298"/>
      <c r="D257" s="298"/>
      <c r="E257" s="298"/>
      <c r="F257" s="282"/>
      <c r="G257" s="298"/>
      <c r="H257" s="298"/>
      <c r="I257" s="282"/>
      <c r="J257" s="298"/>
      <c r="K257" s="566"/>
      <c r="L257" s="282"/>
      <c r="M257" s="282"/>
      <c r="N257" s="298"/>
      <c r="O257" s="282"/>
      <c r="P257" s="282"/>
      <c r="Q257" s="298"/>
      <c r="R257" s="282"/>
      <c r="S257" s="282"/>
      <c r="T257" s="298"/>
      <c r="U257" s="282"/>
      <c r="V257" s="298"/>
      <c r="W257" s="298"/>
      <c r="X257" s="297"/>
      <c r="Y257" s="297"/>
      <c r="Z257" s="297"/>
      <c r="AA257" s="297"/>
      <c r="AB257" s="297"/>
      <c r="AC257" s="297"/>
      <c r="AD257" s="297"/>
      <c r="AE257" s="297"/>
      <c r="AF257" s="297"/>
      <c r="AG257" s="297"/>
      <c r="AH257" s="297"/>
      <c r="AI257" s="297"/>
      <c r="AJ257" s="297"/>
      <c r="AK257" s="297"/>
      <c r="AL257" s="297"/>
      <c r="AM257" s="297"/>
      <c r="AN257" s="297"/>
      <c r="AO257" s="297"/>
      <c r="AP257" s="297"/>
      <c r="AQ257" s="297"/>
      <c r="AR257" s="297"/>
      <c r="AS257" s="297"/>
      <c r="AT257" s="297"/>
      <c r="AU257" s="297"/>
      <c r="AV257" s="297"/>
      <c r="AW257" s="297"/>
      <c r="AX257" s="297"/>
      <c r="AY257" s="297"/>
      <c r="AZ257" s="297"/>
      <c r="BA257" s="297"/>
      <c r="BB257" s="297"/>
    </row>
    <row r="258" spans="1:54" thickBot="1">
      <c r="A258" s="298"/>
      <c r="B258" s="298"/>
      <c r="C258" s="298"/>
      <c r="D258" s="298"/>
      <c r="E258" s="298"/>
      <c r="F258" s="282"/>
      <c r="G258" s="298"/>
      <c r="H258" s="298"/>
      <c r="I258" s="282"/>
      <c r="J258" s="298"/>
      <c r="K258" s="566"/>
      <c r="L258" s="282"/>
      <c r="M258" s="282"/>
      <c r="N258" s="298"/>
      <c r="O258" s="282"/>
      <c r="P258" s="282"/>
      <c r="Q258" s="298"/>
      <c r="R258" s="282"/>
      <c r="S258" s="282"/>
      <c r="T258" s="298"/>
      <c r="U258" s="282"/>
      <c r="V258" s="298"/>
      <c r="W258" s="298"/>
      <c r="X258" s="297"/>
      <c r="Y258" s="297"/>
      <c r="Z258" s="297"/>
      <c r="AA258" s="297"/>
      <c r="AB258" s="297"/>
      <c r="AC258" s="297"/>
      <c r="AD258" s="297"/>
      <c r="AE258" s="297"/>
      <c r="AF258" s="297"/>
      <c r="AG258" s="297"/>
      <c r="AH258" s="297"/>
      <c r="AI258" s="297"/>
      <c r="AJ258" s="297"/>
      <c r="AK258" s="297"/>
      <c r="AL258" s="297"/>
      <c r="AM258" s="297"/>
      <c r="AN258" s="297"/>
      <c r="AO258" s="297"/>
      <c r="AP258" s="297"/>
      <c r="AQ258" s="297"/>
      <c r="AR258" s="297"/>
      <c r="AS258" s="297"/>
      <c r="AT258" s="297"/>
      <c r="AU258" s="297"/>
      <c r="AV258" s="297"/>
      <c r="AW258" s="297"/>
      <c r="AX258" s="297"/>
      <c r="AY258" s="297"/>
      <c r="AZ258" s="297"/>
      <c r="BA258" s="297"/>
      <c r="BB258" s="297"/>
    </row>
    <row r="259" spans="1:54" thickBot="1">
      <c r="A259" s="298"/>
      <c r="B259" s="298"/>
      <c r="C259" s="298"/>
      <c r="D259" s="298"/>
      <c r="E259" s="298"/>
      <c r="F259" s="282"/>
      <c r="G259" s="298"/>
      <c r="H259" s="298"/>
      <c r="I259" s="282"/>
      <c r="J259" s="298"/>
      <c r="K259" s="566"/>
      <c r="L259" s="282"/>
      <c r="M259" s="282"/>
      <c r="N259" s="298"/>
      <c r="O259" s="282"/>
      <c r="P259" s="282"/>
      <c r="Q259" s="298"/>
      <c r="R259" s="282"/>
      <c r="S259" s="282"/>
      <c r="T259" s="298"/>
      <c r="U259" s="282"/>
      <c r="V259" s="298"/>
      <c r="W259" s="298"/>
      <c r="X259" s="297"/>
      <c r="Y259" s="297"/>
      <c r="Z259" s="297"/>
      <c r="AA259" s="297"/>
      <c r="AB259" s="297"/>
      <c r="AC259" s="297"/>
      <c r="AD259" s="297"/>
      <c r="AE259" s="297"/>
      <c r="AF259" s="297"/>
      <c r="AG259" s="297"/>
      <c r="AH259" s="297"/>
      <c r="AI259" s="297"/>
      <c r="AJ259" s="297"/>
      <c r="AK259" s="297"/>
      <c r="AL259" s="297"/>
      <c r="AM259" s="297"/>
      <c r="AN259" s="297"/>
      <c r="AO259" s="297"/>
      <c r="AP259" s="297"/>
      <c r="AQ259" s="297"/>
      <c r="AR259" s="297"/>
      <c r="AS259" s="297"/>
      <c r="AT259" s="297"/>
      <c r="AU259" s="297"/>
      <c r="AV259" s="297"/>
      <c r="AW259" s="297"/>
      <c r="AX259" s="297"/>
      <c r="AY259" s="297"/>
      <c r="AZ259" s="297"/>
      <c r="BA259" s="297"/>
      <c r="BB259" s="297"/>
    </row>
    <row r="260" spans="1:54" thickBot="1">
      <c r="A260" s="298"/>
      <c r="B260" s="298"/>
      <c r="C260" s="298"/>
      <c r="D260" s="298"/>
      <c r="E260" s="298"/>
      <c r="F260" s="282"/>
      <c r="G260" s="298"/>
      <c r="H260" s="298"/>
      <c r="I260" s="282"/>
      <c r="J260" s="298"/>
      <c r="K260" s="566"/>
      <c r="L260" s="282"/>
      <c r="M260" s="282"/>
      <c r="N260" s="298"/>
      <c r="O260" s="282"/>
      <c r="P260" s="282"/>
      <c r="Q260" s="298"/>
      <c r="R260" s="282"/>
      <c r="S260" s="282"/>
      <c r="T260" s="298"/>
      <c r="U260" s="282"/>
      <c r="V260" s="298"/>
      <c r="W260" s="298"/>
      <c r="X260" s="297"/>
      <c r="Y260" s="297"/>
      <c r="Z260" s="297"/>
      <c r="AA260" s="297"/>
      <c r="AB260" s="297"/>
      <c r="AC260" s="297"/>
      <c r="AD260" s="297"/>
      <c r="AE260" s="297"/>
      <c r="AF260" s="297"/>
      <c r="AG260" s="297"/>
      <c r="AH260" s="297"/>
      <c r="AI260" s="297"/>
      <c r="AJ260" s="297"/>
      <c r="AK260" s="297"/>
      <c r="AL260" s="297"/>
      <c r="AM260" s="297"/>
      <c r="AN260" s="297"/>
      <c r="AO260" s="297"/>
      <c r="AP260" s="297"/>
      <c r="AQ260" s="297"/>
      <c r="AR260" s="297"/>
      <c r="AS260" s="297"/>
      <c r="AT260" s="297"/>
      <c r="AU260" s="297"/>
      <c r="AV260" s="297"/>
      <c r="AW260" s="297"/>
      <c r="AX260" s="297"/>
      <c r="AY260" s="297"/>
      <c r="AZ260" s="297"/>
      <c r="BA260" s="297"/>
      <c r="BB260" s="297"/>
    </row>
    <row r="261" spans="1:54" thickBot="1">
      <c r="A261" s="298"/>
      <c r="B261" s="298"/>
      <c r="C261" s="298"/>
      <c r="D261" s="298"/>
      <c r="E261" s="298"/>
      <c r="F261" s="282"/>
      <c r="G261" s="298"/>
      <c r="H261" s="298"/>
      <c r="I261" s="282"/>
      <c r="J261" s="298"/>
      <c r="K261" s="566"/>
      <c r="L261" s="282"/>
      <c r="M261" s="282"/>
      <c r="N261" s="298"/>
      <c r="O261" s="282"/>
      <c r="P261" s="282"/>
      <c r="Q261" s="298"/>
      <c r="R261" s="282"/>
      <c r="S261" s="282"/>
      <c r="T261" s="298"/>
      <c r="U261" s="282"/>
      <c r="V261" s="298"/>
      <c r="W261" s="298"/>
      <c r="X261" s="297"/>
      <c r="Y261" s="297"/>
      <c r="Z261" s="297"/>
      <c r="AA261" s="297"/>
      <c r="AB261" s="297"/>
      <c r="AC261" s="297"/>
      <c r="AD261" s="297"/>
      <c r="AE261" s="297"/>
      <c r="AF261" s="297"/>
      <c r="AG261" s="297"/>
      <c r="AH261" s="297"/>
      <c r="AI261" s="297"/>
      <c r="AJ261" s="297"/>
      <c r="AK261" s="297"/>
      <c r="AL261" s="297"/>
      <c r="AM261" s="297"/>
      <c r="AN261" s="297"/>
      <c r="AO261" s="297"/>
      <c r="AP261" s="297"/>
      <c r="AQ261" s="297"/>
      <c r="AR261" s="297"/>
      <c r="AS261" s="297"/>
      <c r="AT261" s="297"/>
      <c r="AU261" s="297"/>
      <c r="AV261" s="297"/>
      <c r="AW261" s="297"/>
      <c r="AX261" s="297"/>
      <c r="AY261" s="297"/>
      <c r="AZ261" s="297"/>
      <c r="BA261" s="297"/>
      <c r="BB261" s="297"/>
    </row>
    <row r="262" spans="1:54" thickBot="1">
      <c r="A262" s="298"/>
      <c r="B262" s="298"/>
      <c r="C262" s="298"/>
      <c r="D262" s="298"/>
      <c r="E262" s="298"/>
      <c r="F262" s="282"/>
      <c r="G262" s="298"/>
      <c r="H262" s="298"/>
      <c r="I262" s="282"/>
      <c r="J262" s="298"/>
      <c r="K262" s="566"/>
      <c r="L262" s="282"/>
      <c r="M262" s="282"/>
      <c r="N262" s="298"/>
      <c r="O262" s="282"/>
      <c r="P262" s="282"/>
      <c r="Q262" s="298"/>
      <c r="R262" s="282"/>
      <c r="S262" s="282"/>
      <c r="T262" s="298"/>
      <c r="U262" s="282"/>
      <c r="V262" s="298"/>
      <c r="W262" s="298"/>
      <c r="X262" s="297"/>
      <c r="Y262" s="297"/>
      <c r="Z262" s="297"/>
      <c r="AA262" s="297"/>
      <c r="AB262" s="297"/>
      <c r="AC262" s="297"/>
      <c r="AD262" s="297"/>
      <c r="AE262" s="297"/>
      <c r="AF262" s="297"/>
      <c r="AG262" s="297"/>
      <c r="AH262" s="297"/>
      <c r="AI262" s="297"/>
      <c r="AJ262" s="297"/>
      <c r="AK262" s="297"/>
      <c r="AL262" s="297"/>
      <c r="AM262" s="297"/>
      <c r="AN262" s="297"/>
      <c r="AO262" s="297"/>
      <c r="AP262" s="297"/>
      <c r="AQ262" s="297"/>
      <c r="AR262" s="297"/>
      <c r="AS262" s="297"/>
      <c r="AT262" s="297"/>
      <c r="AU262" s="297"/>
      <c r="AV262" s="297"/>
      <c r="AW262" s="297"/>
      <c r="AX262" s="297"/>
      <c r="AY262" s="297"/>
      <c r="AZ262" s="297"/>
      <c r="BA262" s="297"/>
      <c r="BB262" s="297"/>
    </row>
    <row r="263" spans="1:54" thickBot="1">
      <c r="A263" s="298"/>
      <c r="B263" s="298"/>
      <c r="C263" s="298"/>
      <c r="D263" s="298"/>
      <c r="E263" s="298"/>
      <c r="F263" s="282"/>
      <c r="G263" s="298"/>
      <c r="H263" s="298"/>
      <c r="I263" s="282"/>
      <c r="J263" s="298"/>
      <c r="K263" s="566"/>
      <c r="L263" s="282"/>
      <c r="M263" s="282"/>
      <c r="N263" s="298"/>
      <c r="O263" s="282"/>
      <c r="P263" s="282"/>
      <c r="Q263" s="298"/>
      <c r="R263" s="282"/>
      <c r="S263" s="282"/>
      <c r="T263" s="298"/>
      <c r="U263" s="282"/>
      <c r="V263" s="298"/>
      <c r="W263" s="298"/>
      <c r="X263" s="297"/>
      <c r="Y263" s="297"/>
      <c r="Z263" s="297"/>
      <c r="AA263" s="297"/>
      <c r="AB263" s="297"/>
      <c r="AC263" s="297"/>
      <c r="AD263" s="297"/>
      <c r="AE263" s="297"/>
      <c r="AF263" s="297"/>
      <c r="AG263" s="297"/>
      <c r="AH263" s="297"/>
      <c r="AI263" s="297"/>
      <c r="AJ263" s="297"/>
      <c r="AK263" s="297"/>
      <c r="AL263" s="297"/>
      <c r="AM263" s="297"/>
      <c r="AN263" s="297"/>
      <c r="AO263" s="297"/>
      <c r="AP263" s="297"/>
      <c r="AQ263" s="297"/>
      <c r="AR263" s="297"/>
      <c r="AS263" s="297"/>
      <c r="AT263" s="297"/>
      <c r="AU263" s="297"/>
      <c r="AV263" s="297"/>
      <c r="AW263" s="297"/>
      <c r="AX263" s="297"/>
      <c r="AY263" s="297"/>
      <c r="AZ263" s="297"/>
      <c r="BA263" s="297"/>
      <c r="BB263" s="297"/>
    </row>
    <row r="264" spans="1:54" thickBot="1">
      <c r="A264" s="298"/>
      <c r="B264" s="298"/>
      <c r="C264" s="298"/>
      <c r="D264" s="298"/>
      <c r="E264" s="298"/>
      <c r="F264" s="282"/>
      <c r="G264" s="298"/>
      <c r="H264" s="298"/>
      <c r="I264" s="282"/>
      <c r="J264" s="298"/>
      <c r="K264" s="566"/>
      <c r="L264" s="282"/>
      <c r="M264" s="282"/>
      <c r="N264" s="298"/>
      <c r="O264" s="282"/>
      <c r="P264" s="282"/>
      <c r="Q264" s="298"/>
      <c r="R264" s="282"/>
      <c r="S264" s="282"/>
      <c r="T264" s="298"/>
      <c r="U264" s="282"/>
      <c r="V264" s="298"/>
      <c r="W264" s="298"/>
      <c r="X264" s="297"/>
      <c r="Y264" s="297"/>
      <c r="Z264" s="297"/>
      <c r="AA264" s="297"/>
      <c r="AB264" s="297"/>
      <c r="AC264" s="297"/>
      <c r="AD264" s="297"/>
      <c r="AE264" s="297"/>
      <c r="AF264" s="297"/>
      <c r="AG264" s="297"/>
      <c r="AH264" s="297"/>
      <c r="AI264" s="297"/>
      <c r="AJ264" s="297"/>
      <c r="AK264" s="297"/>
      <c r="AL264" s="297"/>
      <c r="AM264" s="297"/>
      <c r="AN264" s="297"/>
      <c r="AO264" s="297"/>
      <c r="AP264" s="297"/>
      <c r="AQ264" s="297"/>
      <c r="AR264" s="297"/>
      <c r="AS264" s="297"/>
      <c r="AT264" s="297"/>
      <c r="AU264" s="297"/>
      <c r="AV264" s="297"/>
      <c r="AW264" s="297"/>
      <c r="AX264" s="297"/>
      <c r="AY264" s="297"/>
      <c r="AZ264" s="297"/>
      <c r="BA264" s="297"/>
      <c r="BB264" s="297"/>
    </row>
    <row r="265" spans="1:54" thickBot="1">
      <c r="A265" s="298"/>
      <c r="B265" s="298"/>
      <c r="C265" s="298"/>
      <c r="D265" s="298"/>
      <c r="E265" s="298"/>
      <c r="F265" s="282"/>
      <c r="G265" s="298"/>
      <c r="H265" s="298"/>
      <c r="I265" s="282"/>
      <c r="J265" s="298"/>
      <c r="K265" s="566"/>
      <c r="L265" s="282"/>
      <c r="M265" s="282"/>
      <c r="N265" s="298"/>
      <c r="O265" s="282"/>
      <c r="P265" s="282"/>
      <c r="Q265" s="298"/>
      <c r="R265" s="282"/>
      <c r="S265" s="282"/>
      <c r="T265" s="298"/>
      <c r="U265" s="282"/>
      <c r="V265" s="298"/>
      <c r="W265" s="298"/>
      <c r="X265" s="297"/>
      <c r="Y265" s="297"/>
      <c r="Z265" s="297"/>
      <c r="AA265" s="297"/>
      <c r="AB265" s="297"/>
      <c r="AC265" s="297"/>
      <c r="AD265" s="297"/>
      <c r="AE265" s="297"/>
      <c r="AF265" s="297"/>
      <c r="AG265" s="297"/>
      <c r="AH265" s="297"/>
      <c r="AI265" s="297"/>
      <c r="AJ265" s="297"/>
      <c r="AK265" s="297"/>
      <c r="AL265" s="297"/>
      <c r="AM265" s="297"/>
      <c r="AN265" s="297"/>
      <c r="AO265" s="297"/>
      <c r="AP265" s="297"/>
      <c r="AQ265" s="297"/>
      <c r="AR265" s="297"/>
      <c r="AS265" s="297"/>
      <c r="AT265" s="297"/>
      <c r="AU265" s="297"/>
      <c r="AV265" s="297"/>
      <c r="AW265" s="297"/>
      <c r="AX265" s="297"/>
      <c r="AY265" s="297"/>
      <c r="AZ265" s="297"/>
      <c r="BA265" s="297"/>
      <c r="BB265" s="297"/>
    </row>
    <row r="266" spans="1:54" thickBot="1">
      <c r="A266" s="298"/>
      <c r="B266" s="298"/>
      <c r="C266" s="298"/>
      <c r="D266" s="298"/>
      <c r="E266" s="298"/>
      <c r="F266" s="282"/>
      <c r="G266" s="298"/>
      <c r="H266" s="298"/>
      <c r="I266" s="282"/>
      <c r="J266" s="298"/>
      <c r="K266" s="566"/>
      <c r="L266" s="282"/>
      <c r="M266" s="282"/>
      <c r="N266" s="298"/>
      <c r="O266" s="282"/>
      <c r="P266" s="282"/>
      <c r="Q266" s="298"/>
      <c r="R266" s="282"/>
      <c r="S266" s="282"/>
      <c r="T266" s="298"/>
      <c r="U266" s="282"/>
      <c r="V266" s="298"/>
      <c r="W266" s="298"/>
      <c r="X266" s="297"/>
      <c r="Y266" s="297"/>
      <c r="Z266" s="297"/>
      <c r="AA266" s="297"/>
      <c r="AB266" s="297"/>
      <c r="AC266" s="297"/>
      <c r="AD266" s="297"/>
      <c r="AE266" s="297"/>
      <c r="AF266" s="297"/>
      <c r="AG266" s="297"/>
      <c r="AH266" s="297"/>
      <c r="AI266" s="297"/>
      <c r="AJ266" s="297"/>
      <c r="AK266" s="297"/>
      <c r="AL266" s="297"/>
      <c r="AM266" s="297"/>
      <c r="AN266" s="297"/>
      <c r="AO266" s="297"/>
      <c r="AP266" s="297"/>
      <c r="AQ266" s="297"/>
      <c r="AR266" s="297"/>
      <c r="AS266" s="297"/>
      <c r="AT266" s="297"/>
      <c r="AU266" s="297"/>
      <c r="AV266" s="297"/>
      <c r="AW266" s="297"/>
      <c r="AX266" s="297"/>
      <c r="AY266" s="297"/>
      <c r="AZ266" s="297"/>
      <c r="BA266" s="297"/>
      <c r="BB266" s="297"/>
    </row>
    <row r="267" spans="1:54" thickBot="1">
      <c r="A267" s="298"/>
      <c r="B267" s="298"/>
      <c r="C267" s="298"/>
      <c r="D267" s="298"/>
      <c r="E267" s="298"/>
      <c r="F267" s="282"/>
      <c r="G267" s="298"/>
      <c r="H267" s="298"/>
      <c r="I267" s="282"/>
      <c r="J267" s="298"/>
      <c r="K267" s="566"/>
      <c r="L267" s="282"/>
      <c r="M267" s="282"/>
      <c r="N267" s="298"/>
      <c r="O267" s="282"/>
      <c r="P267" s="282"/>
      <c r="Q267" s="298"/>
      <c r="R267" s="282"/>
      <c r="S267" s="282"/>
      <c r="T267" s="298"/>
      <c r="U267" s="282"/>
      <c r="V267" s="298"/>
      <c r="W267" s="298"/>
      <c r="X267" s="297"/>
      <c r="Y267" s="297"/>
      <c r="Z267" s="297"/>
      <c r="AA267" s="297"/>
      <c r="AB267" s="297"/>
      <c r="AC267" s="297"/>
      <c r="AD267" s="297"/>
      <c r="AE267" s="297"/>
      <c r="AF267" s="297"/>
      <c r="AG267" s="297"/>
      <c r="AH267" s="297"/>
      <c r="AI267" s="297"/>
      <c r="AJ267" s="297"/>
      <c r="AK267" s="297"/>
      <c r="AL267" s="297"/>
      <c r="AM267" s="297"/>
      <c r="AN267" s="297"/>
      <c r="AO267" s="297"/>
      <c r="AP267" s="297"/>
      <c r="AQ267" s="297"/>
      <c r="AR267" s="297"/>
      <c r="AS267" s="297"/>
      <c r="AT267" s="297"/>
      <c r="AU267" s="297"/>
      <c r="AV267" s="297"/>
      <c r="AW267" s="297"/>
      <c r="AX267" s="297"/>
      <c r="AY267" s="297"/>
      <c r="AZ267" s="297"/>
      <c r="BA267" s="297"/>
      <c r="BB267" s="297"/>
    </row>
    <row r="268" spans="1:54" thickBot="1">
      <c r="A268" s="298"/>
      <c r="B268" s="298"/>
      <c r="C268" s="298"/>
      <c r="D268" s="298"/>
      <c r="E268" s="298"/>
      <c r="F268" s="282"/>
      <c r="G268" s="298"/>
      <c r="H268" s="298"/>
      <c r="I268" s="282"/>
      <c r="J268" s="298"/>
      <c r="K268" s="566"/>
      <c r="L268" s="282"/>
      <c r="M268" s="282"/>
      <c r="N268" s="298"/>
      <c r="O268" s="282"/>
      <c r="P268" s="282"/>
      <c r="Q268" s="298"/>
      <c r="R268" s="282"/>
      <c r="S268" s="282"/>
      <c r="T268" s="298"/>
      <c r="U268" s="282"/>
      <c r="V268" s="298"/>
      <c r="W268" s="298"/>
      <c r="X268" s="297"/>
      <c r="Y268" s="297"/>
      <c r="Z268" s="297"/>
      <c r="AA268" s="297"/>
      <c r="AB268" s="297"/>
      <c r="AC268" s="297"/>
      <c r="AD268" s="297"/>
      <c r="AE268" s="297"/>
      <c r="AF268" s="297"/>
      <c r="AG268" s="297"/>
      <c r="AH268" s="297"/>
      <c r="AI268" s="297"/>
      <c r="AJ268" s="297"/>
      <c r="AK268" s="297"/>
      <c r="AL268" s="297"/>
      <c r="AM268" s="297"/>
      <c r="AN268" s="297"/>
      <c r="AO268" s="297"/>
      <c r="AP268" s="297"/>
      <c r="AQ268" s="297"/>
      <c r="AR268" s="297"/>
      <c r="AS268" s="297"/>
      <c r="AT268" s="297"/>
      <c r="AU268" s="297"/>
      <c r="AV268" s="297"/>
      <c r="AW268" s="297"/>
      <c r="AX268" s="297"/>
      <c r="AY268" s="297"/>
      <c r="AZ268" s="297"/>
      <c r="BA268" s="297"/>
      <c r="BB268" s="297"/>
    </row>
    <row r="269" spans="1:54" thickBot="1">
      <c r="A269" s="298"/>
      <c r="B269" s="298"/>
      <c r="C269" s="298"/>
      <c r="D269" s="298"/>
      <c r="E269" s="298"/>
      <c r="F269" s="282"/>
      <c r="G269" s="298"/>
      <c r="H269" s="298"/>
      <c r="I269" s="282"/>
      <c r="J269" s="298"/>
      <c r="K269" s="566"/>
      <c r="L269" s="282"/>
      <c r="M269" s="282"/>
      <c r="N269" s="298"/>
      <c r="O269" s="282"/>
      <c r="P269" s="282"/>
      <c r="Q269" s="298"/>
      <c r="R269" s="282"/>
      <c r="S269" s="282"/>
      <c r="T269" s="298"/>
      <c r="U269" s="282"/>
      <c r="V269" s="298"/>
      <c r="W269" s="298"/>
      <c r="X269" s="297"/>
      <c r="Y269" s="297"/>
      <c r="Z269" s="297"/>
      <c r="AA269" s="297"/>
      <c r="AB269" s="297"/>
      <c r="AC269" s="297"/>
      <c r="AD269" s="297"/>
      <c r="AE269" s="297"/>
      <c r="AF269" s="297"/>
      <c r="AG269" s="297"/>
      <c r="AH269" s="297"/>
      <c r="AI269" s="297"/>
      <c r="AJ269" s="297"/>
      <c r="AK269" s="297"/>
      <c r="AL269" s="297"/>
      <c r="AM269" s="297"/>
      <c r="AN269" s="297"/>
      <c r="AO269" s="297"/>
      <c r="AP269" s="297"/>
      <c r="AQ269" s="297"/>
      <c r="AR269" s="297"/>
      <c r="AS269" s="297"/>
      <c r="AT269" s="297"/>
      <c r="AU269" s="297"/>
      <c r="AV269" s="297"/>
      <c r="AW269" s="297"/>
      <c r="AX269" s="297"/>
      <c r="AY269" s="297"/>
      <c r="AZ269" s="297"/>
      <c r="BA269" s="297"/>
      <c r="BB269" s="297"/>
    </row>
    <row r="270" spans="1:54" thickBot="1">
      <c r="A270" s="298"/>
      <c r="B270" s="298"/>
      <c r="C270" s="298"/>
      <c r="D270" s="298"/>
      <c r="E270" s="298"/>
      <c r="F270" s="282"/>
      <c r="G270" s="298"/>
      <c r="H270" s="298"/>
      <c r="I270" s="282"/>
      <c r="J270" s="298"/>
      <c r="K270" s="566"/>
      <c r="L270" s="282"/>
      <c r="M270" s="282"/>
      <c r="N270" s="298"/>
      <c r="O270" s="282"/>
      <c r="P270" s="282"/>
      <c r="Q270" s="298"/>
      <c r="R270" s="282"/>
      <c r="S270" s="282"/>
      <c r="T270" s="298"/>
      <c r="U270" s="282"/>
      <c r="V270" s="298"/>
      <c r="W270" s="298"/>
      <c r="X270" s="297"/>
      <c r="Y270" s="297"/>
      <c r="Z270" s="297"/>
      <c r="AA270" s="297"/>
      <c r="AB270" s="297"/>
      <c r="AC270" s="297"/>
      <c r="AD270" s="297"/>
      <c r="AE270" s="297"/>
      <c r="AF270" s="297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  <c r="AZ270" s="297"/>
      <c r="BA270" s="297"/>
      <c r="BB270" s="297"/>
    </row>
    <row r="271" spans="1:54" thickBot="1">
      <c r="A271" s="298"/>
      <c r="B271" s="298"/>
      <c r="C271" s="298"/>
      <c r="D271" s="298"/>
      <c r="E271" s="298"/>
      <c r="F271" s="282"/>
      <c r="G271" s="298"/>
      <c r="H271" s="298"/>
      <c r="I271" s="282"/>
      <c r="J271" s="298"/>
      <c r="K271" s="566"/>
      <c r="L271" s="282"/>
      <c r="M271" s="282"/>
      <c r="N271" s="298"/>
      <c r="O271" s="282"/>
      <c r="P271" s="282"/>
      <c r="Q271" s="298"/>
      <c r="R271" s="282"/>
      <c r="S271" s="282"/>
      <c r="T271" s="298"/>
      <c r="U271" s="282"/>
      <c r="V271" s="298"/>
      <c r="W271" s="298"/>
      <c r="X271" s="297"/>
      <c r="Y271" s="297"/>
      <c r="Z271" s="297"/>
      <c r="AA271" s="297"/>
      <c r="AB271" s="297"/>
      <c r="AC271" s="297"/>
      <c r="AD271" s="297"/>
      <c r="AE271" s="297"/>
      <c r="AF271" s="297"/>
      <c r="AG271" s="297"/>
      <c r="AH271" s="297"/>
      <c r="AI271" s="297"/>
      <c r="AJ271" s="297"/>
      <c r="AK271" s="297"/>
      <c r="AL271" s="297"/>
      <c r="AM271" s="297"/>
      <c r="AN271" s="297"/>
      <c r="AO271" s="297"/>
      <c r="AP271" s="297"/>
      <c r="AQ271" s="297"/>
      <c r="AR271" s="297"/>
      <c r="AS271" s="297"/>
      <c r="AT271" s="297"/>
      <c r="AU271" s="297"/>
      <c r="AV271" s="297"/>
      <c r="AW271" s="297"/>
      <c r="AX271" s="297"/>
      <c r="AY271" s="297"/>
      <c r="AZ271" s="297"/>
      <c r="BA271" s="297"/>
      <c r="BB271" s="297"/>
    </row>
    <row r="272" spans="1:54" thickBot="1">
      <c r="A272" s="298"/>
      <c r="B272" s="298"/>
      <c r="C272" s="298"/>
      <c r="D272" s="298"/>
      <c r="E272" s="298"/>
      <c r="F272" s="282"/>
      <c r="G272" s="298"/>
      <c r="H272" s="298"/>
      <c r="I272" s="282"/>
      <c r="J272" s="298"/>
      <c r="K272" s="566"/>
      <c r="L272" s="282"/>
      <c r="M272" s="282"/>
      <c r="N272" s="298"/>
      <c r="O272" s="282"/>
      <c r="P272" s="282"/>
      <c r="Q272" s="298"/>
      <c r="R272" s="282"/>
      <c r="S272" s="282"/>
      <c r="T272" s="298"/>
      <c r="U272" s="282"/>
      <c r="V272" s="298"/>
      <c r="W272" s="298"/>
      <c r="X272" s="297"/>
      <c r="Y272" s="297"/>
      <c r="Z272" s="297"/>
      <c r="AA272" s="297"/>
      <c r="AB272" s="297"/>
      <c r="AC272" s="297"/>
      <c r="AD272" s="297"/>
      <c r="AE272" s="297"/>
      <c r="AF272" s="297"/>
      <c r="AG272" s="297"/>
      <c r="AH272" s="297"/>
      <c r="AI272" s="297"/>
      <c r="AJ272" s="297"/>
      <c r="AK272" s="297"/>
      <c r="AL272" s="297"/>
      <c r="AM272" s="297"/>
      <c r="AN272" s="297"/>
      <c r="AO272" s="297"/>
      <c r="AP272" s="297"/>
      <c r="AQ272" s="297"/>
      <c r="AR272" s="297"/>
      <c r="AS272" s="297"/>
      <c r="AT272" s="297"/>
      <c r="AU272" s="297"/>
      <c r="AV272" s="297"/>
      <c r="AW272" s="297"/>
      <c r="AX272" s="297"/>
      <c r="AY272" s="297"/>
      <c r="AZ272" s="297"/>
      <c r="BA272" s="297"/>
      <c r="BB272" s="297"/>
    </row>
    <row r="273" spans="1:54" thickBot="1">
      <c r="A273" s="298"/>
      <c r="B273" s="298"/>
      <c r="C273" s="298"/>
      <c r="D273" s="298"/>
      <c r="E273" s="298"/>
      <c r="F273" s="282"/>
      <c r="G273" s="298"/>
      <c r="H273" s="298"/>
      <c r="I273" s="282"/>
      <c r="J273" s="298"/>
      <c r="K273" s="566"/>
      <c r="L273" s="282"/>
      <c r="M273" s="282"/>
      <c r="N273" s="298"/>
      <c r="O273" s="282"/>
      <c r="P273" s="282"/>
      <c r="Q273" s="298"/>
      <c r="R273" s="282"/>
      <c r="S273" s="282"/>
      <c r="T273" s="298"/>
      <c r="U273" s="282"/>
      <c r="V273" s="298"/>
      <c r="W273" s="298"/>
      <c r="X273" s="297"/>
      <c r="Y273" s="297"/>
      <c r="Z273" s="297"/>
      <c r="AA273" s="297"/>
      <c r="AB273" s="297"/>
      <c r="AC273" s="297"/>
      <c r="AD273" s="297"/>
      <c r="AE273" s="297"/>
      <c r="AF273" s="297"/>
      <c r="AG273" s="297"/>
      <c r="AH273" s="297"/>
      <c r="AI273" s="297"/>
      <c r="AJ273" s="297"/>
      <c r="AK273" s="297"/>
      <c r="AL273" s="297"/>
      <c r="AM273" s="297"/>
      <c r="AN273" s="297"/>
      <c r="AO273" s="297"/>
      <c r="AP273" s="297"/>
      <c r="AQ273" s="297"/>
      <c r="AR273" s="297"/>
      <c r="AS273" s="297"/>
      <c r="AT273" s="297"/>
      <c r="AU273" s="297"/>
      <c r="AV273" s="297"/>
      <c r="AW273" s="297"/>
      <c r="AX273" s="297"/>
      <c r="AY273" s="297"/>
      <c r="AZ273" s="297"/>
      <c r="BA273" s="297"/>
      <c r="BB273" s="297"/>
    </row>
    <row r="274" spans="1:54" thickBot="1">
      <c r="A274" s="298"/>
      <c r="B274" s="298"/>
      <c r="C274" s="298"/>
      <c r="D274" s="298"/>
      <c r="E274" s="298"/>
      <c r="F274" s="282"/>
      <c r="G274" s="298"/>
      <c r="H274" s="298"/>
      <c r="I274" s="282"/>
      <c r="J274" s="298"/>
      <c r="K274" s="566"/>
      <c r="L274" s="282"/>
      <c r="M274" s="282"/>
      <c r="N274" s="298"/>
      <c r="O274" s="282"/>
      <c r="P274" s="282"/>
      <c r="Q274" s="298"/>
      <c r="R274" s="282"/>
      <c r="S274" s="282"/>
      <c r="T274" s="298"/>
      <c r="U274" s="282"/>
      <c r="V274" s="298"/>
      <c r="W274" s="298"/>
      <c r="X274" s="297"/>
      <c r="Y274" s="297"/>
      <c r="Z274" s="297"/>
      <c r="AA274" s="297"/>
      <c r="AB274" s="297"/>
      <c r="AC274" s="297"/>
      <c r="AD274" s="297"/>
      <c r="AE274" s="297"/>
      <c r="AF274" s="297"/>
      <c r="AG274" s="297"/>
      <c r="AH274" s="297"/>
      <c r="AI274" s="297"/>
      <c r="AJ274" s="297"/>
      <c r="AK274" s="297"/>
      <c r="AL274" s="297"/>
      <c r="AM274" s="297"/>
      <c r="AN274" s="297"/>
      <c r="AO274" s="297"/>
      <c r="AP274" s="297"/>
      <c r="AQ274" s="297"/>
      <c r="AR274" s="297"/>
      <c r="AS274" s="297"/>
      <c r="AT274" s="297"/>
      <c r="AU274" s="297"/>
      <c r="AV274" s="297"/>
      <c r="AW274" s="297"/>
      <c r="AX274" s="297"/>
      <c r="AY274" s="297"/>
      <c r="AZ274" s="297"/>
      <c r="BA274" s="297"/>
      <c r="BB274" s="297"/>
    </row>
    <row r="275" spans="1:54" thickBot="1">
      <c r="A275" s="298"/>
      <c r="B275" s="298"/>
      <c r="C275" s="298"/>
      <c r="D275" s="298"/>
      <c r="E275" s="298"/>
      <c r="F275" s="282"/>
      <c r="G275" s="298"/>
      <c r="H275" s="298"/>
      <c r="I275" s="282"/>
      <c r="J275" s="298"/>
      <c r="K275" s="566"/>
      <c r="L275" s="282"/>
      <c r="M275" s="282"/>
      <c r="N275" s="298"/>
      <c r="O275" s="282"/>
      <c r="P275" s="282"/>
      <c r="Q275" s="298"/>
      <c r="R275" s="282"/>
      <c r="S275" s="282"/>
      <c r="T275" s="298"/>
      <c r="U275" s="282"/>
      <c r="V275" s="298"/>
      <c r="W275" s="298"/>
      <c r="X275" s="297"/>
      <c r="Y275" s="297"/>
      <c r="Z275" s="297"/>
      <c r="AA275" s="297"/>
      <c r="AB275" s="297"/>
      <c r="AC275" s="297"/>
      <c r="AD275" s="297"/>
      <c r="AE275" s="297"/>
      <c r="AF275" s="297"/>
      <c r="AG275" s="297"/>
      <c r="AH275" s="297"/>
      <c r="AI275" s="297"/>
      <c r="AJ275" s="297"/>
      <c r="AK275" s="297"/>
      <c r="AL275" s="297"/>
      <c r="AM275" s="297"/>
      <c r="AN275" s="297"/>
      <c r="AO275" s="297"/>
      <c r="AP275" s="297"/>
      <c r="AQ275" s="297"/>
      <c r="AR275" s="297"/>
      <c r="AS275" s="297"/>
      <c r="AT275" s="297"/>
      <c r="AU275" s="297"/>
      <c r="AV275" s="297"/>
      <c r="AW275" s="297"/>
      <c r="AX275" s="297"/>
      <c r="AY275" s="297"/>
      <c r="AZ275" s="297"/>
      <c r="BA275" s="297"/>
      <c r="BB275" s="297"/>
    </row>
    <row r="276" spans="1:54" thickBot="1">
      <c r="A276" s="298"/>
      <c r="B276" s="298"/>
      <c r="C276" s="298"/>
      <c r="D276" s="298"/>
      <c r="E276" s="298"/>
      <c r="F276" s="282"/>
      <c r="G276" s="298"/>
      <c r="H276" s="298"/>
      <c r="I276" s="282"/>
      <c r="J276" s="298"/>
      <c r="K276" s="566"/>
      <c r="L276" s="282"/>
      <c r="M276" s="282"/>
      <c r="N276" s="298"/>
      <c r="O276" s="282"/>
      <c r="P276" s="282"/>
      <c r="Q276" s="298"/>
      <c r="R276" s="282"/>
      <c r="S276" s="282"/>
      <c r="T276" s="298"/>
      <c r="U276" s="282"/>
      <c r="V276" s="298"/>
      <c r="W276" s="298"/>
      <c r="X276" s="297"/>
      <c r="Y276" s="297"/>
      <c r="Z276" s="297"/>
      <c r="AA276" s="297"/>
      <c r="AB276" s="297"/>
      <c r="AC276" s="297"/>
      <c r="AD276" s="297"/>
      <c r="AE276" s="297"/>
      <c r="AF276" s="297"/>
      <c r="AG276" s="297"/>
      <c r="AH276" s="297"/>
      <c r="AI276" s="297"/>
      <c r="AJ276" s="297"/>
      <c r="AK276" s="297"/>
      <c r="AL276" s="297"/>
      <c r="AM276" s="297"/>
      <c r="AN276" s="297"/>
      <c r="AO276" s="297"/>
      <c r="AP276" s="297"/>
      <c r="AQ276" s="297"/>
      <c r="AR276" s="297"/>
      <c r="AS276" s="297"/>
      <c r="AT276" s="297"/>
      <c r="AU276" s="297"/>
      <c r="AV276" s="297"/>
      <c r="AW276" s="297"/>
      <c r="AX276" s="297"/>
      <c r="AY276" s="297"/>
      <c r="AZ276" s="297"/>
      <c r="BA276" s="297"/>
      <c r="BB276" s="297"/>
    </row>
    <row r="277" spans="1:54" thickBot="1">
      <c r="A277" s="298"/>
      <c r="B277" s="298"/>
      <c r="C277" s="298"/>
      <c r="D277" s="298"/>
      <c r="E277" s="298"/>
      <c r="F277" s="282"/>
      <c r="G277" s="298"/>
      <c r="H277" s="298"/>
      <c r="I277" s="282"/>
      <c r="J277" s="298"/>
      <c r="K277" s="566"/>
      <c r="L277" s="282"/>
      <c r="M277" s="282"/>
      <c r="N277" s="298"/>
      <c r="O277" s="282"/>
      <c r="P277" s="282"/>
      <c r="Q277" s="298"/>
      <c r="R277" s="282"/>
      <c r="S277" s="282"/>
      <c r="T277" s="298"/>
      <c r="U277" s="282"/>
      <c r="V277" s="298"/>
      <c r="W277" s="298"/>
      <c r="X277" s="297"/>
      <c r="Y277" s="297"/>
      <c r="Z277" s="297"/>
      <c r="AA277" s="297"/>
      <c r="AB277" s="297"/>
      <c r="AC277" s="297"/>
      <c r="AD277" s="297"/>
      <c r="AE277" s="297"/>
      <c r="AF277" s="297"/>
      <c r="AG277" s="297"/>
      <c r="AH277" s="297"/>
      <c r="AI277" s="297"/>
      <c r="AJ277" s="297"/>
      <c r="AK277" s="297"/>
      <c r="AL277" s="297"/>
      <c r="AM277" s="297"/>
      <c r="AN277" s="297"/>
      <c r="AO277" s="297"/>
      <c r="AP277" s="297"/>
      <c r="AQ277" s="297"/>
      <c r="AR277" s="297"/>
      <c r="AS277" s="297"/>
      <c r="AT277" s="297"/>
      <c r="AU277" s="297"/>
      <c r="AV277" s="297"/>
      <c r="AW277" s="297"/>
      <c r="AX277" s="297"/>
      <c r="AY277" s="297"/>
      <c r="AZ277" s="297"/>
      <c r="BA277" s="297"/>
      <c r="BB277" s="297"/>
    </row>
    <row r="278" spans="1:54" thickBot="1">
      <c r="A278" s="298"/>
      <c r="B278" s="298"/>
      <c r="C278" s="298"/>
      <c r="D278" s="298"/>
      <c r="E278" s="298"/>
      <c r="F278" s="282"/>
      <c r="G278" s="298"/>
      <c r="H278" s="298"/>
      <c r="I278" s="282"/>
      <c r="J278" s="298"/>
      <c r="K278" s="566"/>
      <c r="L278" s="282"/>
      <c r="M278" s="282"/>
      <c r="N278" s="298"/>
      <c r="O278" s="282"/>
      <c r="P278" s="282"/>
      <c r="Q278" s="298"/>
      <c r="R278" s="282"/>
      <c r="S278" s="282"/>
      <c r="T278" s="298"/>
      <c r="U278" s="282"/>
      <c r="V278" s="298"/>
      <c r="W278" s="298"/>
      <c r="X278" s="297"/>
      <c r="Y278" s="297"/>
      <c r="Z278" s="297"/>
      <c r="AA278" s="297"/>
      <c r="AB278" s="297"/>
      <c r="AC278" s="297"/>
      <c r="AD278" s="297"/>
      <c r="AE278" s="297"/>
      <c r="AF278" s="297"/>
      <c r="AG278" s="297"/>
      <c r="AH278" s="297"/>
      <c r="AI278" s="297"/>
      <c r="AJ278" s="297"/>
      <c r="AK278" s="297"/>
      <c r="AL278" s="297"/>
      <c r="AM278" s="297"/>
      <c r="AN278" s="297"/>
      <c r="AO278" s="297"/>
      <c r="AP278" s="297"/>
      <c r="AQ278" s="297"/>
      <c r="AR278" s="297"/>
      <c r="AS278" s="297"/>
      <c r="AT278" s="297"/>
      <c r="AU278" s="297"/>
      <c r="AV278" s="297"/>
      <c r="AW278" s="297"/>
      <c r="AX278" s="297"/>
      <c r="AY278" s="297"/>
      <c r="AZ278" s="297"/>
      <c r="BA278" s="297"/>
      <c r="BB278" s="297"/>
    </row>
    <row r="279" spans="1:54" thickBot="1">
      <c r="A279" s="298"/>
      <c r="B279" s="298"/>
      <c r="C279" s="298"/>
      <c r="D279" s="298"/>
      <c r="E279" s="298"/>
      <c r="F279" s="282"/>
      <c r="G279" s="298"/>
      <c r="H279" s="298"/>
      <c r="I279" s="282"/>
      <c r="J279" s="298"/>
      <c r="K279" s="566"/>
      <c r="L279" s="282"/>
      <c r="M279" s="282"/>
      <c r="N279" s="298"/>
      <c r="O279" s="282"/>
      <c r="P279" s="282"/>
      <c r="Q279" s="298"/>
      <c r="R279" s="282"/>
      <c r="S279" s="282"/>
      <c r="T279" s="298"/>
      <c r="U279" s="282"/>
      <c r="V279" s="298"/>
      <c r="W279" s="298"/>
      <c r="X279" s="297"/>
      <c r="Y279" s="297"/>
      <c r="Z279" s="297"/>
      <c r="AA279" s="297"/>
      <c r="AB279" s="297"/>
      <c r="AC279" s="297"/>
      <c r="AD279" s="297"/>
      <c r="AE279" s="297"/>
      <c r="AF279" s="297"/>
      <c r="AG279" s="297"/>
      <c r="AH279" s="297"/>
      <c r="AI279" s="297"/>
      <c r="AJ279" s="297"/>
      <c r="AK279" s="297"/>
      <c r="AL279" s="297"/>
      <c r="AM279" s="297"/>
      <c r="AN279" s="297"/>
      <c r="AO279" s="297"/>
      <c r="AP279" s="297"/>
      <c r="AQ279" s="297"/>
      <c r="AR279" s="297"/>
      <c r="AS279" s="297"/>
      <c r="AT279" s="297"/>
      <c r="AU279" s="297"/>
      <c r="AV279" s="297"/>
      <c r="AW279" s="297"/>
      <c r="AX279" s="297"/>
      <c r="AY279" s="297"/>
      <c r="AZ279" s="297"/>
      <c r="BA279" s="297"/>
      <c r="BB279" s="297"/>
    </row>
    <row r="280" spans="1:54" thickBot="1">
      <c r="A280" s="298"/>
      <c r="B280" s="298"/>
      <c r="C280" s="298"/>
      <c r="D280" s="298"/>
      <c r="E280" s="298"/>
      <c r="F280" s="282"/>
      <c r="G280" s="298"/>
      <c r="H280" s="298"/>
      <c r="I280" s="282"/>
      <c r="J280" s="298"/>
      <c r="K280" s="566"/>
      <c r="L280" s="282"/>
      <c r="M280" s="282"/>
      <c r="N280" s="298"/>
      <c r="O280" s="282"/>
      <c r="P280" s="282"/>
      <c r="Q280" s="298"/>
      <c r="R280" s="282"/>
      <c r="S280" s="282"/>
      <c r="T280" s="298"/>
      <c r="U280" s="282"/>
      <c r="V280" s="298"/>
      <c r="W280" s="298"/>
      <c r="X280" s="297"/>
      <c r="Y280" s="297"/>
      <c r="Z280" s="297"/>
      <c r="AA280" s="297"/>
      <c r="AB280" s="297"/>
      <c r="AC280" s="297"/>
      <c r="AD280" s="297"/>
      <c r="AE280" s="297"/>
      <c r="AF280" s="297"/>
      <c r="AG280" s="297"/>
      <c r="AH280" s="297"/>
      <c r="AI280" s="297"/>
      <c r="AJ280" s="297"/>
      <c r="AK280" s="297"/>
      <c r="AL280" s="297"/>
      <c r="AM280" s="297"/>
      <c r="AN280" s="297"/>
      <c r="AO280" s="297"/>
      <c r="AP280" s="297"/>
      <c r="AQ280" s="297"/>
      <c r="AR280" s="297"/>
      <c r="AS280" s="297"/>
      <c r="AT280" s="297"/>
      <c r="AU280" s="297"/>
      <c r="AV280" s="297"/>
      <c r="AW280" s="297"/>
      <c r="AX280" s="297"/>
      <c r="AY280" s="297"/>
      <c r="AZ280" s="297"/>
      <c r="BA280" s="297"/>
      <c r="BB280" s="297"/>
    </row>
    <row r="281" spans="1:54" thickBot="1">
      <c r="A281" s="298"/>
      <c r="B281" s="298"/>
      <c r="C281" s="298"/>
      <c r="D281" s="298"/>
      <c r="E281" s="298"/>
      <c r="F281" s="282"/>
      <c r="G281" s="298"/>
      <c r="H281" s="298"/>
      <c r="I281" s="282"/>
      <c r="J281" s="298"/>
      <c r="K281" s="566"/>
      <c r="L281" s="282"/>
      <c r="M281" s="282"/>
      <c r="N281" s="298"/>
      <c r="O281" s="282"/>
      <c r="P281" s="282"/>
      <c r="Q281" s="298"/>
      <c r="R281" s="282"/>
      <c r="S281" s="282"/>
      <c r="T281" s="298"/>
      <c r="U281" s="282"/>
      <c r="V281" s="298"/>
      <c r="W281" s="298"/>
      <c r="X281" s="297"/>
      <c r="Y281" s="297"/>
      <c r="Z281" s="297"/>
      <c r="AA281" s="297"/>
      <c r="AB281" s="297"/>
      <c r="AC281" s="297"/>
      <c r="AD281" s="297"/>
      <c r="AE281" s="297"/>
      <c r="AF281" s="297"/>
      <c r="AG281" s="297"/>
      <c r="AH281" s="297"/>
      <c r="AI281" s="297"/>
      <c r="AJ281" s="297"/>
      <c r="AK281" s="297"/>
      <c r="AL281" s="297"/>
      <c r="AM281" s="297"/>
      <c r="AN281" s="297"/>
      <c r="AO281" s="297"/>
      <c r="AP281" s="297"/>
      <c r="AQ281" s="297"/>
      <c r="AR281" s="297"/>
      <c r="AS281" s="297"/>
      <c r="AT281" s="297"/>
      <c r="AU281" s="297"/>
      <c r="AV281" s="297"/>
      <c r="AW281" s="297"/>
      <c r="AX281" s="297"/>
      <c r="AY281" s="297"/>
      <c r="AZ281" s="297"/>
      <c r="BA281" s="297"/>
      <c r="BB281" s="297"/>
    </row>
    <row r="282" spans="1:54" thickBot="1">
      <c r="A282" s="298"/>
      <c r="B282" s="298"/>
      <c r="C282" s="298"/>
      <c r="D282" s="298"/>
      <c r="E282" s="298"/>
      <c r="F282" s="282"/>
      <c r="G282" s="298"/>
      <c r="H282" s="298"/>
      <c r="I282" s="282"/>
      <c r="J282" s="298"/>
      <c r="K282" s="566"/>
      <c r="L282" s="282"/>
      <c r="M282" s="282"/>
      <c r="N282" s="298"/>
      <c r="O282" s="282"/>
      <c r="P282" s="282"/>
      <c r="Q282" s="298"/>
      <c r="R282" s="282"/>
      <c r="S282" s="282"/>
      <c r="T282" s="298"/>
      <c r="U282" s="282"/>
      <c r="V282" s="298"/>
      <c r="W282" s="298"/>
      <c r="X282" s="297"/>
      <c r="Y282" s="297"/>
      <c r="Z282" s="297"/>
      <c r="AA282" s="297"/>
      <c r="AB282" s="297"/>
      <c r="AC282" s="297"/>
      <c r="AD282" s="297"/>
      <c r="AE282" s="297"/>
      <c r="AF282" s="297"/>
      <c r="AG282" s="297"/>
      <c r="AH282" s="297"/>
      <c r="AI282" s="297"/>
      <c r="AJ282" s="297"/>
      <c r="AK282" s="297"/>
      <c r="AL282" s="297"/>
      <c r="AM282" s="297"/>
      <c r="AN282" s="297"/>
      <c r="AO282" s="297"/>
      <c r="AP282" s="297"/>
      <c r="AQ282" s="297"/>
      <c r="AR282" s="297"/>
      <c r="AS282" s="297"/>
      <c r="AT282" s="297"/>
      <c r="AU282" s="297"/>
      <c r="AV282" s="297"/>
      <c r="AW282" s="297"/>
      <c r="AX282" s="297"/>
      <c r="AY282" s="297"/>
      <c r="AZ282" s="297"/>
      <c r="BA282" s="297"/>
      <c r="BB282" s="297"/>
    </row>
    <row r="283" spans="1:54" thickBot="1">
      <c r="A283" s="298"/>
      <c r="B283" s="298"/>
      <c r="C283" s="298"/>
      <c r="D283" s="298"/>
      <c r="E283" s="298"/>
      <c r="F283" s="282"/>
      <c r="G283" s="298"/>
      <c r="H283" s="298"/>
      <c r="I283" s="282"/>
      <c r="J283" s="298"/>
      <c r="K283" s="566"/>
      <c r="L283" s="282"/>
      <c r="M283" s="282"/>
      <c r="N283" s="298"/>
      <c r="O283" s="282"/>
      <c r="P283" s="282"/>
      <c r="Q283" s="298"/>
      <c r="R283" s="282"/>
      <c r="S283" s="282"/>
      <c r="T283" s="298"/>
      <c r="U283" s="282"/>
      <c r="V283" s="298"/>
      <c r="W283" s="298"/>
      <c r="X283" s="297"/>
      <c r="Y283" s="297"/>
      <c r="Z283" s="297"/>
      <c r="AA283" s="297"/>
      <c r="AB283" s="297"/>
      <c r="AC283" s="297"/>
      <c r="AD283" s="297"/>
      <c r="AE283" s="297"/>
      <c r="AF283" s="297"/>
      <c r="AG283" s="297"/>
      <c r="AH283" s="297"/>
      <c r="AI283" s="297"/>
      <c r="AJ283" s="297"/>
      <c r="AK283" s="297"/>
      <c r="AL283" s="297"/>
      <c r="AM283" s="297"/>
      <c r="AN283" s="297"/>
      <c r="AO283" s="297"/>
      <c r="AP283" s="297"/>
      <c r="AQ283" s="297"/>
      <c r="AR283" s="297"/>
      <c r="AS283" s="297"/>
      <c r="AT283" s="297"/>
      <c r="AU283" s="297"/>
      <c r="AV283" s="297"/>
      <c r="AW283" s="297"/>
      <c r="AX283" s="297"/>
      <c r="AY283" s="297"/>
      <c r="AZ283" s="297"/>
      <c r="BA283" s="297"/>
      <c r="BB283" s="297"/>
    </row>
    <row r="284" spans="1:54" thickBot="1">
      <c r="A284" s="298"/>
      <c r="B284" s="298"/>
      <c r="C284" s="298"/>
      <c r="D284" s="298"/>
      <c r="E284" s="298"/>
      <c r="F284" s="282"/>
      <c r="G284" s="298"/>
      <c r="H284" s="298"/>
      <c r="I284" s="282"/>
      <c r="J284" s="298"/>
      <c r="K284" s="566"/>
      <c r="L284" s="282"/>
      <c r="M284" s="282"/>
      <c r="N284" s="298"/>
      <c r="O284" s="282"/>
      <c r="P284" s="282"/>
      <c r="Q284" s="298"/>
      <c r="R284" s="282"/>
      <c r="S284" s="282"/>
      <c r="T284" s="298"/>
      <c r="U284" s="282"/>
      <c r="V284" s="298"/>
      <c r="W284" s="298"/>
      <c r="X284" s="297"/>
      <c r="Y284" s="297"/>
      <c r="Z284" s="297"/>
      <c r="AA284" s="297"/>
      <c r="AB284" s="297"/>
      <c r="AC284" s="297"/>
      <c r="AD284" s="297"/>
      <c r="AE284" s="297"/>
      <c r="AF284" s="297"/>
      <c r="AG284" s="297"/>
      <c r="AH284" s="297"/>
      <c r="AI284" s="297"/>
      <c r="AJ284" s="297"/>
      <c r="AK284" s="297"/>
      <c r="AL284" s="297"/>
      <c r="AM284" s="297"/>
      <c r="AN284" s="297"/>
      <c r="AO284" s="297"/>
      <c r="AP284" s="297"/>
      <c r="AQ284" s="297"/>
      <c r="AR284" s="297"/>
      <c r="AS284" s="297"/>
      <c r="AT284" s="297"/>
      <c r="AU284" s="297"/>
      <c r="AV284" s="297"/>
      <c r="AW284" s="297"/>
      <c r="AX284" s="297"/>
      <c r="AY284" s="297"/>
      <c r="AZ284" s="297"/>
      <c r="BA284" s="297"/>
      <c r="BB284" s="297"/>
    </row>
    <row r="285" spans="1:54" thickBot="1">
      <c r="A285" s="298"/>
      <c r="B285" s="298"/>
      <c r="C285" s="298"/>
      <c r="D285" s="298"/>
      <c r="E285" s="298"/>
      <c r="F285" s="282"/>
      <c r="G285" s="298"/>
      <c r="H285" s="298"/>
      <c r="I285" s="282"/>
      <c r="J285" s="298"/>
      <c r="K285" s="566"/>
      <c r="L285" s="282"/>
      <c r="M285" s="282"/>
      <c r="N285" s="298"/>
      <c r="O285" s="282"/>
      <c r="P285" s="282"/>
      <c r="Q285" s="298"/>
      <c r="R285" s="282"/>
      <c r="S285" s="282"/>
      <c r="T285" s="298"/>
      <c r="U285" s="282"/>
      <c r="V285" s="298"/>
      <c r="W285" s="298"/>
      <c r="X285" s="297"/>
      <c r="Y285" s="297"/>
      <c r="Z285" s="297"/>
      <c r="AA285" s="297"/>
      <c r="AB285" s="297"/>
      <c r="AC285" s="297"/>
      <c r="AD285" s="297"/>
      <c r="AE285" s="297"/>
      <c r="AF285" s="297"/>
      <c r="AG285" s="297"/>
      <c r="AH285" s="297"/>
      <c r="AI285" s="297"/>
      <c r="AJ285" s="297"/>
      <c r="AK285" s="297"/>
      <c r="AL285" s="297"/>
      <c r="AM285" s="297"/>
      <c r="AN285" s="297"/>
      <c r="AO285" s="297"/>
      <c r="AP285" s="297"/>
      <c r="AQ285" s="297"/>
      <c r="AR285" s="297"/>
      <c r="AS285" s="297"/>
      <c r="AT285" s="297"/>
      <c r="AU285" s="297"/>
      <c r="AV285" s="297"/>
      <c r="AW285" s="297"/>
      <c r="AX285" s="297"/>
      <c r="AY285" s="297"/>
      <c r="AZ285" s="297"/>
      <c r="BA285" s="297"/>
      <c r="BB285" s="297"/>
    </row>
    <row r="286" spans="1:54" thickBot="1">
      <c r="A286" s="298"/>
      <c r="B286" s="298"/>
      <c r="C286" s="298"/>
      <c r="D286" s="298"/>
      <c r="E286" s="298"/>
      <c r="F286" s="282"/>
      <c r="G286" s="298"/>
      <c r="H286" s="298"/>
      <c r="I286" s="282"/>
      <c r="J286" s="298"/>
      <c r="K286" s="566"/>
      <c r="L286" s="282"/>
      <c r="M286" s="282"/>
      <c r="N286" s="298"/>
      <c r="O286" s="282"/>
      <c r="P286" s="282"/>
      <c r="Q286" s="298"/>
      <c r="R286" s="282"/>
      <c r="S286" s="282"/>
      <c r="T286" s="298"/>
      <c r="U286" s="282"/>
      <c r="V286" s="298"/>
      <c r="W286" s="298"/>
      <c r="X286" s="297"/>
      <c r="Y286" s="297"/>
      <c r="Z286" s="297"/>
      <c r="AA286" s="297"/>
      <c r="AB286" s="297"/>
      <c r="AC286" s="297"/>
      <c r="AD286" s="297"/>
      <c r="AE286" s="297"/>
      <c r="AF286" s="297"/>
      <c r="AG286" s="297"/>
      <c r="AH286" s="297"/>
      <c r="AI286" s="297"/>
      <c r="AJ286" s="297"/>
      <c r="AK286" s="297"/>
      <c r="AL286" s="297"/>
      <c r="AM286" s="297"/>
      <c r="AN286" s="297"/>
      <c r="AO286" s="297"/>
      <c r="AP286" s="297"/>
      <c r="AQ286" s="297"/>
      <c r="AR286" s="297"/>
      <c r="AS286" s="297"/>
      <c r="AT286" s="297"/>
      <c r="AU286" s="297"/>
      <c r="AV286" s="297"/>
      <c r="AW286" s="297"/>
      <c r="AX286" s="297"/>
      <c r="AY286" s="297"/>
      <c r="AZ286" s="297"/>
      <c r="BA286" s="297"/>
      <c r="BB286" s="297"/>
    </row>
    <row r="287" spans="1:54" thickBot="1">
      <c r="A287" s="298"/>
      <c r="B287" s="298"/>
      <c r="C287" s="298"/>
      <c r="D287" s="298"/>
      <c r="E287" s="298"/>
      <c r="F287" s="282"/>
      <c r="G287" s="298"/>
      <c r="H287" s="298"/>
      <c r="I287" s="282"/>
      <c r="J287" s="298"/>
      <c r="K287" s="566"/>
      <c r="L287" s="282"/>
      <c r="M287" s="282"/>
      <c r="N287" s="298"/>
      <c r="O287" s="282"/>
      <c r="P287" s="282"/>
      <c r="Q287" s="298"/>
      <c r="R287" s="282"/>
      <c r="S287" s="282"/>
      <c r="T287" s="298"/>
      <c r="U287" s="282"/>
      <c r="V287" s="298"/>
      <c r="W287" s="298"/>
      <c r="X287" s="297"/>
      <c r="Y287" s="297"/>
      <c r="Z287" s="297"/>
      <c r="AA287" s="297"/>
      <c r="AB287" s="297"/>
      <c r="AC287" s="297"/>
      <c r="AD287" s="297"/>
      <c r="AE287" s="297"/>
      <c r="AF287" s="297"/>
      <c r="AG287" s="297"/>
      <c r="AH287" s="297"/>
      <c r="AI287" s="297"/>
      <c r="AJ287" s="297"/>
      <c r="AK287" s="297"/>
      <c r="AL287" s="297"/>
      <c r="AM287" s="297"/>
      <c r="AN287" s="297"/>
      <c r="AO287" s="297"/>
      <c r="AP287" s="297"/>
      <c r="AQ287" s="297"/>
      <c r="AR287" s="297"/>
      <c r="AS287" s="297"/>
      <c r="AT287" s="297"/>
      <c r="AU287" s="297"/>
      <c r="AV287" s="297"/>
      <c r="AW287" s="297"/>
      <c r="AX287" s="297"/>
      <c r="AY287" s="297"/>
      <c r="AZ287" s="297"/>
      <c r="BA287" s="297"/>
      <c r="BB287" s="297"/>
    </row>
    <row r="288" spans="1:54" thickBot="1">
      <c r="A288" s="298"/>
      <c r="B288" s="298"/>
      <c r="C288" s="298"/>
      <c r="D288" s="298"/>
      <c r="E288" s="298"/>
      <c r="F288" s="282"/>
      <c r="G288" s="298"/>
      <c r="H288" s="298"/>
      <c r="I288" s="282"/>
      <c r="J288" s="298"/>
      <c r="K288" s="566"/>
      <c r="L288" s="282"/>
      <c r="M288" s="282"/>
      <c r="N288" s="298"/>
      <c r="O288" s="282"/>
      <c r="P288" s="282"/>
      <c r="Q288" s="298"/>
      <c r="R288" s="282"/>
      <c r="S288" s="282"/>
      <c r="T288" s="298"/>
      <c r="U288" s="282"/>
      <c r="V288" s="298"/>
      <c r="W288" s="298"/>
      <c r="X288" s="297"/>
      <c r="Y288" s="297"/>
      <c r="Z288" s="297"/>
      <c r="AA288" s="297"/>
      <c r="AB288" s="297"/>
      <c r="AC288" s="297"/>
      <c r="AD288" s="297"/>
      <c r="AE288" s="297"/>
      <c r="AF288" s="297"/>
      <c r="AG288" s="297"/>
      <c r="AH288" s="297"/>
      <c r="AI288" s="297"/>
      <c r="AJ288" s="297"/>
      <c r="AK288" s="297"/>
      <c r="AL288" s="297"/>
      <c r="AM288" s="297"/>
      <c r="AN288" s="297"/>
      <c r="AO288" s="297"/>
      <c r="AP288" s="297"/>
      <c r="AQ288" s="297"/>
      <c r="AR288" s="297"/>
      <c r="AS288" s="297"/>
      <c r="AT288" s="297"/>
      <c r="AU288" s="297"/>
      <c r="AV288" s="297"/>
      <c r="AW288" s="297"/>
      <c r="AX288" s="297"/>
      <c r="AY288" s="297"/>
      <c r="AZ288" s="297"/>
      <c r="BA288" s="297"/>
      <c r="BB288" s="297"/>
    </row>
    <row r="289" spans="1:54" thickBot="1">
      <c r="A289" s="298"/>
      <c r="B289" s="298"/>
      <c r="C289" s="298"/>
      <c r="D289" s="298"/>
      <c r="E289" s="298"/>
      <c r="F289" s="282"/>
      <c r="G289" s="298"/>
      <c r="H289" s="298"/>
      <c r="I289" s="282"/>
      <c r="J289" s="298"/>
      <c r="K289" s="566"/>
      <c r="L289" s="282"/>
      <c r="M289" s="282"/>
      <c r="N289" s="298"/>
      <c r="O289" s="282"/>
      <c r="P289" s="282"/>
      <c r="Q289" s="298"/>
      <c r="R289" s="282"/>
      <c r="S289" s="282"/>
      <c r="T289" s="298"/>
      <c r="U289" s="282"/>
      <c r="V289" s="298"/>
      <c r="W289" s="298"/>
      <c r="X289" s="297"/>
      <c r="Y289" s="297"/>
      <c r="Z289" s="297"/>
      <c r="AA289" s="297"/>
      <c r="AB289" s="297"/>
      <c r="AC289" s="297"/>
      <c r="AD289" s="297"/>
      <c r="AE289" s="297"/>
      <c r="AF289" s="297"/>
      <c r="AG289" s="297"/>
      <c r="AH289" s="297"/>
      <c r="AI289" s="297"/>
      <c r="AJ289" s="297"/>
      <c r="AK289" s="297"/>
      <c r="AL289" s="297"/>
      <c r="AM289" s="297"/>
      <c r="AN289" s="297"/>
      <c r="AO289" s="297"/>
      <c r="AP289" s="297"/>
      <c r="AQ289" s="297"/>
      <c r="AR289" s="297"/>
      <c r="AS289" s="297"/>
      <c r="AT289" s="297"/>
      <c r="AU289" s="297"/>
      <c r="AV289" s="297"/>
      <c r="AW289" s="297"/>
      <c r="AX289" s="297"/>
      <c r="AY289" s="297"/>
      <c r="AZ289" s="297"/>
      <c r="BA289" s="297"/>
      <c r="BB289" s="297"/>
    </row>
    <row r="290" spans="1:54" thickBot="1">
      <c r="A290" s="298"/>
      <c r="B290" s="298"/>
      <c r="C290" s="298"/>
      <c r="D290" s="298"/>
      <c r="E290" s="298"/>
      <c r="F290" s="282"/>
      <c r="G290" s="298"/>
      <c r="H290" s="298"/>
      <c r="I290" s="282"/>
      <c r="J290" s="298"/>
      <c r="K290" s="566"/>
      <c r="L290" s="282"/>
      <c r="M290" s="282"/>
      <c r="N290" s="298"/>
      <c r="O290" s="282"/>
      <c r="P290" s="282"/>
      <c r="Q290" s="298"/>
      <c r="R290" s="282"/>
      <c r="S290" s="282"/>
      <c r="T290" s="298"/>
      <c r="U290" s="282"/>
      <c r="V290" s="298"/>
      <c r="W290" s="298"/>
      <c r="X290" s="297"/>
      <c r="Y290" s="297"/>
      <c r="Z290" s="297"/>
      <c r="AA290" s="297"/>
      <c r="AB290" s="297"/>
      <c r="AC290" s="297"/>
      <c r="AD290" s="297"/>
      <c r="AE290" s="297"/>
      <c r="AF290" s="297"/>
      <c r="AG290" s="297"/>
      <c r="AH290" s="297"/>
      <c r="AI290" s="297"/>
      <c r="AJ290" s="297"/>
      <c r="AK290" s="297"/>
      <c r="AL290" s="297"/>
      <c r="AM290" s="297"/>
      <c r="AN290" s="297"/>
      <c r="AO290" s="297"/>
      <c r="AP290" s="297"/>
      <c r="AQ290" s="297"/>
      <c r="AR290" s="297"/>
      <c r="AS290" s="297"/>
      <c r="AT290" s="297"/>
      <c r="AU290" s="297"/>
      <c r="AV290" s="297"/>
      <c r="AW290" s="297"/>
      <c r="AX290" s="297"/>
      <c r="AY290" s="297"/>
      <c r="AZ290" s="297"/>
      <c r="BA290" s="297"/>
      <c r="BB290" s="297"/>
    </row>
    <row r="291" spans="1:54" thickBot="1">
      <c r="A291" s="298"/>
      <c r="B291" s="298"/>
      <c r="C291" s="298"/>
      <c r="D291" s="298"/>
      <c r="E291" s="298"/>
      <c r="F291" s="282"/>
      <c r="G291" s="298"/>
      <c r="H291" s="298"/>
      <c r="I291" s="282"/>
      <c r="J291" s="298"/>
      <c r="K291" s="566"/>
      <c r="L291" s="282"/>
      <c r="M291" s="282"/>
      <c r="N291" s="298"/>
      <c r="O291" s="282"/>
      <c r="P291" s="282"/>
      <c r="Q291" s="298"/>
      <c r="R291" s="282"/>
      <c r="S291" s="282"/>
      <c r="T291" s="298"/>
      <c r="U291" s="282"/>
      <c r="V291" s="298"/>
      <c r="W291" s="298"/>
      <c r="X291" s="297"/>
      <c r="Y291" s="297"/>
      <c r="Z291" s="297"/>
      <c r="AA291" s="297"/>
      <c r="AB291" s="297"/>
      <c r="AC291" s="297"/>
      <c r="AD291" s="297"/>
      <c r="AE291" s="297"/>
      <c r="AF291" s="297"/>
      <c r="AG291" s="297"/>
      <c r="AH291" s="297"/>
      <c r="AI291" s="297"/>
      <c r="AJ291" s="297"/>
      <c r="AK291" s="297"/>
      <c r="AL291" s="297"/>
      <c r="AM291" s="297"/>
      <c r="AN291" s="297"/>
      <c r="AO291" s="297"/>
      <c r="AP291" s="297"/>
      <c r="AQ291" s="297"/>
      <c r="AR291" s="297"/>
      <c r="AS291" s="297"/>
      <c r="AT291" s="297"/>
      <c r="AU291" s="297"/>
      <c r="AV291" s="297"/>
      <c r="AW291" s="297"/>
      <c r="AX291" s="297"/>
      <c r="AY291" s="297"/>
      <c r="AZ291" s="297"/>
      <c r="BA291" s="297"/>
      <c r="BB291" s="297"/>
    </row>
    <row r="292" spans="1:54" thickBot="1">
      <c r="A292" s="298"/>
      <c r="B292" s="298"/>
      <c r="C292" s="298"/>
      <c r="D292" s="298"/>
      <c r="E292" s="298"/>
      <c r="F292" s="282"/>
      <c r="G292" s="298"/>
      <c r="H292" s="298"/>
      <c r="I292" s="282"/>
      <c r="J292" s="298"/>
      <c r="K292" s="566"/>
      <c r="L292" s="282"/>
      <c r="M292" s="282"/>
      <c r="N292" s="298"/>
      <c r="O292" s="282"/>
      <c r="P292" s="282"/>
      <c r="Q292" s="298"/>
      <c r="R292" s="282"/>
      <c r="S292" s="282"/>
      <c r="T292" s="298"/>
      <c r="U292" s="282"/>
      <c r="V292" s="298"/>
      <c r="W292" s="298"/>
      <c r="X292" s="297"/>
      <c r="Y292" s="297"/>
      <c r="Z292" s="297"/>
      <c r="AA292" s="297"/>
      <c r="AB292" s="297"/>
      <c r="AC292" s="297"/>
      <c r="AD292" s="297"/>
      <c r="AE292" s="297"/>
      <c r="AF292" s="297"/>
      <c r="AG292" s="297"/>
      <c r="AH292" s="297"/>
      <c r="AI292" s="297"/>
      <c r="AJ292" s="297"/>
      <c r="AK292" s="297"/>
      <c r="AL292" s="297"/>
      <c r="AM292" s="297"/>
      <c r="AN292" s="297"/>
      <c r="AO292" s="297"/>
      <c r="AP292" s="297"/>
      <c r="AQ292" s="297"/>
      <c r="AR292" s="297"/>
      <c r="AS292" s="297"/>
      <c r="AT292" s="297"/>
      <c r="AU292" s="297"/>
      <c r="AV292" s="297"/>
      <c r="AW292" s="297"/>
      <c r="AX292" s="297"/>
      <c r="AY292" s="297"/>
      <c r="AZ292" s="297"/>
      <c r="BA292" s="297"/>
      <c r="BB292" s="297"/>
    </row>
    <row r="293" spans="1:54" thickBot="1">
      <c r="A293" s="298"/>
      <c r="B293" s="298"/>
      <c r="C293" s="298"/>
      <c r="D293" s="298"/>
      <c r="E293" s="298"/>
      <c r="F293" s="282"/>
      <c r="G293" s="298"/>
      <c r="H293" s="298"/>
      <c r="I293" s="282"/>
      <c r="J293" s="298"/>
      <c r="K293" s="566"/>
      <c r="L293" s="282"/>
      <c r="M293" s="282"/>
      <c r="N293" s="298"/>
      <c r="O293" s="282"/>
      <c r="P293" s="282"/>
      <c r="Q293" s="298"/>
      <c r="R293" s="282"/>
      <c r="S293" s="282"/>
      <c r="T293" s="298"/>
      <c r="U293" s="282"/>
      <c r="V293" s="298"/>
      <c r="W293" s="298"/>
      <c r="X293" s="297"/>
      <c r="Y293" s="297"/>
      <c r="Z293" s="297"/>
      <c r="AA293" s="297"/>
      <c r="AB293" s="297"/>
      <c r="AC293" s="297"/>
      <c r="AD293" s="297"/>
      <c r="AE293" s="297"/>
      <c r="AF293" s="297"/>
      <c r="AG293" s="297"/>
      <c r="AH293" s="297"/>
      <c r="AI293" s="297"/>
      <c r="AJ293" s="297"/>
      <c r="AK293" s="297"/>
      <c r="AL293" s="297"/>
      <c r="AM293" s="297"/>
      <c r="AN293" s="297"/>
      <c r="AO293" s="297"/>
      <c r="AP293" s="297"/>
      <c r="AQ293" s="297"/>
      <c r="AR293" s="297"/>
      <c r="AS293" s="297"/>
      <c r="AT293" s="297"/>
      <c r="AU293" s="297"/>
      <c r="AV293" s="297"/>
      <c r="AW293" s="297"/>
      <c r="AX293" s="297"/>
      <c r="AY293" s="297"/>
      <c r="AZ293" s="297"/>
      <c r="BA293" s="297"/>
      <c r="BB293" s="297"/>
    </row>
    <row r="294" spans="1:54" thickBot="1">
      <c r="A294" s="298"/>
      <c r="B294" s="298"/>
      <c r="C294" s="298"/>
      <c r="D294" s="298"/>
      <c r="E294" s="298"/>
      <c r="F294" s="282"/>
      <c r="G294" s="298"/>
      <c r="H294" s="298"/>
      <c r="I294" s="282"/>
      <c r="J294" s="298"/>
      <c r="K294" s="566"/>
      <c r="L294" s="282"/>
      <c r="M294" s="282"/>
      <c r="N294" s="298"/>
      <c r="O294" s="282"/>
      <c r="P294" s="282"/>
      <c r="Q294" s="298"/>
      <c r="R294" s="282"/>
      <c r="S294" s="282"/>
      <c r="T294" s="298"/>
      <c r="U294" s="282"/>
      <c r="V294" s="298"/>
      <c r="W294" s="298"/>
      <c r="X294" s="297"/>
      <c r="Y294" s="297"/>
      <c r="Z294" s="297"/>
      <c r="AA294" s="297"/>
      <c r="AB294" s="297"/>
      <c r="AC294" s="297"/>
      <c r="AD294" s="297"/>
      <c r="AE294" s="297"/>
      <c r="AF294" s="297"/>
      <c r="AG294" s="297"/>
      <c r="AH294" s="297"/>
      <c r="AI294" s="297"/>
      <c r="AJ294" s="297"/>
      <c r="AK294" s="297"/>
      <c r="AL294" s="297"/>
      <c r="AM294" s="297"/>
      <c r="AN294" s="297"/>
      <c r="AO294" s="297"/>
      <c r="AP294" s="297"/>
      <c r="AQ294" s="297"/>
      <c r="AR294" s="297"/>
      <c r="AS294" s="297"/>
      <c r="AT294" s="297"/>
      <c r="AU294" s="297"/>
      <c r="AV294" s="297"/>
      <c r="AW294" s="297"/>
      <c r="AX294" s="297"/>
      <c r="AY294" s="297"/>
      <c r="AZ294" s="297"/>
      <c r="BA294" s="297"/>
      <c r="BB294" s="297"/>
    </row>
    <row r="295" spans="1:54" thickBot="1">
      <c r="A295" s="298"/>
      <c r="B295" s="298"/>
      <c r="C295" s="298"/>
      <c r="D295" s="298"/>
      <c r="E295" s="298"/>
      <c r="F295" s="282"/>
      <c r="G295" s="298"/>
      <c r="H295" s="298"/>
      <c r="I295" s="282"/>
      <c r="J295" s="298"/>
      <c r="K295" s="566"/>
      <c r="L295" s="282"/>
      <c r="M295" s="282"/>
      <c r="N295" s="298"/>
      <c r="O295" s="282"/>
      <c r="P295" s="282"/>
      <c r="Q295" s="298"/>
      <c r="R295" s="282"/>
      <c r="S295" s="282"/>
      <c r="T295" s="298"/>
      <c r="U295" s="282"/>
      <c r="V295" s="298"/>
      <c r="W295" s="298"/>
      <c r="X295" s="297"/>
      <c r="Y295" s="297"/>
      <c r="Z295" s="297"/>
      <c r="AA295" s="297"/>
      <c r="AB295" s="297"/>
      <c r="AC295" s="297"/>
      <c r="AD295" s="297"/>
      <c r="AE295" s="297"/>
      <c r="AF295" s="297"/>
      <c r="AG295" s="297"/>
      <c r="AH295" s="297"/>
      <c r="AI295" s="297"/>
      <c r="AJ295" s="297"/>
      <c r="AK295" s="297"/>
      <c r="AL295" s="297"/>
      <c r="AM295" s="297"/>
      <c r="AN295" s="297"/>
      <c r="AO295" s="297"/>
      <c r="AP295" s="297"/>
      <c r="AQ295" s="297"/>
      <c r="AR295" s="297"/>
      <c r="AS295" s="297"/>
      <c r="AT295" s="297"/>
      <c r="AU295" s="297"/>
      <c r="AV295" s="297"/>
      <c r="AW295" s="297"/>
      <c r="AX295" s="297"/>
      <c r="AY295" s="297"/>
      <c r="AZ295" s="297"/>
      <c r="BA295" s="297"/>
      <c r="BB295" s="297"/>
    </row>
    <row r="296" spans="1:54" thickBot="1">
      <c r="A296" s="298"/>
      <c r="B296" s="298"/>
      <c r="C296" s="298"/>
      <c r="D296" s="298"/>
      <c r="E296" s="298"/>
      <c r="F296" s="282"/>
      <c r="G296" s="298"/>
      <c r="H296" s="298"/>
      <c r="I296" s="282"/>
      <c r="J296" s="298"/>
      <c r="K296" s="566"/>
      <c r="L296" s="282"/>
      <c r="M296" s="282"/>
      <c r="N296" s="298"/>
      <c r="O296" s="282"/>
      <c r="P296" s="282"/>
      <c r="Q296" s="298"/>
      <c r="R296" s="282"/>
      <c r="S296" s="282"/>
      <c r="T296" s="298"/>
      <c r="U296" s="282"/>
      <c r="V296" s="298"/>
      <c r="W296" s="298"/>
      <c r="X296" s="297"/>
      <c r="Y296" s="297"/>
      <c r="Z296" s="297"/>
      <c r="AA296" s="297"/>
      <c r="AB296" s="297"/>
      <c r="AC296" s="297"/>
      <c r="AD296" s="297"/>
      <c r="AE296" s="297"/>
      <c r="AF296" s="297"/>
      <c r="AG296" s="297"/>
      <c r="AH296" s="297"/>
      <c r="AI296" s="297"/>
      <c r="AJ296" s="297"/>
      <c r="AK296" s="297"/>
      <c r="AL296" s="297"/>
      <c r="AM296" s="297"/>
      <c r="AN296" s="297"/>
      <c r="AO296" s="297"/>
      <c r="AP296" s="297"/>
      <c r="AQ296" s="297"/>
      <c r="AR296" s="297"/>
      <c r="AS296" s="297"/>
      <c r="AT296" s="297"/>
      <c r="AU296" s="297"/>
      <c r="AV296" s="297"/>
      <c r="AW296" s="297"/>
      <c r="AX296" s="297"/>
      <c r="AY296" s="297"/>
      <c r="AZ296" s="297"/>
      <c r="BA296" s="297"/>
      <c r="BB296" s="297"/>
    </row>
    <row r="297" spans="1:54" thickBot="1">
      <c r="A297" s="298"/>
      <c r="B297" s="298"/>
      <c r="C297" s="298"/>
      <c r="D297" s="298"/>
      <c r="E297" s="298"/>
      <c r="F297" s="282"/>
      <c r="G297" s="298"/>
      <c r="H297" s="298"/>
      <c r="I297" s="282"/>
      <c r="J297" s="298"/>
      <c r="K297" s="566"/>
      <c r="L297" s="282"/>
      <c r="M297" s="282"/>
      <c r="N297" s="298"/>
      <c r="O297" s="282"/>
      <c r="P297" s="282"/>
      <c r="Q297" s="298"/>
      <c r="R297" s="282"/>
      <c r="S297" s="282"/>
      <c r="T297" s="298"/>
      <c r="U297" s="282"/>
      <c r="V297" s="298"/>
      <c r="W297" s="298"/>
      <c r="X297" s="297"/>
      <c r="Y297" s="297"/>
      <c r="Z297" s="297"/>
      <c r="AA297" s="297"/>
      <c r="AB297" s="297"/>
      <c r="AC297" s="297"/>
      <c r="AD297" s="297"/>
      <c r="AE297" s="297"/>
      <c r="AF297" s="297"/>
      <c r="AG297" s="297"/>
      <c r="AH297" s="297"/>
      <c r="AI297" s="297"/>
      <c r="AJ297" s="297"/>
      <c r="AK297" s="297"/>
      <c r="AL297" s="297"/>
      <c r="AM297" s="297"/>
      <c r="AN297" s="297"/>
      <c r="AO297" s="297"/>
      <c r="AP297" s="297"/>
      <c r="AQ297" s="297"/>
      <c r="AR297" s="297"/>
      <c r="AS297" s="297"/>
      <c r="AT297" s="297"/>
      <c r="AU297" s="297"/>
      <c r="AV297" s="297"/>
      <c r="AW297" s="297"/>
      <c r="AX297" s="297"/>
      <c r="AY297" s="297"/>
      <c r="AZ297" s="297"/>
      <c r="BA297" s="297"/>
      <c r="BB297" s="297"/>
    </row>
    <row r="298" spans="1:54" thickBot="1">
      <c r="A298" s="298"/>
      <c r="B298" s="298"/>
      <c r="C298" s="298"/>
      <c r="D298" s="298"/>
      <c r="E298" s="298"/>
      <c r="F298" s="282"/>
      <c r="G298" s="298"/>
      <c r="H298" s="298"/>
      <c r="I298" s="282"/>
      <c r="J298" s="298"/>
      <c r="K298" s="566"/>
      <c r="L298" s="282"/>
      <c r="M298" s="282"/>
      <c r="N298" s="298"/>
      <c r="O298" s="282"/>
      <c r="P298" s="282"/>
      <c r="Q298" s="298"/>
      <c r="R298" s="282"/>
      <c r="S298" s="282"/>
      <c r="T298" s="298"/>
      <c r="U298" s="282"/>
      <c r="V298" s="298"/>
      <c r="W298" s="298"/>
      <c r="X298" s="297"/>
      <c r="Y298" s="297"/>
      <c r="Z298" s="297"/>
      <c r="AA298" s="297"/>
      <c r="AB298" s="297"/>
      <c r="AC298" s="297"/>
      <c r="AD298" s="297"/>
      <c r="AE298" s="297"/>
      <c r="AF298" s="297"/>
      <c r="AG298" s="297"/>
      <c r="AH298" s="297"/>
      <c r="AI298" s="297"/>
      <c r="AJ298" s="297"/>
      <c r="AK298" s="297"/>
      <c r="AL298" s="297"/>
      <c r="AM298" s="297"/>
      <c r="AN298" s="297"/>
      <c r="AO298" s="297"/>
      <c r="AP298" s="297"/>
      <c r="AQ298" s="297"/>
      <c r="AR298" s="297"/>
      <c r="AS298" s="297"/>
      <c r="AT298" s="297"/>
      <c r="AU298" s="297"/>
      <c r="AV298" s="297"/>
      <c r="AW298" s="297"/>
      <c r="AX298" s="297"/>
      <c r="AY298" s="297"/>
      <c r="AZ298" s="297"/>
      <c r="BA298" s="297"/>
      <c r="BB298" s="297"/>
    </row>
    <row r="299" spans="1:54" thickBot="1">
      <c r="A299" s="298"/>
      <c r="B299" s="298"/>
      <c r="C299" s="298"/>
      <c r="D299" s="298"/>
      <c r="E299" s="298"/>
      <c r="F299" s="282"/>
      <c r="G299" s="298"/>
      <c r="H299" s="298"/>
      <c r="I299" s="282"/>
      <c r="J299" s="298"/>
      <c r="K299" s="566"/>
      <c r="L299" s="282"/>
      <c r="M299" s="282"/>
      <c r="N299" s="298"/>
      <c r="O299" s="282"/>
      <c r="P299" s="282"/>
      <c r="Q299" s="298"/>
      <c r="R299" s="282"/>
      <c r="S299" s="282"/>
      <c r="T299" s="298"/>
      <c r="U299" s="282"/>
      <c r="V299" s="298"/>
      <c r="W299" s="298"/>
      <c r="X299" s="297"/>
      <c r="Y299" s="297"/>
      <c r="Z299" s="297"/>
      <c r="AA299" s="297"/>
      <c r="AB299" s="297"/>
      <c r="AC299" s="297"/>
      <c r="AD299" s="297"/>
      <c r="AE299" s="297"/>
      <c r="AF299" s="297"/>
      <c r="AG299" s="297"/>
      <c r="AH299" s="297"/>
      <c r="AI299" s="297"/>
      <c r="AJ299" s="297"/>
      <c r="AK299" s="297"/>
      <c r="AL299" s="297"/>
      <c r="AM299" s="297"/>
      <c r="AN299" s="297"/>
      <c r="AO299" s="297"/>
      <c r="AP299" s="297"/>
      <c r="AQ299" s="297"/>
      <c r="AR299" s="297"/>
      <c r="AS299" s="297"/>
      <c r="AT299" s="297"/>
      <c r="AU299" s="297"/>
      <c r="AV299" s="297"/>
      <c r="AW299" s="297"/>
      <c r="AX299" s="297"/>
      <c r="AY299" s="297"/>
      <c r="AZ299" s="297"/>
      <c r="BA299" s="297"/>
      <c r="BB299" s="297"/>
    </row>
    <row r="300" spans="1:54" thickBot="1">
      <c r="A300" s="298"/>
      <c r="B300" s="298"/>
      <c r="C300" s="298"/>
      <c r="D300" s="298"/>
      <c r="E300" s="298"/>
      <c r="F300" s="282"/>
      <c r="G300" s="298"/>
      <c r="H300" s="298"/>
      <c r="I300" s="282"/>
      <c r="J300" s="298"/>
      <c r="K300" s="566"/>
      <c r="L300" s="282"/>
      <c r="M300" s="282"/>
      <c r="N300" s="298"/>
      <c r="O300" s="282"/>
      <c r="P300" s="282"/>
      <c r="Q300" s="298"/>
      <c r="R300" s="282"/>
      <c r="S300" s="282"/>
      <c r="T300" s="298"/>
      <c r="U300" s="282"/>
      <c r="V300" s="298"/>
      <c r="W300" s="298"/>
      <c r="X300" s="297"/>
      <c r="Y300" s="297"/>
      <c r="Z300" s="297"/>
      <c r="AA300" s="297"/>
      <c r="AB300" s="297"/>
      <c r="AC300" s="297"/>
      <c r="AD300" s="297"/>
      <c r="AE300" s="297"/>
      <c r="AF300" s="297"/>
      <c r="AG300" s="297"/>
      <c r="AH300" s="297"/>
      <c r="AI300" s="297"/>
      <c r="AJ300" s="297"/>
      <c r="AK300" s="297"/>
      <c r="AL300" s="297"/>
      <c r="AM300" s="297"/>
      <c r="AN300" s="297"/>
      <c r="AO300" s="297"/>
      <c r="AP300" s="297"/>
      <c r="AQ300" s="297"/>
      <c r="AR300" s="297"/>
      <c r="AS300" s="297"/>
      <c r="AT300" s="297"/>
      <c r="AU300" s="297"/>
      <c r="AV300" s="297"/>
      <c r="AW300" s="297"/>
      <c r="AX300" s="297"/>
      <c r="AY300" s="297"/>
      <c r="AZ300" s="297"/>
      <c r="BA300" s="297"/>
      <c r="BB300" s="297"/>
    </row>
    <row r="301" spans="1:54" thickBot="1">
      <c r="A301" s="298"/>
      <c r="B301" s="298"/>
      <c r="C301" s="298"/>
      <c r="D301" s="298"/>
      <c r="E301" s="298"/>
      <c r="F301" s="282"/>
      <c r="G301" s="298"/>
      <c r="H301" s="298"/>
      <c r="I301" s="282"/>
      <c r="J301" s="298"/>
      <c r="K301" s="566"/>
      <c r="L301" s="282"/>
      <c r="M301" s="282"/>
      <c r="N301" s="298"/>
      <c r="O301" s="282"/>
      <c r="P301" s="282"/>
      <c r="Q301" s="298"/>
      <c r="R301" s="282"/>
      <c r="S301" s="282"/>
      <c r="T301" s="298"/>
      <c r="U301" s="282"/>
      <c r="V301" s="298"/>
      <c r="W301" s="298"/>
      <c r="X301" s="297"/>
      <c r="Y301" s="297"/>
      <c r="Z301" s="297"/>
      <c r="AA301" s="297"/>
      <c r="AB301" s="297"/>
      <c r="AC301" s="297"/>
      <c r="AD301" s="297"/>
      <c r="AE301" s="297"/>
      <c r="AF301" s="297"/>
      <c r="AG301" s="297"/>
      <c r="AH301" s="297"/>
      <c r="AI301" s="297"/>
      <c r="AJ301" s="297"/>
      <c r="AK301" s="297"/>
      <c r="AL301" s="297"/>
      <c r="AM301" s="297"/>
      <c r="AN301" s="297"/>
      <c r="AO301" s="297"/>
      <c r="AP301" s="297"/>
      <c r="AQ301" s="297"/>
      <c r="AR301" s="297"/>
      <c r="AS301" s="297"/>
      <c r="AT301" s="297"/>
      <c r="AU301" s="297"/>
      <c r="AV301" s="297"/>
      <c r="AW301" s="297"/>
      <c r="AX301" s="297"/>
      <c r="AY301" s="297"/>
      <c r="AZ301" s="297"/>
      <c r="BA301" s="297"/>
      <c r="BB301" s="297"/>
    </row>
    <row r="302" spans="1:54" thickBot="1">
      <c r="A302" s="298"/>
      <c r="B302" s="298"/>
      <c r="C302" s="298"/>
      <c r="D302" s="298"/>
      <c r="E302" s="298"/>
      <c r="F302" s="282"/>
      <c r="G302" s="298"/>
      <c r="H302" s="298"/>
      <c r="I302" s="282"/>
      <c r="J302" s="298"/>
      <c r="K302" s="566"/>
      <c r="L302" s="282"/>
      <c r="M302" s="282"/>
      <c r="N302" s="298"/>
      <c r="O302" s="282"/>
      <c r="P302" s="282"/>
      <c r="Q302" s="298"/>
      <c r="R302" s="282"/>
      <c r="S302" s="282"/>
      <c r="T302" s="298"/>
      <c r="U302" s="282"/>
      <c r="V302" s="298"/>
      <c r="W302" s="298"/>
      <c r="X302" s="297"/>
      <c r="Y302" s="297"/>
      <c r="Z302" s="297"/>
      <c r="AA302" s="297"/>
      <c r="AB302" s="297"/>
      <c r="AC302" s="297"/>
      <c r="AD302" s="297"/>
      <c r="AE302" s="297"/>
      <c r="AF302" s="297"/>
      <c r="AG302" s="297"/>
      <c r="AH302" s="297"/>
      <c r="AI302" s="297"/>
      <c r="AJ302" s="297"/>
      <c r="AK302" s="297"/>
      <c r="AL302" s="297"/>
      <c r="AM302" s="297"/>
      <c r="AN302" s="297"/>
      <c r="AO302" s="297"/>
      <c r="AP302" s="297"/>
      <c r="AQ302" s="297"/>
      <c r="AR302" s="297"/>
      <c r="AS302" s="297"/>
      <c r="AT302" s="297"/>
      <c r="AU302" s="297"/>
      <c r="AV302" s="297"/>
      <c r="AW302" s="297"/>
      <c r="AX302" s="297"/>
      <c r="AY302" s="297"/>
      <c r="AZ302" s="297"/>
      <c r="BA302" s="297"/>
      <c r="BB302" s="297"/>
    </row>
    <row r="303" spans="1:54" thickBot="1">
      <c r="A303" s="298"/>
      <c r="B303" s="298"/>
      <c r="C303" s="298"/>
      <c r="D303" s="298"/>
      <c r="E303" s="298"/>
      <c r="F303" s="282"/>
      <c r="G303" s="298"/>
      <c r="H303" s="298"/>
      <c r="I303" s="282"/>
      <c r="J303" s="298"/>
      <c r="K303" s="566"/>
      <c r="L303" s="282"/>
      <c r="M303" s="282"/>
      <c r="N303" s="298"/>
      <c r="O303" s="282"/>
      <c r="P303" s="282"/>
      <c r="Q303" s="298"/>
      <c r="R303" s="282"/>
      <c r="S303" s="282"/>
      <c r="T303" s="298"/>
      <c r="U303" s="282"/>
      <c r="V303" s="298"/>
      <c r="W303" s="298"/>
      <c r="X303" s="297"/>
      <c r="Y303" s="297"/>
      <c r="Z303" s="297"/>
      <c r="AA303" s="297"/>
      <c r="AB303" s="297"/>
      <c r="AC303" s="297"/>
      <c r="AD303" s="297"/>
      <c r="AE303" s="297"/>
      <c r="AF303" s="297"/>
      <c r="AG303" s="297"/>
      <c r="AH303" s="297"/>
      <c r="AI303" s="297"/>
      <c r="AJ303" s="297"/>
      <c r="AK303" s="297"/>
      <c r="AL303" s="297"/>
      <c r="AM303" s="297"/>
      <c r="AN303" s="297"/>
      <c r="AO303" s="297"/>
      <c r="AP303" s="297"/>
      <c r="AQ303" s="297"/>
      <c r="AR303" s="297"/>
      <c r="AS303" s="297"/>
      <c r="AT303" s="297"/>
      <c r="AU303" s="297"/>
      <c r="AV303" s="297"/>
      <c r="AW303" s="297"/>
      <c r="AX303" s="297"/>
      <c r="AY303" s="297"/>
      <c r="AZ303" s="297"/>
      <c r="BA303" s="297"/>
      <c r="BB303" s="297"/>
    </row>
    <row r="304" spans="1:54" thickBot="1">
      <c r="A304" s="298"/>
      <c r="B304" s="298"/>
      <c r="C304" s="298"/>
      <c r="D304" s="298"/>
      <c r="E304" s="298"/>
      <c r="F304" s="282"/>
      <c r="G304" s="298"/>
      <c r="H304" s="298"/>
      <c r="I304" s="282"/>
      <c r="J304" s="298"/>
      <c r="K304" s="566"/>
      <c r="L304" s="282"/>
      <c r="M304" s="282"/>
      <c r="N304" s="298"/>
      <c r="O304" s="282"/>
      <c r="P304" s="282"/>
      <c r="Q304" s="298"/>
      <c r="R304" s="282"/>
      <c r="S304" s="282"/>
      <c r="T304" s="298"/>
      <c r="U304" s="282"/>
      <c r="V304" s="298"/>
      <c r="W304" s="298"/>
      <c r="X304" s="297"/>
      <c r="Y304" s="297"/>
      <c r="Z304" s="297"/>
      <c r="AA304" s="297"/>
      <c r="AB304" s="297"/>
      <c r="AC304" s="297"/>
      <c r="AD304" s="297"/>
      <c r="AE304" s="297"/>
      <c r="AF304" s="297"/>
      <c r="AG304" s="297"/>
      <c r="AH304" s="297"/>
      <c r="AI304" s="297"/>
      <c r="AJ304" s="297"/>
      <c r="AK304" s="297"/>
      <c r="AL304" s="297"/>
      <c r="AM304" s="297"/>
      <c r="AN304" s="297"/>
      <c r="AO304" s="297"/>
      <c r="AP304" s="297"/>
      <c r="AQ304" s="297"/>
      <c r="AR304" s="297"/>
      <c r="AS304" s="297"/>
      <c r="AT304" s="297"/>
      <c r="AU304" s="297"/>
      <c r="AV304" s="297"/>
      <c r="AW304" s="297"/>
      <c r="AX304" s="297"/>
      <c r="AY304" s="297"/>
      <c r="AZ304" s="297"/>
      <c r="BA304" s="297"/>
      <c r="BB304" s="297"/>
    </row>
    <row r="305" spans="1:54" thickBot="1">
      <c r="A305" s="298"/>
      <c r="B305" s="298"/>
      <c r="C305" s="298"/>
      <c r="D305" s="298"/>
      <c r="E305" s="298"/>
      <c r="F305" s="282"/>
      <c r="G305" s="298"/>
      <c r="H305" s="298"/>
      <c r="I305" s="282"/>
      <c r="J305" s="298"/>
      <c r="K305" s="566"/>
      <c r="L305" s="282"/>
      <c r="M305" s="282"/>
      <c r="N305" s="298"/>
      <c r="O305" s="282"/>
      <c r="P305" s="282"/>
      <c r="Q305" s="298"/>
      <c r="R305" s="282"/>
      <c r="S305" s="282"/>
      <c r="T305" s="298"/>
      <c r="U305" s="282"/>
      <c r="V305" s="298"/>
      <c r="W305" s="298"/>
      <c r="X305" s="297"/>
      <c r="Y305" s="297"/>
      <c r="Z305" s="297"/>
      <c r="AA305" s="297"/>
      <c r="AB305" s="297"/>
      <c r="AC305" s="297"/>
      <c r="AD305" s="297"/>
      <c r="AE305" s="297"/>
      <c r="AF305" s="297"/>
      <c r="AG305" s="297"/>
      <c r="AH305" s="297"/>
      <c r="AI305" s="297"/>
      <c r="AJ305" s="297"/>
      <c r="AK305" s="297"/>
      <c r="AL305" s="297"/>
      <c r="AM305" s="297"/>
      <c r="AN305" s="297"/>
      <c r="AO305" s="297"/>
      <c r="AP305" s="297"/>
      <c r="AQ305" s="297"/>
      <c r="AR305" s="297"/>
      <c r="AS305" s="297"/>
      <c r="AT305" s="297"/>
      <c r="AU305" s="297"/>
      <c r="AV305" s="297"/>
      <c r="AW305" s="297"/>
      <c r="AX305" s="297"/>
      <c r="AY305" s="297"/>
      <c r="AZ305" s="297"/>
      <c r="BA305" s="297"/>
      <c r="BB305" s="297"/>
    </row>
    <row r="306" spans="1:54" thickBot="1">
      <c r="A306" s="298"/>
      <c r="B306" s="298"/>
      <c r="C306" s="298"/>
      <c r="D306" s="298"/>
      <c r="E306" s="298"/>
      <c r="F306" s="282"/>
      <c r="G306" s="298"/>
      <c r="H306" s="298"/>
      <c r="I306" s="282"/>
      <c r="J306" s="298"/>
      <c r="K306" s="566"/>
      <c r="L306" s="282"/>
      <c r="M306" s="282"/>
      <c r="N306" s="298"/>
      <c r="O306" s="282"/>
      <c r="P306" s="282"/>
      <c r="Q306" s="298"/>
      <c r="R306" s="282"/>
      <c r="S306" s="282"/>
      <c r="T306" s="298"/>
      <c r="U306" s="282"/>
      <c r="V306" s="298"/>
      <c r="W306" s="298"/>
      <c r="X306" s="297"/>
      <c r="Y306" s="297"/>
      <c r="Z306" s="297"/>
      <c r="AA306" s="297"/>
      <c r="AB306" s="297"/>
      <c r="AC306" s="297"/>
      <c r="AD306" s="297"/>
      <c r="AE306" s="297"/>
      <c r="AF306" s="297"/>
      <c r="AG306" s="297"/>
      <c r="AH306" s="297"/>
      <c r="AI306" s="297"/>
      <c r="AJ306" s="297"/>
      <c r="AK306" s="297"/>
      <c r="AL306" s="297"/>
      <c r="AM306" s="297"/>
      <c r="AN306" s="297"/>
      <c r="AO306" s="297"/>
      <c r="AP306" s="297"/>
      <c r="AQ306" s="297"/>
      <c r="AR306" s="297"/>
      <c r="AS306" s="297"/>
      <c r="AT306" s="297"/>
      <c r="AU306" s="297"/>
      <c r="AV306" s="297"/>
      <c r="AW306" s="297"/>
      <c r="AX306" s="297"/>
      <c r="AY306" s="297"/>
      <c r="AZ306" s="297"/>
      <c r="BA306" s="297"/>
      <c r="BB306" s="297"/>
    </row>
    <row r="307" spans="1:54" thickBot="1">
      <c r="A307" s="298"/>
      <c r="B307" s="298"/>
      <c r="C307" s="298"/>
      <c r="D307" s="298"/>
      <c r="E307" s="298"/>
      <c r="F307" s="282"/>
      <c r="G307" s="298"/>
      <c r="H307" s="298"/>
      <c r="I307" s="282"/>
      <c r="J307" s="298"/>
      <c r="K307" s="566"/>
      <c r="L307" s="282"/>
      <c r="M307" s="282"/>
      <c r="N307" s="298"/>
      <c r="O307" s="282"/>
      <c r="P307" s="282"/>
      <c r="Q307" s="298"/>
      <c r="R307" s="282"/>
      <c r="S307" s="282"/>
      <c r="T307" s="298"/>
      <c r="U307" s="282"/>
      <c r="V307" s="298"/>
      <c r="W307" s="298"/>
      <c r="X307" s="297"/>
      <c r="Y307" s="297"/>
      <c r="Z307" s="297"/>
      <c r="AA307" s="297"/>
      <c r="AB307" s="297"/>
      <c r="AC307" s="297"/>
      <c r="AD307" s="297"/>
      <c r="AE307" s="297"/>
      <c r="AF307" s="297"/>
      <c r="AG307" s="297"/>
      <c r="AH307" s="297"/>
      <c r="AI307" s="297"/>
      <c r="AJ307" s="297"/>
      <c r="AK307" s="297"/>
      <c r="AL307" s="297"/>
      <c r="AM307" s="297"/>
      <c r="AN307" s="297"/>
      <c r="AO307" s="297"/>
      <c r="AP307" s="297"/>
      <c r="AQ307" s="297"/>
      <c r="AR307" s="297"/>
      <c r="AS307" s="297"/>
      <c r="AT307" s="297"/>
      <c r="AU307" s="297"/>
      <c r="AV307" s="297"/>
      <c r="AW307" s="297"/>
      <c r="AX307" s="297"/>
      <c r="AY307" s="297"/>
      <c r="AZ307" s="297"/>
      <c r="BA307" s="297"/>
      <c r="BB307" s="297"/>
    </row>
    <row r="308" spans="1:54" thickBot="1">
      <c r="A308" s="298"/>
      <c r="B308" s="298"/>
      <c r="C308" s="298"/>
      <c r="D308" s="298"/>
      <c r="E308" s="298"/>
      <c r="F308" s="282"/>
      <c r="G308" s="298"/>
      <c r="H308" s="298"/>
      <c r="I308" s="282"/>
      <c r="J308" s="298"/>
      <c r="K308" s="566"/>
      <c r="L308" s="282"/>
      <c r="M308" s="282"/>
      <c r="N308" s="298"/>
      <c r="O308" s="282"/>
      <c r="P308" s="282"/>
      <c r="Q308" s="298"/>
      <c r="R308" s="282"/>
      <c r="S308" s="282"/>
      <c r="T308" s="298"/>
      <c r="U308" s="282"/>
      <c r="V308" s="298"/>
      <c r="W308" s="298"/>
      <c r="X308" s="297"/>
      <c r="Y308" s="297"/>
      <c r="Z308" s="297"/>
      <c r="AA308" s="297"/>
      <c r="AB308" s="297"/>
      <c r="AC308" s="297"/>
      <c r="AD308" s="297"/>
      <c r="AE308" s="297"/>
      <c r="AF308" s="297"/>
      <c r="AG308" s="297"/>
      <c r="AH308" s="297"/>
      <c r="AI308" s="297"/>
      <c r="AJ308" s="297"/>
      <c r="AK308" s="297"/>
      <c r="AL308" s="297"/>
      <c r="AM308" s="297"/>
      <c r="AN308" s="297"/>
      <c r="AO308" s="297"/>
      <c r="AP308" s="297"/>
      <c r="AQ308" s="297"/>
      <c r="AR308" s="297"/>
      <c r="AS308" s="297"/>
      <c r="AT308" s="297"/>
      <c r="AU308" s="297"/>
      <c r="AV308" s="297"/>
      <c r="AW308" s="297"/>
      <c r="AX308" s="297"/>
      <c r="AY308" s="297"/>
      <c r="AZ308" s="297"/>
      <c r="BA308" s="297"/>
      <c r="BB308" s="297"/>
    </row>
    <row r="309" spans="1:54" thickBot="1">
      <c r="A309" s="298"/>
      <c r="B309" s="298"/>
      <c r="C309" s="298"/>
      <c r="D309" s="298"/>
      <c r="E309" s="298"/>
      <c r="F309" s="282"/>
      <c r="G309" s="298"/>
      <c r="H309" s="298"/>
      <c r="I309" s="282"/>
      <c r="J309" s="298"/>
      <c r="K309" s="566"/>
      <c r="L309" s="282"/>
      <c r="M309" s="282"/>
      <c r="N309" s="298"/>
      <c r="O309" s="282"/>
      <c r="P309" s="282"/>
      <c r="Q309" s="298"/>
      <c r="R309" s="282"/>
      <c r="S309" s="282"/>
      <c r="T309" s="298"/>
      <c r="U309" s="282"/>
      <c r="V309" s="298"/>
      <c r="W309" s="298"/>
      <c r="X309" s="297"/>
      <c r="Y309" s="297"/>
      <c r="Z309" s="297"/>
      <c r="AA309" s="297"/>
      <c r="AB309" s="297"/>
      <c r="AC309" s="297"/>
      <c r="AD309" s="297"/>
      <c r="AE309" s="297"/>
      <c r="AF309" s="297"/>
      <c r="AG309" s="297"/>
      <c r="AH309" s="297"/>
      <c r="AI309" s="297"/>
      <c r="AJ309" s="297"/>
      <c r="AK309" s="297"/>
      <c r="AL309" s="297"/>
      <c r="AM309" s="297"/>
      <c r="AN309" s="297"/>
      <c r="AO309" s="297"/>
      <c r="AP309" s="297"/>
      <c r="AQ309" s="297"/>
      <c r="AR309" s="297"/>
      <c r="AS309" s="297"/>
      <c r="AT309" s="297"/>
      <c r="AU309" s="297"/>
      <c r="AV309" s="297"/>
      <c r="AW309" s="297"/>
      <c r="AX309" s="297"/>
      <c r="AY309" s="297"/>
      <c r="AZ309" s="297"/>
      <c r="BA309" s="297"/>
      <c r="BB309" s="297"/>
    </row>
    <row r="310" spans="1:54" thickBot="1">
      <c r="A310" s="298"/>
      <c r="B310" s="298"/>
      <c r="C310" s="298"/>
      <c r="D310" s="298"/>
      <c r="E310" s="298"/>
      <c r="F310" s="282"/>
      <c r="G310" s="298"/>
      <c r="H310" s="298"/>
      <c r="I310" s="282"/>
      <c r="J310" s="298"/>
      <c r="K310" s="566"/>
      <c r="L310" s="282"/>
      <c r="M310" s="282"/>
      <c r="N310" s="298"/>
      <c r="O310" s="282"/>
      <c r="P310" s="282"/>
      <c r="Q310" s="298"/>
      <c r="R310" s="282"/>
      <c r="S310" s="282"/>
      <c r="T310" s="298"/>
      <c r="U310" s="282"/>
      <c r="V310" s="298"/>
      <c r="W310" s="298"/>
      <c r="X310" s="297"/>
      <c r="Y310" s="297"/>
      <c r="Z310" s="297"/>
      <c r="AA310" s="297"/>
      <c r="AB310" s="297"/>
      <c r="AC310" s="297"/>
      <c r="AD310" s="297"/>
      <c r="AE310" s="297"/>
      <c r="AF310" s="297"/>
      <c r="AG310" s="297"/>
      <c r="AH310" s="297"/>
      <c r="AI310" s="297"/>
      <c r="AJ310" s="297"/>
      <c r="AK310" s="297"/>
      <c r="AL310" s="297"/>
      <c r="AM310" s="297"/>
      <c r="AN310" s="297"/>
      <c r="AO310" s="297"/>
      <c r="AP310" s="297"/>
      <c r="AQ310" s="297"/>
      <c r="AR310" s="297"/>
      <c r="AS310" s="297"/>
      <c r="AT310" s="297"/>
      <c r="AU310" s="297"/>
      <c r="AV310" s="297"/>
      <c r="AW310" s="297"/>
      <c r="AX310" s="297"/>
      <c r="AY310" s="297"/>
      <c r="AZ310" s="297"/>
      <c r="BA310" s="297"/>
      <c r="BB310" s="297"/>
    </row>
    <row r="311" spans="1:54" thickBot="1">
      <c r="A311" s="298"/>
      <c r="B311" s="298"/>
      <c r="C311" s="298"/>
      <c r="D311" s="298"/>
      <c r="E311" s="298"/>
      <c r="F311" s="282"/>
      <c r="G311" s="298"/>
      <c r="H311" s="298"/>
      <c r="I311" s="282"/>
      <c r="J311" s="298"/>
      <c r="K311" s="566"/>
      <c r="L311" s="282"/>
      <c r="M311" s="282"/>
      <c r="N311" s="298"/>
      <c r="O311" s="282"/>
      <c r="P311" s="282"/>
      <c r="Q311" s="298"/>
      <c r="R311" s="282"/>
      <c r="S311" s="282"/>
      <c r="T311" s="298"/>
      <c r="U311" s="282"/>
      <c r="V311" s="298"/>
      <c r="W311" s="298"/>
      <c r="X311" s="297"/>
      <c r="Y311" s="297"/>
      <c r="Z311" s="297"/>
      <c r="AA311" s="297"/>
      <c r="AB311" s="297"/>
      <c r="AC311" s="297"/>
      <c r="AD311" s="297"/>
      <c r="AE311" s="297"/>
      <c r="AF311" s="297"/>
      <c r="AG311" s="297"/>
      <c r="AH311" s="297"/>
      <c r="AI311" s="297"/>
      <c r="AJ311" s="297"/>
      <c r="AK311" s="297"/>
      <c r="AL311" s="297"/>
      <c r="AM311" s="297"/>
      <c r="AN311" s="297"/>
      <c r="AO311" s="297"/>
      <c r="AP311" s="297"/>
      <c r="AQ311" s="297"/>
      <c r="AR311" s="297"/>
      <c r="AS311" s="297"/>
      <c r="AT311" s="297"/>
      <c r="AU311" s="297"/>
      <c r="AV311" s="297"/>
      <c r="AW311" s="297"/>
      <c r="AX311" s="297"/>
      <c r="AY311" s="297"/>
      <c r="AZ311" s="297"/>
      <c r="BA311" s="297"/>
      <c r="BB311" s="297"/>
    </row>
    <row r="312" spans="1:54" thickBot="1">
      <c r="A312" s="298"/>
      <c r="B312" s="298"/>
      <c r="C312" s="298"/>
      <c r="D312" s="298"/>
      <c r="E312" s="298"/>
      <c r="F312" s="282"/>
      <c r="G312" s="298"/>
      <c r="H312" s="298"/>
      <c r="I312" s="282"/>
      <c r="J312" s="298"/>
      <c r="K312" s="566"/>
      <c r="L312" s="282"/>
      <c r="M312" s="282"/>
      <c r="N312" s="298"/>
      <c r="O312" s="282"/>
      <c r="P312" s="282"/>
      <c r="Q312" s="298"/>
      <c r="R312" s="282"/>
      <c r="S312" s="282"/>
      <c r="T312" s="298"/>
      <c r="U312" s="282"/>
      <c r="V312" s="298"/>
      <c r="W312" s="298"/>
      <c r="X312" s="297"/>
      <c r="Y312" s="297"/>
      <c r="Z312" s="297"/>
      <c r="AA312" s="297"/>
      <c r="AB312" s="297"/>
      <c r="AC312" s="297"/>
      <c r="AD312" s="297"/>
      <c r="AE312" s="297"/>
      <c r="AF312" s="297"/>
      <c r="AG312" s="297"/>
      <c r="AH312" s="297"/>
      <c r="AI312" s="297"/>
      <c r="AJ312" s="297"/>
      <c r="AK312" s="297"/>
      <c r="AL312" s="297"/>
      <c r="AM312" s="297"/>
      <c r="AN312" s="297"/>
      <c r="AO312" s="297"/>
      <c r="AP312" s="297"/>
      <c r="AQ312" s="297"/>
      <c r="AR312" s="297"/>
      <c r="AS312" s="297"/>
      <c r="AT312" s="297"/>
      <c r="AU312" s="297"/>
      <c r="AV312" s="297"/>
      <c r="AW312" s="297"/>
      <c r="AX312" s="297"/>
      <c r="AY312" s="297"/>
      <c r="AZ312" s="297"/>
      <c r="BA312" s="297"/>
      <c r="BB312" s="297"/>
    </row>
    <row r="313" spans="1:54" thickBot="1">
      <c r="A313" s="298"/>
      <c r="B313" s="298"/>
      <c r="C313" s="298"/>
      <c r="D313" s="298"/>
      <c r="E313" s="298"/>
      <c r="F313" s="282"/>
      <c r="G313" s="298"/>
      <c r="H313" s="298"/>
      <c r="I313" s="282"/>
      <c r="J313" s="298"/>
      <c r="K313" s="566"/>
      <c r="L313" s="282"/>
      <c r="M313" s="282"/>
      <c r="N313" s="298"/>
      <c r="O313" s="282"/>
      <c r="P313" s="282"/>
      <c r="Q313" s="298"/>
      <c r="R313" s="282"/>
      <c r="S313" s="282"/>
      <c r="T313" s="298"/>
      <c r="U313" s="282"/>
      <c r="V313" s="298"/>
      <c r="W313" s="298"/>
      <c r="X313" s="297"/>
      <c r="Y313" s="297"/>
      <c r="Z313" s="297"/>
      <c r="AA313" s="297"/>
      <c r="AB313" s="297"/>
      <c r="AC313" s="297"/>
      <c r="AD313" s="297"/>
      <c r="AE313" s="297"/>
      <c r="AF313" s="297"/>
      <c r="AG313" s="297"/>
      <c r="AH313" s="297"/>
      <c r="AI313" s="297"/>
      <c r="AJ313" s="297"/>
      <c r="AK313" s="297"/>
      <c r="AL313" s="297"/>
      <c r="AM313" s="297"/>
      <c r="AN313" s="297"/>
      <c r="AO313" s="297"/>
      <c r="AP313" s="297"/>
      <c r="AQ313" s="297"/>
      <c r="AR313" s="297"/>
      <c r="AS313" s="297"/>
      <c r="AT313" s="297"/>
      <c r="AU313" s="297"/>
      <c r="AV313" s="297"/>
      <c r="AW313" s="297"/>
      <c r="AX313" s="297"/>
      <c r="AY313" s="297"/>
      <c r="AZ313" s="297"/>
      <c r="BA313" s="297"/>
      <c r="BB313" s="297"/>
    </row>
    <row r="314" spans="1:54" thickBot="1">
      <c r="A314" s="298"/>
      <c r="B314" s="298"/>
      <c r="C314" s="298"/>
      <c r="D314" s="298"/>
      <c r="E314" s="298"/>
      <c r="F314" s="282"/>
      <c r="G314" s="298"/>
      <c r="H314" s="298"/>
      <c r="I314" s="282"/>
      <c r="J314" s="298"/>
      <c r="K314" s="566"/>
      <c r="L314" s="282"/>
      <c r="M314" s="282"/>
      <c r="N314" s="298"/>
      <c r="O314" s="282"/>
      <c r="P314" s="282"/>
      <c r="Q314" s="298"/>
      <c r="R314" s="282"/>
      <c r="S314" s="282"/>
      <c r="T314" s="298"/>
      <c r="U314" s="282"/>
      <c r="V314" s="298"/>
      <c r="W314" s="298"/>
      <c r="X314" s="297"/>
      <c r="Y314" s="297"/>
      <c r="Z314" s="297"/>
      <c r="AA314" s="297"/>
      <c r="AB314" s="297"/>
      <c r="AC314" s="297"/>
      <c r="AD314" s="297"/>
      <c r="AE314" s="297"/>
      <c r="AF314" s="297"/>
      <c r="AG314" s="297"/>
      <c r="AH314" s="297"/>
      <c r="AI314" s="297"/>
      <c r="AJ314" s="297"/>
      <c r="AK314" s="297"/>
      <c r="AL314" s="297"/>
      <c r="AM314" s="297"/>
      <c r="AN314" s="297"/>
      <c r="AO314" s="297"/>
      <c r="AP314" s="297"/>
      <c r="AQ314" s="297"/>
      <c r="AR314" s="297"/>
      <c r="AS314" s="297"/>
      <c r="AT314" s="297"/>
      <c r="AU314" s="297"/>
      <c r="AV314" s="297"/>
      <c r="AW314" s="297"/>
      <c r="AX314" s="297"/>
      <c r="AY314" s="297"/>
      <c r="AZ314" s="297"/>
      <c r="BA314" s="297"/>
      <c r="BB314" s="297"/>
    </row>
    <row r="315" spans="1:54" thickBot="1">
      <c r="A315" s="298"/>
      <c r="B315" s="298"/>
      <c r="C315" s="298"/>
      <c r="D315" s="298"/>
      <c r="E315" s="298"/>
      <c r="F315" s="282"/>
      <c r="G315" s="298"/>
      <c r="H315" s="298"/>
      <c r="I315" s="282"/>
      <c r="J315" s="298"/>
      <c r="K315" s="566"/>
      <c r="L315" s="282"/>
      <c r="M315" s="282"/>
      <c r="N315" s="298"/>
      <c r="O315" s="282"/>
      <c r="P315" s="282"/>
      <c r="Q315" s="298"/>
      <c r="R315" s="282"/>
      <c r="S315" s="282"/>
      <c r="T315" s="298"/>
      <c r="U315" s="282"/>
      <c r="V315" s="298"/>
      <c r="W315" s="298"/>
      <c r="X315" s="297"/>
      <c r="Y315" s="297"/>
      <c r="Z315" s="297"/>
      <c r="AA315" s="297"/>
      <c r="AB315" s="297"/>
      <c r="AC315" s="297"/>
      <c r="AD315" s="297"/>
      <c r="AE315" s="297"/>
      <c r="AF315" s="297"/>
      <c r="AG315" s="297"/>
      <c r="AH315" s="297"/>
      <c r="AI315" s="297"/>
      <c r="AJ315" s="297"/>
      <c r="AK315" s="297"/>
      <c r="AL315" s="297"/>
      <c r="AM315" s="297"/>
      <c r="AN315" s="297"/>
      <c r="AO315" s="297"/>
      <c r="AP315" s="297"/>
      <c r="AQ315" s="297"/>
      <c r="AR315" s="297"/>
      <c r="AS315" s="297"/>
      <c r="AT315" s="297"/>
      <c r="AU315" s="297"/>
      <c r="AV315" s="297"/>
      <c r="AW315" s="297"/>
      <c r="AX315" s="297"/>
      <c r="AY315" s="297"/>
      <c r="AZ315" s="297"/>
      <c r="BA315" s="297"/>
      <c r="BB315" s="297"/>
    </row>
    <row r="316" spans="1:54" thickBot="1">
      <c r="A316" s="298"/>
      <c r="B316" s="298"/>
      <c r="C316" s="298"/>
      <c r="D316" s="298"/>
      <c r="E316" s="298"/>
      <c r="F316" s="282"/>
      <c r="G316" s="298"/>
      <c r="H316" s="298"/>
      <c r="I316" s="282"/>
      <c r="J316" s="298"/>
      <c r="K316" s="566"/>
      <c r="L316" s="282"/>
      <c r="M316" s="282"/>
      <c r="N316" s="298"/>
      <c r="O316" s="282"/>
      <c r="P316" s="282"/>
      <c r="Q316" s="298"/>
      <c r="R316" s="282"/>
      <c r="S316" s="282"/>
      <c r="T316" s="298"/>
      <c r="U316" s="282"/>
      <c r="V316" s="298"/>
      <c r="W316" s="298"/>
      <c r="X316" s="297"/>
      <c r="Y316" s="297"/>
      <c r="Z316" s="297"/>
      <c r="AA316" s="297"/>
      <c r="AB316" s="297"/>
      <c r="AC316" s="297"/>
      <c r="AD316" s="297"/>
      <c r="AE316" s="297"/>
      <c r="AF316" s="297"/>
      <c r="AG316" s="297"/>
      <c r="AH316" s="297"/>
      <c r="AI316" s="297"/>
      <c r="AJ316" s="297"/>
      <c r="AK316" s="297"/>
      <c r="AL316" s="297"/>
      <c r="AM316" s="297"/>
      <c r="AN316" s="297"/>
      <c r="AO316" s="297"/>
      <c r="AP316" s="297"/>
      <c r="AQ316" s="297"/>
      <c r="AR316" s="297"/>
      <c r="AS316" s="297"/>
      <c r="AT316" s="297"/>
      <c r="AU316" s="297"/>
      <c r="AV316" s="297"/>
      <c r="AW316" s="297"/>
      <c r="AX316" s="297"/>
      <c r="AY316" s="297"/>
      <c r="AZ316" s="297"/>
      <c r="BA316" s="297"/>
      <c r="BB316" s="297"/>
    </row>
    <row r="317" spans="1:54" thickBot="1">
      <c r="A317" s="298"/>
      <c r="B317" s="298"/>
      <c r="C317" s="298"/>
      <c r="D317" s="298"/>
      <c r="E317" s="298"/>
      <c r="F317" s="282"/>
      <c r="G317" s="298"/>
      <c r="H317" s="298"/>
      <c r="I317" s="282"/>
      <c r="J317" s="298"/>
      <c r="K317" s="566"/>
      <c r="L317" s="282"/>
      <c r="M317" s="282"/>
      <c r="N317" s="298"/>
      <c r="O317" s="282"/>
      <c r="P317" s="282"/>
      <c r="Q317" s="298"/>
      <c r="R317" s="282"/>
      <c r="S317" s="282"/>
      <c r="T317" s="298"/>
      <c r="U317" s="282"/>
      <c r="V317" s="298"/>
      <c r="W317" s="298"/>
      <c r="X317" s="297"/>
      <c r="Y317" s="297"/>
      <c r="Z317" s="297"/>
      <c r="AA317" s="297"/>
      <c r="AB317" s="297"/>
      <c r="AC317" s="297"/>
      <c r="AD317" s="297"/>
      <c r="AE317" s="297"/>
      <c r="AF317" s="297"/>
      <c r="AG317" s="297"/>
      <c r="AH317" s="297"/>
      <c r="AI317" s="297"/>
      <c r="AJ317" s="297"/>
      <c r="AK317" s="297"/>
      <c r="AL317" s="297"/>
      <c r="AM317" s="297"/>
      <c r="AN317" s="297"/>
      <c r="AO317" s="297"/>
      <c r="AP317" s="297"/>
      <c r="AQ317" s="297"/>
      <c r="AR317" s="297"/>
      <c r="AS317" s="297"/>
      <c r="AT317" s="297"/>
      <c r="AU317" s="297"/>
      <c r="AV317" s="297"/>
      <c r="AW317" s="297"/>
      <c r="AX317" s="297"/>
      <c r="AY317" s="297"/>
      <c r="AZ317" s="297"/>
      <c r="BA317" s="297"/>
      <c r="BB317" s="297"/>
    </row>
    <row r="318" spans="1:54" thickBot="1">
      <c r="A318" s="298"/>
      <c r="B318" s="298"/>
      <c r="C318" s="298"/>
      <c r="D318" s="298"/>
      <c r="E318" s="298"/>
      <c r="F318" s="282"/>
      <c r="G318" s="298"/>
      <c r="H318" s="298"/>
      <c r="I318" s="282"/>
      <c r="J318" s="298"/>
      <c r="K318" s="566"/>
      <c r="L318" s="282"/>
      <c r="M318" s="282"/>
      <c r="N318" s="298"/>
      <c r="O318" s="282"/>
      <c r="P318" s="282"/>
      <c r="Q318" s="298"/>
      <c r="R318" s="282"/>
      <c r="S318" s="282"/>
      <c r="T318" s="298"/>
      <c r="U318" s="282"/>
      <c r="V318" s="298"/>
      <c r="W318" s="298"/>
      <c r="X318" s="297"/>
      <c r="Y318" s="297"/>
      <c r="Z318" s="297"/>
      <c r="AA318" s="297"/>
      <c r="AB318" s="297"/>
      <c r="AC318" s="297"/>
      <c r="AD318" s="297"/>
      <c r="AE318" s="297"/>
      <c r="AF318" s="297"/>
      <c r="AG318" s="297"/>
      <c r="AH318" s="297"/>
      <c r="AI318" s="297"/>
      <c r="AJ318" s="297"/>
      <c r="AK318" s="297"/>
      <c r="AL318" s="297"/>
      <c r="AM318" s="297"/>
      <c r="AN318" s="297"/>
      <c r="AO318" s="297"/>
      <c r="AP318" s="297"/>
      <c r="AQ318" s="297"/>
      <c r="AR318" s="297"/>
      <c r="AS318" s="297"/>
      <c r="AT318" s="297"/>
      <c r="AU318" s="297"/>
      <c r="AV318" s="297"/>
      <c r="AW318" s="297"/>
      <c r="AX318" s="297"/>
      <c r="AY318" s="297"/>
      <c r="AZ318" s="297"/>
      <c r="BA318" s="297"/>
      <c r="BB318" s="297"/>
    </row>
    <row r="319" spans="1:54" thickBot="1">
      <c r="A319" s="298"/>
      <c r="B319" s="298"/>
      <c r="C319" s="298"/>
      <c r="D319" s="298"/>
      <c r="E319" s="298"/>
      <c r="F319" s="282"/>
      <c r="G319" s="298"/>
      <c r="H319" s="298"/>
      <c r="I319" s="282"/>
      <c r="J319" s="298"/>
      <c r="K319" s="566"/>
      <c r="L319" s="282"/>
      <c r="M319" s="282"/>
      <c r="N319" s="298"/>
      <c r="O319" s="282"/>
      <c r="P319" s="282"/>
      <c r="Q319" s="298"/>
      <c r="R319" s="282"/>
      <c r="S319" s="282"/>
      <c r="T319" s="298"/>
      <c r="U319" s="282"/>
      <c r="V319" s="298"/>
      <c r="W319" s="298"/>
      <c r="X319" s="297"/>
      <c r="Y319" s="297"/>
      <c r="Z319" s="297"/>
      <c r="AA319" s="297"/>
      <c r="AB319" s="297"/>
      <c r="AC319" s="297"/>
      <c r="AD319" s="297"/>
      <c r="AE319" s="297"/>
      <c r="AF319" s="297"/>
      <c r="AG319" s="297"/>
      <c r="AH319" s="297"/>
      <c r="AI319" s="297"/>
      <c r="AJ319" s="297"/>
      <c r="AK319" s="297"/>
      <c r="AL319" s="297"/>
      <c r="AM319" s="297"/>
      <c r="AN319" s="297"/>
      <c r="AO319" s="297"/>
      <c r="AP319" s="297"/>
      <c r="AQ319" s="297"/>
      <c r="AR319" s="297"/>
      <c r="AS319" s="297"/>
      <c r="AT319" s="297"/>
      <c r="AU319" s="297"/>
      <c r="AV319" s="297"/>
      <c r="AW319" s="297"/>
      <c r="AX319" s="297"/>
      <c r="AY319" s="297"/>
      <c r="AZ319" s="297"/>
      <c r="BA319" s="297"/>
      <c r="BB319" s="297"/>
    </row>
    <row r="320" spans="1:54" thickBot="1">
      <c r="A320" s="298"/>
      <c r="B320" s="298"/>
      <c r="C320" s="298"/>
      <c r="D320" s="298"/>
      <c r="E320" s="298"/>
      <c r="F320" s="282"/>
      <c r="G320" s="298"/>
      <c r="H320" s="298"/>
      <c r="I320" s="282"/>
      <c r="J320" s="298"/>
      <c r="K320" s="566"/>
      <c r="L320" s="282"/>
      <c r="M320" s="282"/>
      <c r="N320" s="298"/>
      <c r="O320" s="282"/>
      <c r="P320" s="282"/>
      <c r="Q320" s="298"/>
      <c r="R320" s="282"/>
      <c r="S320" s="282"/>
      <c r="T320" s="298"/>
      <c r="U320" s="282"/>
      <c r="V320" s="298"/>
      <c r="W320" s="298"/>
      <c r="X320" s="297"/>
      <c r="Y320" s="297"/>
      <c r="Z320" s="297"/>
      <c r="AA320" s="297"/>
      <c r="AB320" s="297"/>
      <c r="AC320" s="297"/>
      <c r="AD320" s="297"/>
      <c r="AE320" s="297"/>
      <c r="AF320" s="297"/>
      <c r="AG320" s="297"/>
      <c r="AH320" s="297"/>
      <c r="AI320" s="297"/>
      <c r="AJ320" s="297"/>
      <c r="AK320" s="297"/>
      <c r="AL320" s="297"/>
      <c r="AM320" s="297"/>
      <c r="AN320" s="297"/>
      <c r="AO320" s="297"/>
      <c r="AP320" s="297"/>
      <c r="AQ320" s="297"/>
      <c r="AR320" s="297"/>
      <c r="AS320" s="297"/>
      <c r="AT320" s="297"/>
      <c r="AU320" s="297"/>
      <c r="AV320" s="297"/>
      <c r="AW320" s="297"/>
      <c r="AX320" s="297"/>
      <c r="AY320" s="297"/>
      <c r="AZ320" s="297"/>
      <c r="BA320" s="297"/>
      <c r="BB320" s="297"/>
    </row>
    <row r="321" spans="1:54" thickBot="1">
      <c r="A321" s="298"/>
      <c r="B321" s="298"/>
      <c r="C321" s="298"/>
      <c r="D321" s="298"/>
      <c r="E321" s="298"/>
      <c r="F321" s="282"/>
      <c r="G321" s="298"/>
      <c r="H321" s="298"/>
      <c r="I321" s="282"/>
      <c r="J321" s="298"/>
      <c r="K321" s="566"/>
      <c r="L321" s="282"/>
      <c r="M321" s="282"/>
      <c r="N321" s="298"/>
      <c r="O321" s="282"/>
      <c r="P321" s="282"/>
      <c r="Q321" s="298"/>
      <c r="R321" s="282"/>
      <c r="S321" s="282"/>
      <c r="T321" s="298"/>
      <c r="U321" s="282"/>
      <c r="V321" s="298"/>
      <c r="W321" s="298"/>
      <c r="X321" s="297"/>
      <c r="Y321" s="297"/>
      <c r="Z321" s="297"/>
      <c r="AA321" s="297"/>
      <c r="AB321" s="297"/>
      <c r="AC321" s="297"/>
      <c r="AD321" s="297"/>
      <c r="AE321" s="297"/>
      <c r="AF321" s="297"/>
      <c r="AG321" s="297"/>
      <c r="AH321" s="297"/>
      <c r="AI321" s="297"/>
      <c r="AJ321" s="297"/>
      <c r="AK321" s="297"/>
      <c r="AL321" s="297"/>
      <c r="AM321" s="297"/>
      <c r="AN321" s="297"/>
      <c r="AO321" s="297"/>
      <c r="AP321" s="297"/>
      <c r="AQ321" s="297"/>
      <c r="AR321" s="297"/>
      <c r="AS321" s="297"/>
      <c r="AT321" s="297"/>
      <c r="AU321" s="297"/>
      <c r="AV321" s="297"/>
      <c r="AW321" s="297"/>
      <c r="AX321" s="297"/>
      <c r="AY321" s="297"/>
      <c r="AZ321" s="297"/>
      <c r="BA321" s="297"/>
      <c r="BB321" s="297"/>
    </row>
    <row r="322" spans="1:54" thickBot="1">
      <c r="A322" s="298"/>
      <c r="B322" s="298"/>
      <c r="C322" s="298"/>
      <c r="D322" s="298"/>
      <c r="E322" s="298"/>
      <c r="F322" s="282"/>
      <c r="G322" s="298"/>
      <c r="H322" s="298"/>
      <c r="I322" s="282"/>
      <c r="J322" s="298"/>
      <c r="K322" s="566"/>
      <c r="L322" s="282"/>
      <c r="M322" s="282"/>
      <c r="N322" s="298"/>
      <c r="O322" s="282"/>
      <c r="P322" s="282"/>
      <c r="Q322" s="298"/>
      <c r="R322" s="282"/>
      <c r="S322" s="282"/>
      <c r="T322" s="298"/>
      <c r="U322" s="282"/>
      <c r="V322" s="298"/>
      <c r="W322" s="298"/>
      <c r="X322" s="297"/>
      <c r="Y322" s="297"/>
      <c r="Z322" s="297"/>
      <c r="AA322" s="297"/>
      <c r="AB322" s="297"/>
      <c r="AC322" s="297"/>
      <c r="AD322" s="297"/>
      <c r="AE322" s="297"/>
      <c r="AF322" s="297"/>
      <c r="AG322" s="297"/>
      <c r="AH322" s="297"/>
      <c r="AI322" s="297"/>
      <c r="AJ322" s="297"/>
      <c r="AK322" s="297"/>
      <c r="AL322" s="297"/>
      <c r="AM322" s="297"/>
      <c r="AN322" s="297"/>
      <c r="AO322" s="297"/>
      <c r="AP322" s="297"/>
      <c r="AQ322" s="297"/>
      <c r="AR322" s="297"/>
      <c r="AS322" s="297"/>
      <c r="AT322" s="297"/>
      <c r="AU322" s="297"/>
      <c r="AV322" s="297"/>
      <c r="AW322" s="297"/>
      <c r="AX322" s="297"/>
      <c r="AY322" s="297"/>
      <c r="AZ322" s="297"/>
      <c r="BA322" s="297"/>
      <c r="BB322" s="297"/>
    </row>
    <row r="323" spans="1:54" thickBot="1">
      <c r="A323" s="298"/>
      <c r="B323" s="298"/>
      <c r="C323" s="298"/>
      <c r="D323" s="298"/>
      <c r="E323" s="298"/>
      <c r="F323" s="282"/>
      <c r="G323" s="298"/>
      <c r="H323" s="298"/>
      <c r="I323" s="282"/>
      <c r="J323" s="298"/>
      <c r="K323" s="566"/>
      <c r="L323" s="282"/>
      <c r="M323" s="282"/>
      <c r="N323" s="298"/>
      <c r="O323" s="282"/>
      <c r="P323" s="282"/>
      <c r="Q323" s="298"/>
      <c r="R323" s="282"/>
      <c r="S323" s="282"/>
      <c r="T323" s="298"/>
      <c r="U323" s="282"/>
      <c r="V323" s="298"/>
      <c r="W323" s="298"/>
      <c r="X323" s="297"/>
      <c r="Y323" s="297"/>
      <c r="Z323" s="297"/>
      <c r="AA323" s="297"/>
      <c r="AB323" s="297"/>
      <c r="AC323" s="297"/>
      <c r="AD323" s="297"/>
      <c r="AE323" s="297"/>
      <c r="AF323" s="297"/>
      <c r="AG323" s="297"/>
      <c r="AH323" s="297"/>
      <c r="AI323" s="297"/>
      <c r="AJ323" s="297"/>
      <c r="AK323" s="297"/>
      <c r="AL323" s="297"/>
      <c r="AM323" s="297"/>
      <c r="AN323" s="297"/>
      <c r="AO323" s="297"/>
      <c r="AP323" s="297"/>
      <c r="AQ323" s="297"/>
      <c r="AR323" s="297"/>
      <c r="AS323" s="297"/>
      <c r="AT323" s="297"/>
      <c r="AU323" s="297"/>
      <c r="AV323" s="297"/>
      <c r="AW323" s="297"/>
      <c r="AX323" s="297"/>
      <c r="AY323" s="297"/>
      <c r="AZ323" s="297"/>
      <c r="BA323" s="297"/>
      <c r="BB323" s="297"/>
    </row>
    <row r="324" spans="1:54" thickBot="1">
      <c r="A324" s="298"/>
      <c r="B324" s="298"/>
      <c r="C324" s="298"/>
      <c r="D324" s="298"/>
      <c r="E324" s="298"/>
      <c r="F324" s="282"/>
      <c r="G324" s="298"/>
      <c r="H324" s="298"/>
      <c r="I324" s="282"/>
      <c r="J324" s="298"/>
      <c r="K324" s="566"/>
      <c r="L324" s="282"/>
      <c r="M324" s="282"/>
      <c r="N324" s="298"/>
      <c r="O324" s="282"/>
      <c r="P324" s="282"/>
      <c r="Q324" s="298"/>
      <c r="R324" s="282"/>
      <c r="S324" s="282"/>
      <c r="T324" s="298"/>
      <c r="U324" s="282"/>
      <c r="V324" s="298"/>
      <c r="W324" s="298"/>
      <c r="X324" s="297"/>
      <c r="Y324" s="297"/>
      <c r="Z324" s="297"/>
      <c r="AA324" s="297"/>
      <c r="AB324" s="297"/>
      <c r="AC324" s="297"/>
      <c r="AD324" s="297"/>
      <c r="AE324" s="297"/>
      <c r="AF324" s="297"/>
      <c r="AG324" s="297"/>
      <c r="AH324" s="297"/>
      <c r="AI324" s="297"/>
      <c r="AJ324" s="297"/>
      <c r="AK324" s="297"/>
      <c r="AL324" s="297"/>
      <c r="AM324" s="297"/>
      <c r="AN324" s="297"/>
      <c r="AO324" s="297"/>
      <c r="AP324" s="297"/>
      <c r="AQ324" s="297"/>
      <c r="AR324" s="297"/>
      <c r="AS324" s="297"/>
      <c r="AT324" s="297"/>
      <c r="AU324" s="297"/>
      <c r="AV324" s="297"/>
      <c r="AW324" s="297"/>
      <c r="AX324" s="297"/>
      <c r="AY324" s="297"/>
      <c r="AZ324" s="297"/>
      <c r="BA324" s="297"/>
      <c r="BB324" s="297"/>
    </row>
    <row r="325" spans="1:54" thickBot="1">
      <c r="A325" s="298"/>
      <c r="B325" s="298"/>
      <c r="C325" s="298"/>
      <c r="D325" s="298"/>
      <c r="E325" s="298"/>
      <c r="F325" s="282"/>
      <c r="G325" s="298"/>
      <c r="H325" s="298"/>
      <c r="I325" s="282"/>
      <c r="J325" s="298"/>
      <c r="K325" s="566"/>
      <c r="L325" s="282"/>
      <c r="M325" s="282"/>
      <c r="N325" s="298"/>
      <c r="O325" s="282"/>
      <c r="P325" s="282"/>
      <c r="Q325" s="298"/>
      <c r="R325" s="282"/>
      <c r="S325" s="282"/>
      <c r="T325" s="298"/>
      <c r="U325" s="282"/>
      <c r="V325" s="298"/>
      <c r="W325" s="298"/>
      <c r="X325" s="297"/>
      <c r="Y325" s="297"/>
      <c r="Z325" s="297"/>
      <c r="AA325" s="297"/>
      <c r="AB325" s="297"/>
      <c r="AC325" s="297"/>
      <c r="AD325" s="297"/>
      <c r="AE325" s="297"/>
      <c r="AF325" s="297"/>
      <c r="AG325" s="297"/>
      <c r="AH325" s="297"/>
      <c r="AI325" s="297"/>
      <c r="AJ325" s="297"/>
      <c r="AK325" s="297"/>
      <c r="AL325" s="297"/>
      <c r="AM325" s="297"/>
      <c r="AN325" s="297"/>
      <c r="AO325" s="297"/>
      <c r="AP325" s="297"/>
      <c r="AQ325" s="297"/>
      <c r="AR325" s="297"/>
      <c r="AS325" s="297"/>
      <c r="AT325" s="297"/>
      <c r="AU325" s="297"/>
      <c r="AV325" s="297"/>
      <c r="AW325" s="297"/>
      <c r="AX325" s="297"/>
      <c r="AY325" s="297"/>
      <c r="AZ325" s="297"/>
      <c r="BA325" s="297"/>
      <c r="BB325" s="297"/>
    </row>
    <row r="326" spans="1:54" thickBot="1">
      <c r="A326" s="298"/>
      <c r="B326" s="298"/>
      <c r="C326" s="298"/>
      <c r="D326" s="298"/>
      <c r="E326" s="298"/>
      <c r="F326" s="282"/>
      <c r="G326" s="298"/>
      <c r="H326" s="298"/>
      <c r="I326" s="282"/>
      <c r="J326" s="298"/>
      <c r="K326" s="566"/>
      <c r="L326" s="282"/>
      <c r="M326" s="282"/>
      <c r="N326" s="298"/>
      <c r="O326" s="282"/>
      <c r="P326" s="282"/>
      <c r="Q326" s="298"/>
      <c r="R326" s="282"/>
      <c r="S326" s="282"/>
      <c r="T326" s="298"/>
      <c r="U326" s="282"/>
      <c r="V326" s="298"/>
      <c r="W326" s="298"/>
      <c r="X326" s="297"/>
      <c r="Y326" s="297"/>
      <c r="Z326" s="297"/>
      <c r="AA326" s="297"/>
      <c r="AB326" s="297"/>
      <c r="AC326" s="297"/>
      <c r="AD326" s="297"/>
      <c r="AE326" s="297"/>
      <c r="AF326" s="297"/>
      <c r="AG326" s="297"/>
      <c r="AH326" s="297"/>
      <c r="AI326" s="297"/>
      <c r="AJ326" s="297"/>
      <c r="AK326" s="297"/>
      <c r="AL326" s="297"/>
      <c r="AM326" s="297"/>
      <c r="AN326" s="297"/>
      <c r="AO326" s="297"/>
      <c r="AP326" s="297"/>
      <c r="AQ326" s="297"/>
      <c r="AR326" s="297"/>
      <c r="AS326" s="297"/>
      <c r="AT326" s="297"/>
      <c r="AU326" s="297"/>
      <c r="AV326" s="297"/>
      <c r="AW326" s="297"/>
      <c r="AX326" s="297"/>
      <c r="AY326" s="297"/>
      <c r="AZ326" s="297"/>
      <c r="BA326" s="297"/>
      <c r="BB326" s="297"/>
    </row>
    <row r="327" spans="1:54" thickBot="1">
      <c r="A327" s="298"/>
      <c r="B327" s="298"/>
      <c r="C327" s="298"/>
      <c r="D327" s="298"/>
      <c r="E327" s="298"/>
      <c r="F327" s="282"/>
      <c r="G327" s="298"/>
      <c r="H327" s="298"/>
      <c r="I327" s="282"/>
      <c r="J327" s="298"/>
      <c r="K327" s="566"/>
      <c r="L327" s="282"/>
      <c r="M327" s="282"/>
      <c r="N327" s="298"/>
      <c r="O327" s="282"/>
      <c r="P327" s="282"/>
      <c r="Q327" s="298"/>
      <c r="R327" s="282"/>
      <c r="S327" s="282"/>
      <c r="T327" s="298"/>
      <c r="U327" s="282"/>
      <c r="V327" s="298"/>
      <c r="W327" s="298"/>
      <c r="X327" s="297"/>
      <c r="Y327" s="297"/>
      <c r="Z327" s="297"/>
      <c r="AA327" s="297"/>
      <c r="AB327" s="297"/>
      <c r="AC327" s="297"/>
      <c r="AD327" s="297"/>
      <c r="AE327" s="297"/>
      <c r="AF327" s="297"/>
      <c r="AG327" s="297"/>
      <c r="AH327" s="297"/>
      <c r="AI327" s="297"/>
      <c r="AJ327" s="297"/>
      <c r="AK327" s="297"/>
      <c r="AL327" s="297"/>
      <c r="AM327" s="297"/>
      <c r="AN327" s="297"/>
      <c r="AO327" s="297"/>
      <c r="AP327" s="297"/>
      <c r="AQ327" s="297"/>
      <c r="AR327" s="297"/>
      <c r="AS327" s="297"/>
      <c r="AT327" s="297"/>
      <c r="AU327" s="297"/>
      <c r="AV327" s="297"/>
      <c r="AW327" s="297"/>
      <c r="AX327" s="297"/>
      <c r="AY327" s="297"/>
      <c r="AZ327" s="297"/>
      <c r="BA327" s="297"/>
      <c r="BB327" s="297"/>
    </row>
    <row r="328" spans="1:54" thickBot="1">
      <c r="A328" s="298"/>
      <c r="B328" s="298"/>
      <c r="C328" s="298"/>
      <c r="D328" s="298"/>
      <c r="E328" s="298"/>
      <c r="F328" s="282"/>
      <c r="G328" s="298"/>
      <c r="H328" s="298"/>
      <c r="I328" s="282"/>
      <c r="J328" s="298"/>
      <c r="K328" s="566"/>
      <c r="L328" s="282"/>
      <c r="M328" s="282"/>
      <c r="N328" s="298"/>
      <c r="O328" s="282"/>
      <c r="P328" s="282"/>
      <c r="Q328" s="298"/>
      <c r="R328" s="282"/>
      <c r="S328" s="282"/>
      <c r="T328" s="298"/>
      <c r="U328" s="282"/>
      <c r="V328" s="298"/>
      <c r="W328" s="298"/>
      <c r="X328" s="297"/>
      <c r="Y328" s="297"/>
      <c r="Z328" s="297"/>
      <c r="AA328" s="297"/>
      <c r="AB328" s="297"/>
      <c r="AC328" s="297"/>
      <c r="AD328" s="297"/>
      <c r="AE328" s="297"/>
      <c r="AF328" s="297"/>
      <c r="AG328" s="297"/>
      <c r="AH328" s="297"/>
      <c r="AI328" s="297"/>
      <c r="AJ328" s="297"/>
      <c r="AK328" s="297"/>
      <c r="AL328" s="297"/>
      <c r="AM328" s="297"/>
      <c r="AN328" s="297"/>
      <c r="AO328" s="297"/>
      <c r="AP328" s="297"/>
      <c r="AQ328" s="297"/>
      <c r="AR328" s="297"/>
      <c r="AS328" s="297"/>
      <c r="AT328" s="297"/>
      <c r="AU328" s="297"/>
      <c r="AV328" s="297"/>
      <c r="AW328" s="297"/>
      <c r="AX328" s="297"/>
      <c r="AY328" s="297"/>
      <c r="AZ328" s="297"/>
      <c r="BA328" s="297"/>
      <c r="BB328" s="297"/>
    </row>
    <row r="329" spans="1:54" thickBot="1">
      <c r="A329" s="298"/>
      <c r="B329" s="298"/>
      <c r="C329" s="298"/>
      <c r="D329" s="298"/>
      <c r="E329" s="298"/>
      <c r="F329" s="282"/>
      <c r="G329" s="298"/>
      <c r="H329" s="298"/>
      <c r="I329" s="282"/>
      <c r="J329" s="298"/>
      <c r="K329" s="566"/>
      <c r="L329" s="282"/>
      <c r="M329" s="282"/>
      <c r="N329" s="298"/>
      <c r="O329" s="282"/>
      <c r="P329" s="282"/>
      <c r="Q329" s="298"/>
      <c r="R329" s="282"/>
      <c r="S329" s="282"/>
      <c r="T329" s="298"/>
      <c r="U329" s="282"/>
      <c r="V329" s="298"/>
      <c r="W329" s="298"/>
      <c r="X329" s="297"/>
      <c r="Y329" s="297"/>
      <c r="Z329" s="297"/>
      <c r="AA329" s="297"/>
      <c r="AB329" s="297"/>
      <c r="AC329" s="297"/>
      <c r="AD329" s="297"/>
      <c r="AE329" s="297"/>
      <c r="AF329" s="297"/>
      <c r="AG329" s="297"/>
      <c r="AH329" s="297"/>
      <c r="AI329" s="297"/>
      <c r="AJ329" s="297"/>
      <c r="AK329" s="297"/>
      <c r="AL329" s="297"/>
      <c r="AM329" s="297"/>
      <c r="AN329" s="297"/>
      <c r="AO329" s="297"/>
      <c r="AP329" s="297"/>
      <c r="AQ329" s="297"/>
      <c r="AR329" s="297"/>
      <c r="AS329" s="297"/>
      <c r="AT329" s="297"/>
      <c r="AU329" s="297"/>
      <c r="AV329" s="297"/>
      <c r="AW329" s="297"/>
      <c r="AX329" s="297"/>
      <c r="AY329" s="297"/>
      <c r="AZ329" s="297"/>
      <c r="BA329" s="297"/>
      <c r="BB329" s="297"/>
    </row>
    <row r="330" spans="1:54" thickBot="1">
      <c r="A330" s="298"/>
      <c r="B330" s="298"/>
      <c r="C330" s="298"/>
      <c r="D330" s="298"/>
      <c r="E330" s="298"/>
      <c r="F330" s="282"/>
      <c r="G330" s="298"/>
      <c r="H330" s="298"/>
      <c r="I330" s="282"/>
      <c r="J330" s="298"/>
      <c r="K330" s="566"/>
      <c r="L330" s="282"/>
      <c r="M330" s="282"/>
      <c r="N330" s="298"/>
      <c r="O330" s="282"/>
      <c r="P330" s="282"/>
      <c r="Q330" s="298"/>
      <c r="R330" s="282"/>
      <c r="S330" s="282"/>
      <c r="T330" s="298"/>
      <c r="U330" s="282"/>
      <c r="V330" s="298"/>
      <c r="W330" s="298"/>
      <c r="X330" s="297"/>
      <c r="Y330" s="297"/>
      <c r="Z330" s="297"/>
      <c r="AA330" s="297"/>
      <c r="AB330" s="297"/>
      <c r="AC330" s="297"/>
      <c r="AD330" s="297"/>
      <c r="AE330" s="297"/>
      <c r="AF330" s="297"/>
      <c r="AG330" s="297"/>
      <c r="AH330" s="297"/>
      <c r="AI330" s="297"/>
      <c r="AJ330" s="297"/>
      <c r="AK330" s="297"/>
      <c r="AL330" s="297"/>
      <c r="AM330" s="297"/>
      <c r="AN330" s="297"/>
      <c r="AO330" s="297"/>
      <c r="AP330" s="297"/>
      <c r="AQ330" s="297"/>
      <c r="AR330" s="297"/>
      <c r="AS330" s="297"/>
      <c r="AT330" s="297"/>
      <c r="AU330" s="297"/>
      <c r="AV330" s="297"/>
      <c r="AW330" s="297"/>
      <c r="AX330" s="297"/>
      <c r="AY330" s="297"/>
      <c r="AZ330" s="297"/>
      <c r="BA330" s="297"/>
      <c r="BB330" s="297"/>
    </row>
    <row r="331" spans="1:54" thickBot="1">
      <c r="A331" s="298"/>
      <c r="B331" s="298"/>
      <c r="C331" s="298"/>
      <c r="D331" s="298"/>
      <c r="E331" s="298"/>
      <c r="F331" s="282"/>
      <c r="G331" s="298"/>
      <c r="H331" s="298"/>
      <c r="I331" s="282"/>
      <c r="J331" s="298"/>
      <c r="K331" s="566"/>
      <c r="L331" s="282"/>
      <c r="M331" s="282"/>
      <c r="N331" s="298"/>
      <c r="O331" s="282"/>
      <c r="P331" s="282"/>
      <c r="Q331" s="298"/>
      <c r="R331" s="282"/>
      <c r="S331" s="282"/>
      <c r="T331" s="298"/>
      <c r="U331" s="282"/>
      <c r="V331" s="298"/>
      <c r="W331" s="298"/>
      <c r="X331" s="297"/>
      <c r="Y331" s="297"/>
      <c r="Z331" s="297"/>
      <c r="AA331" s="297"/>
      <c r="AB331" s="297"/>
      <c r="AC331" s="297"/>
      <c r="AD331" s="297"/>
      <c r="AE331" s="297"/>
      <c r="AF331" s="297"/>
      <c r="AG331" s="297"/>
      <c r="AH331" s="297"/>
      <c r="AI331" s="297"/>
      <c r="AJ331" s="297"/>
      <c r="AK331" s="297"/>
      <c r="AL331" s="297"/>
      <c r="AM331" s="297"/>
      <c r="AN331" s="297"/>
      <c r="AO331" s="297"/>
      <c r="AP331" s="297"/>
      <c r="AQ331" s="297"/>
      <c r="AR331" s="297"/>
      <c r="AS331" s="297"/>
      <c r="AT331" s="297"/>
      <c r="AU331" s="297"/>
      <c r="AV331" s="297"/>
      <c r="AW331" s="297"/>
      <c r="AX331" s="297"/>
      <c r="AY331" s="297"/>
      <c r="AZ331" s="297"/>
      <c r="BA331" s="297"/>
      <c r="BB331" s="297"/>
    </row>
    <row r="332" spans="1:54" thickBot="1">
      <c r="A332" s="298"/>
      <c r="B332" s="298"/>
      <c r="C332" s="298"/>
      <c r="D332" s="298"/>
      <c r="E332" s="298"/>
      <c r="F332" s="282"/>
      <c r="G332" s="298"/>
      <c r="H332" s="298"/>
      <c r="I332" s="282"/>
      <c r="J332" s="298"/>
      <c r="K332" s="566"/>
      <c r="L332" s="282"/>
      <c r="M332" s="282"/>
      <c r="N332" s="298"/>
      <c r="O332" s="282"/>
      <c r="P332" s="282"/>
      <c r="Q332" s="298"/>
      <c r="R332" s="282"/>
      <c r="S332" s="282"/>
      <c r="T332" s="298"/>
      <c r="U332" s="282"/>
      <c r="V332" s="298"/>
      <c r="W332" s="298"/>
      <c r="X332" s="297"/>
      <c r="Y332" s="297"/>
      <c r="Z332" s="297"/>
      <c r="AA332" s="297"/>
      <c r="AB332" s="297"/>
      <c r="AC332" s="297"/>
      <c r="AD332" s="297"/>
      <c r="AE332" s="297"/>
      <c r="AF332" s="297"/>
      <c r="AG332" s="297"/>
      <c r="AH332" s="297"/>
      <c r="AI332" s="297"/>
      <c r="AJ332" s="297"/>
      <c r="AK332" s="297"/>
      <c r="AL332" s="297"/>
      <c r="AM332" s="297"/>
      <c r="AN332" s="297"/>
      <c r="AO332" s="297"/>
      <c r="AP332" s="297"/>
      <c r="AQ332" s="297"/>
      <c r="AR332" s="297"/>
      <c r="AS332" s="297"/>
      <c r="AT332" s="297"/>
      <c r="AU332" s="297"/>
      <c r="AV332" s="297"/>
      <c r="AW332" s="297"/>
      <c r="AX332" s="297"/>
      <c r="AY332" s="297"/>
      <c r="AZ332" s="297"/>
      <c r="BA332" s="297"/>
      <c r="BB332" s="297"/>
    </row>
    <row r="333" spans="1:54" thickBot="1">
      <c r="A333" s="298"/>
      <c r="B333" s="298"/>
      <c r="C333" s="298"/>
      <c r="D333" s="298"/>
      <c r="E333" s="298"/>
      <c r="F333" s="282"/>
      <c r="G333" s="298"/>
      <c r="H333" s="298"/>
      <c r="I333" s="282"/>
      <c r="J333" s="298"/>
      <c r="K333" s="566"/>
      <c r="L333" s="282"/>
      <c r="M333" s="282"/>
      <c r="N333" s="298"/>
      <c r="O333" s="282"/>
      <c r="P333" s="282"/>
      <c r="Q333" s="298"/>
      <c r="R333" s="282"/>
      <c r="S333" s="282"/>
      <c r="T333" s="298"/>
      <c r="U333" s="282"/>
      <c r="V333" s="298"/>
      <c r="W333" s="298"/>
      <c r="X333" s="297"/>
      <c r="Y333" s="297"/>
      <c r="Z333" s="297"/>
      <c r="AA333" s="297"/>
      <c r="AB333" s="297"/>
      <c r="AC333" s="297"/>
      <c r="AD333" s="297"/>
      <c r="AE333" s="297"/>
      <c r="AF333" s="297"/>
      <c r="AG333" s="297"/>
      <c r="AH333" s="297"/>
      <c r="AI333" s="297"/>
      <c r="AJ333" s="297"/>
      <c r="AK333" s="297"/>
      <c r="AL333" s="297"/>
      <c r="AM333" s="297"/>
      <c r="AN333" s="297"/>
      <c r="AO333" s="297"/>
      <c r="AP333" s="297"/>
      <c r="AQ333" s="297"/>
      <c r="AR333" s="297"/>
      <c r="AS333" s="297"/>
      <c r="AT333" s="297"/>
      <c r="AU333" s="297"/>
      <c r="AV333" s="297"/>
      <c r="AW333" s="297"/>
      <c r="AX333" s="297"/>
      <c r="AY333" s="297"/>
      <c r="AZ333" s="297"/>
      <c r="BA333" s="297"/>
      <c r="BB333" s="297"/>
    </row>
    <row r="334" spans="1:54" thickBot="1">
      <c r="A334" s="298"/>
      <c r="B334" s="298"/>
      <c r="C334" s="298"/>
      <c r="D334" s="298"/>
      <c r="E334" s="298"/>
      <c r="F334" s="282"/>
      <c r="G334" s="298"/>
      <c r="H334" s="298"/>
      <c r="I334" s="282"/>
      <c r="J334" s="298"/>
      <c r="K334" s="566"/>
      <c r="L334" s="282"/>
      <c r="M334" s="282"/>
      <c r="N334" s="298"/>
      <c r="O334" s="282"/>
      <c r="P334" s="282"/>
      <c r="Q334" s="298"/>
      <c r="R334" s="282"/>
      <c r="S334" s="282"/>
      <c r="T334" s="298"/>
      <c r="U334" s="282"/>
      <c r="V334" s="298"/>
      <c r="W334" s="298"/>
      <c r="X334" s="297"/>
      <c r="Y334" s="297"/>
      <c r="Z334" s="297"/>
      <c r="AA334" s="297"/>
      <c r="AB334" s="297"/>
      <c r="AC334" s="297"/>
      <c r="AD334" s="297"/>
      <c r="AE334" s="297"/>
      <c r="AF334" s="297"/>
      <c r="AG334" s="297"/>
      <c r="AH334" s="297"/>
      <c r="AI334" s="297"/>
      <c r="AJ334" s="297"/>
      <c r="AK334" s="297"/>
      <c r="AL334" s="297"/>
      <c r="AM334" s="297"/>
      <c r="AN334" s="297"/>
      <c r="AO334" s="297"/>
      <c r="AP334" s="297"/>
      <c r="AQ334" s="297"/>
      <c r="AR334" s="297"/>
      <c r="AS334" s="297"/>
      <c r="AT334" s="297"/>
      <c r="AU334" s="297"/>
      <c r="AV334" s="297"/>
      <c r="AW334" s="297"/>
      <c r="AX334" s="297"/>
      <c r="AY334" s="297"/>
      <c r="AZ334" s="297"/>
      <c r="BA334" s="297"/>
      <c r="BB334" s="297"/>
    </row>
    <row r="335" spans="1:54" thickBot="1">
      <c r="A335" s="298"/>
      <c r="B335" s="298"/>
      <c r="C335" s="298"/>
      <c r="D335" s="298"/>
      <c r="E335" s="298"/>
      <c r="F335" s="282"/>
      <c r="G335" s="298"/>
      <c r="H335" s="298"/>
      <c r="I335" s="282"/>
      <c r="J335" s="298"/>
      <c r="K335" s="566"/>
      <c r="L335" s="282"/>
      <c r="M335" s="282"/>
      <c r="N335" s="298"/>
      <c r="O335" s="282"/>
      <c r="P335" s="282"/>
      <c r="Q335" s="298"/>
      <c r="R335" s="282"/>
      <c r="S335" s="282"/>
      <c r="T335" s="298"/>
      <c r="U335" s="282"/>
      <c r="V335" s="298"/>
      <c r="W335" s="298"/>
      <c r="X335" s="297"/>
      <c r="Y335" s="297"/>
      <c r="Z335" s="297"/>
      <c r="AA335" s="297"/>
      <c r="AB335" s="297"/>
      <c r="AC335" s="297"/>
      <c r="AD335" s="297"/>
      <c r="AE335" s="297"/>
      <c r="AF335" s="297"/>
      <c r="AG335" s="297"/>
      <c r="AH335" s="297"/>
      <c r="AI335" s="297"/>
      <c r="AJ335" s="297"/>
      <c r="AK335" s="297"/>
      <c r="AL335" s="297"/>
      <c r="AM335" s="297"/>
      <c r="AN335" s="297"/>
      <c r="AO335" s="297"/>
      <c r="AP335" s="297"/>
      <c r="AQ335" s="297"/>
      <c r="AR335" s="297"/>
      <c r="AS335" s="297"/>
      <c r="AT335" s="297"/>
      <c r="AU335" s="297"/>
      <c r="AV335" s="297"/>
      <c r="AW335" s="297"/>
      <c r="AX335" s="297"/>
      <c r="AY335" s="297"/>
      <c r="AZ335" s="297"/>
      <c r="BA335" s="297"/>
      <c r="BB335" s="297"/>
    </row>
    <row r="336" spans="1:54" thickBot="1">
      <c r="A336" s="298"/>
      <c r="B336" s="298"/>
      <c r="C336" s="298"/>
      <c r="D336" s="298"/>
      <c r="E336" s="298"/>
      <c r="F336" s="282"/>
      <c r="G336" s="298"/>
      <c r="H336" s="298"/>
      <c r="I336" s="282"/>
      <c r="J336" s="298"/>
      <c r="K336" s="566"/>
      <c r="L336" s="282"/>
      <c r="M336" s="282"/>
      <c r="N336" s="298"/>
      <c r="O336" s="282"/>
      <c r="P336" s="282"/>
      <c r="Q336" s="298"/>
      <c r="R336" s="282"/>
      <c r="S336" s="282"/>
      <c r="T336" s="298"/>
      <c r="U336" s="282"/>
      <c r="V336" s="298"/>
      <c r="W336" s="298"/>
      <c r="X336" s="297"/>
      <c r="Y336" s="297"/>
      <c r="Z336" s="297"/>
      <c r="AA336" s="297"/>
      <c r="AB336" s="297"/>
      <c r="AC336" s="297"/>
      <c r="AD336" s="297"/>
      <c r="AE336" s="297"/>
      <c r="AF336" s="297"/>
      <c r="AG336" s="297"/>
      <c r="AH336" s="297"/>
      <c r="AI336" s="297"/>
      <c r="AJ336" s="297"/>
      <c r="AK336" s="297"/>
      <c r="AL336" s="297"/>
      <c r="AM336" s="297"/>
      <c r="AN336" s="297"/>
      <c r="AO336" s="297"/>
      <c r="AP336" s="297"/>
      <c r="AQ336" s="297"/>
      <c r="AR336" s="297"/>
      <c r="AS336" s="297"/>
      <c r="AT336" s="297"/>
      <c r="AU336" s="297"/>
      <c r="AV336" s="297"/>
      <c r="AW336" s="297"/>
      <c r="AX336" s="297"/>
      <c r="AY336" s="297"/>
      <c r="AZ336" s="297"/>
      <c r="BA336" s="297"/>
      <c r="BB336" s="297"/>
    </row>
    <row r="337" spans="1:54" thickBot="1">
      <c r="A337" s="298"/>
      <c r="B337" s="298"/>
      <c r="C337" s="298"/>
      <c r="D337" s="298"/>
      <c r="E337" s="298"/>
      <c r="F337" s="282"/>
      <c r="G337" s="298"/>
      <c r="H337" s="298"/>
      <c r="I337" s="282"/>
      <c r="J337" s="298"/>
      <c r="K337" s="566"/>
      <c r="L337" s="282"/>
      <c r="M337" s="282"/>
      <c r="N337" s="298"/>
      <c r="O337" s="282"/>
      <c r="P337" s="282"/>
      <c r="Q337" s="298"/>
      <c r="R337" s="282"/>
      <c r="S337" s="282"/>
      <c r="T337" s="298"/>
      <c r="U337" s="282"/>
      <c r="V337" s="298"/>
      <c r="W337" s="298"/>
      <c r="X337" s="297"/>
      <c r="Y337" s="297"/>
      <c r="Z337" s="297"/>
      <c r="AA337" s="297"/>
      <c r="AB337" s="297"/>
      <c r="AC337" s="297"/>
      <c r="AD337" s="297"/>
      <c r="AE337" s="297"/>
      <c r="AF337" s="297"/>
      <c r="AG337" s="297"/>
      <c r="AH337" s="297"/>
      <c r="AI337" s="297"/>
      <c r="AJ337" s="297"/>
      <c r="AK337" s="297"/>
      <c r="AL337" s="297"/>
      <c r="AM337" s="297"/>
      <c r="AN337" s="297"/>
      <c r="AO337" s="297"/>
      <c r="AP337" s="297"/>
      <c r="AQ337" s="297"/>
      <c r="AR337" s="297"/>
      <c r="AS337" s="297"/>
      <c r="AT337" s="297"/>
      <c r="AU337" s="297"/>
      <c r="AV337" s="297"/>
      <c r="AW337" s="297"/>
      <c r="AX337" s="297"/>
      <c r="AY337" s="297"/>
      <c r="AZ337" s="297"/>
      <c r="BA337" s="297"/>
      <c r="BB337" s="297"/>
    </row>
    <row r="338" spans="1:54" thickBot="1">
      <c r="A338" s="298"/>
      <c r="B338" s="298"/>
      <c r="C338" s="298"/>
      <c r="D338" s="298"/>
      <c r="E338" s="298"/>
      <c r="F338" s="282"/>
      <c r="G338" s="298"/>
      <c r="H338" s="298"/>
      <c r="I338" s="282"/>
      <c r="J338" s="298"/>
      <c r="K338" s="566"/>
      <c r="L338" s="282"/>
      <c r="M338" s="282"/>
      <c r="N338" s="298"/>
      <c r="O338" s="282"/>
      <c r="P338" s="282"/>
      <c r="Q338" s="298"/>
      <c r="R338" s="282"/>
      <c r="S338" s="282"/>
      <c r="T338" s="298"/>
      <c r="U338" s="282"/>
      <c r="V338" s="298"/>
      <c r="W338" s="298"/>
      <c r="X338" s="297"/>
      <c r="Y338" s="297"/>
      <c r="Z338" s="297"/>
      <c r="AA338" s="297"/>
      <c r="AB338" s="297"/>
      <c r="AC338" s="297"/>
      <c r="AD338" s="297"/>
      <c r="AE338" s="297"/>
      <c r="AF338" s="297"/>
      <c r="AG338" s="297"/>
      <c r="AH338" s="297"/>
      <c r="AI338" s="297"/>
      <c r="AJ338" s="297"/>
      <c r="AK338" s="297"/>
      <c r="AL338" s="297"/>
      <c r="AM338" s="297"/>
      <c r="AN338" s="297"/>
      <c r="AO338" s="297"/>
      <c r="AP338" s="297"/>
      <c r="AQ338" s="297"/>
      <c r="AR338" s="297"/>
      <c r="AS338" s="297"/>
      <c r="AT338" s="297"/>
      <c r="AU338" s="297"/>
      <c r="AV338" s="297"/>
      <c r="AW338" s="297"/>
      <c r="AX338" s="297"/>
      <c r="AY338" s="297"/>
      <c r="AZ338" s="297"/>
      <c r="BA338" s="297"/>
      <c r="BB338" s="297"/>
    </row>
    <row r="339" spans="1:54" thickBot="1">
      <c r="A339" s="298"/>
      <c r="B339" s="298"/>
      <c r="C339" s="298"/>
      <c r="D339" s="298"/>
      <c r="E339" s="298"/>
      <c r="F339" s="282"/>
      <c r="G339" s="298"/>
      <c r="H339" s="298"/>
      <c r="I339" s="282"/>
      <c r="J339" s="298"/>
      <c r="K339" s="566"/>
      <c r="L339" s="282"/>
      <c r="M339" s="282"/>
      <c r="N339" s="298"/>
      <c r="O339" s="282"/>
      <c r="P339" s="282"/>
      <c r="Q339" s="298"/>
      <c r="R339" s="282"/>
      <c r="S339" s="282"/>
      <c r="T339" s="298"/>
      <c r="U339" s="282"/>
      <c r="V339" s="298"/>
      <c r="W339" s="298"/>
      <c r="X339" s="297"/>
      <c r="Y339" s="297"/>
      <c r="Z339" s="297"/>
      <c r="AA339" s="297"/>
      <c r="AB339" s="297"/>
      <c r="AC339" s="297"/>
      <c r="AD339" s="297"/>
      <c r="AE339" s="297"/>
      <c r="AF339" s="297"/>
      <c r="AG339" s="297"/>
      <c r="AH339" s="297"/>
      <c r="AI339" s="297"/>
      <c r="AJ339" s="297"/>
      <c r="AK339" s="297"/>
      <c r="AL339" s="297"/>
      <c r="AM339" s="297"/>
      <c r="AN339" s="297"/>
      <c r="AO339" s="297"/>
      <c r="AP339" s="297"/>
      <c r="AQ339" s="297"/>
      <c r="AR339" s="297"/>
      <c r="AS339" s="297"/>
      <c r="AT339" s="297"/>
      <c r="AU339" s="297"/>
      <c r="AV339" s="297"/>
      <c r="AW339" s="297"/>
      <c r="AX339" s="297"/>
      <c r="AY339" s="297"/>
      <c r="AZ339" s="297"/>
      <c r="BA339" s="297"/>
      <c r="BB339" s="297"/>
    </row>
    <row r="340" spans="1:54" thickBot="1">
      <c r="A340" s="298"/>
      <c r="B340" s="298"/>
      <c r="C340" s="298"/>
      <c r="D340" s="298"/>
      <c r="E340" s="298"/>
      <c r="F340" s="282"/>
      <c r="G340" s="298"/>
      <c r="H340" s="298"/>
      <c r="I340" s="282"/>
      <c r="J340" s="298"/>
      <c r="K340" s="566"/>
      <c r="L340" s="282"/>
      <c r="M340" s="282"/>
      <c r="N340" s="298"/>
      <c r="O340" s="282"/>
      <c r="P340" s="282"/>
      <c r="Q340" s="298"/>
      <c r="R340" s="282"/>
      <c r="S340" s="282"/>
      <c r="T340" s="298"/>
      <c r="U340" s="282"/>
      <c r="V340" s="298"/>
      <c r="W340" s="298"/>
      <c r="X340" s="297"/>
      <c r="Y340" s="297"/>
      <c r="Z340" s="297"/>
      <c r="AA340" s="297"/>
      <c r="AB340" s="297"/>
      <c r="AC340" s="297"/>
      <c r="AD340" s="297"/>
      <c r="AE340" s="297"/>
      <c r="AF340" s="297"/>
      <c r="AG340" s="297"/>
      <c r="AH340" s="297"/>
      <c r="AI340" s="297"/>
      <c r="AJ340" s="297"/>
      <c r="AK340" s="297"/>
      <c r="AL340" s="297"/>
      <c r="AM340" s="297"/>
      <c r="AN340" s="297"/>
      <c r="AO340" s="297"/>
      <c r="AP340" s="297"/>
      <c r="AQ340" s="297"/>
      <c r="AR340" s="297"/>
      <c r="AS340" s="297"/>
      <c r="AT340" s="297"/>
      <c r="AU340" s="297"/>
      <c r="AV340" s="297"/>
      <c r="AW340" s="297"/>
      <c r="AX340" s="297"/>
      <c r="AY340" s="297"/>
      <c r="AZ340" s="297"/>
      <c r="BA340" s="297"/>
      <c r="BB340" s="297"/>
    </row>
    <row r="341" spans="1:54" thickBot="1">
      <c r="A341" s="298"/>
      <c r="B341" s="298"/>
      <c r="C341" s="298"/>
      <c r="D341" s="298"/>
      <c r="E341" s="298"/>
      <c r="F341" s="282"/>
      <c r="G341" s="298"/>
      <c r="H341" s="298"/>
      <c r="I341" s="282"/>
      <c r="J341" s="298"/>
      <c r="K341" s="566"/>
      <c r="L341" s="282"/>
      <c r="M341" s="282"/>
      <c r="N341" s="298"/>
      <c r="O341" s="282"/>
      <c r="P341" s="282"/>
      <c r="Q341" s="298"/>
      <c r="R341" s="282"/>
      <c r="S341" s="282"/>
      <c r="T341" s="298"/>
      <c r="U341" s="282"/>
      <c r="V341" s="298"/>
      <c r="W341" s="298"/>
      <c r="X341" s="297"/>
      <c r="Y341" s="297"/>
      <c r="Z341" s="297"/>
      <c r="AA341" s="297"/>
      <c r="AB341" s="297"/>
      <c r="AC341" s="297"/>
      <c r="AD341" s="297"/>
      <c r="AE341" s="297"/>
      <c r="AF341" s="297"/>
      <c r="AG341" s="297"/>
      <c r="AH341" s="297"/>
      <c r="AI341" s="297"/>
      <c r="AJ341" s="297"/>
      <c r="AK341" s="297"/>
      <c r="AL341" s="297"/>
      <c r="AM341" s="297"/>
      <c r="AN341" s="297"/>
      <c r="AO341" s="297"/>
      <c r="AP341" s="297"/>
      <c r="AQ341" s="297"/>
      <c r="AR341" s="297"/>
      <c r="AS341" s="297"/>
      <c r="AT341" s="297"/>
      <c r="AU341" s="297"/>
      <c r="AV341" s="297"/>
      <c r="AW341" s="297"/>
      <c r="AX341" s="297"/>
      <c r="AY341" s="297"/>
      <c r="AZ341" s="297"/>
      <c r="BA341" s="297"/>
      <c r="BB341" s="297"/>
    </row>
    <row r="342" spans="1:54" thickBot="1">
      <c r="A342" s="298"/>
      <c r="B342" s="298"/>
      <c r="C342" s="298"/>
      <c r="D342" s="298"/>
      <c r="E342" s="298"/>
      <c r="F342" s="282"/>
      <c r="G342" s="298"/>
      <c r="H342" s="298"/>
      <c r="I342" s="282"/>
      <c r="J342" s="298"/>
      <c r="K342" s="566"/>
      <c r="L342" s="282"/>
      <c r="M342" s="282"/>
      <c r="N342" s="298"/>
      <c r="O342" s="282"/>
      <c r="P342" s="282"/>
      <c r="Q342" s="298"/>
      <c r="R342" s="282"/>
      <c r="S342" s="282"/>
      <c r="T342" s="298"/>
      <c r="U342" s="282"/>
      <c r="V342" s="298"/>
      <c r="W342" s="298"/>
      <c r="X342" s="297"/>
      <c r="Y342" s="297"/>
      <c r="Z342" s="297"/>
      <c r="AA342" s="297"/>
      <c r="AB342" s="297"/>
      <c r="AC342" s="297"/>
      <c r="AD342" s="297"/>
      <c r="AE342" s="297"/>
      <c r="AF342" s="297"/>
      <c r="AG342" s="297"/>
      <c r="AH342" s="297"/>
      <c r="AI342" s="297"/>
      <c r="AJ342" s="297"/>
      <c r="AK342" s="297"/>
      <c r="AL342" s="297"/>
      <c r="AM342" s="297"/>
      <c r="AN342" s="297"/>
      <c r="AO342" s="297"/>
      <c r="AP342" s="297"/>
      <c r="AQ342" s="297"/>
      <c r="AR342" s="297"/>
      <c r="AS342" s="297"/>
      <c r="AT342" s="297"/>
      <c r="AU342" s="297"/>
      <c r="AV342" s="297"/>
      <c r="AW342" s="297"/>
      <c r="AX342" s="297"/>
      <c r="AY342" s="297"/>
      <c r="AZ342" s="297"/>
      <c r="BA342" s="297"/>
      <c r="BB342" s="297"/>
    </row>
    <row r="343" spans="1:54" thickBot="1">
      <c r="A343" s="298"/>
      <c r="B343" s="298"/>
      <c r="C343" s="298"/>
      <c r="D343" s="298"/>
      <c r="E343" s="298"/>
      <c r="F343" s="282"/>
      <c r="G343" s="298"/>
      <c r="H343" s="298"/>
      <c r="I343" s="282"/>
      <c r="J343" s="298"/>
      <c r="K343" s="566"/>
      <c r="L343" s="282"/>
      <c r="M343" s="282"/>
      <c r="N343" s="298"/>
      <c r="O343" s="282"/>
      <c r="P343" s="282"/>
      <c r="Q343" s="298"/>
      <c r="R343" s="282"/>
      <c r="S343" s="282"/>
      <c r="T343" s="298"/>
      <c r="U343" s="282"/>
      <c r="V343" s="298"/>
      <c r="W343" s="298"/>
      <c r="X343" s="297"/>
      <c r="Y343" s="297"/>
      <c r="Z343" s="297"/>
      <c r="AA343" s="297"/>
      <c r="AB343" s="297"/>
      <c r="AC343" s="297"/>
      <c r="AD343" s="297"/>
      <c r="AE343" s="297"/>
      <c r="AF343" s="297"/>
      <c r="AG343" s="297"/>
      <c r="AH343" s="297"/>
      <c r="AI343" s="297"/>
      <c r="AJ343" s="297"/>
      <c r="AK343" s="297"/>
      <c r="AL343" s="297"/>
      <c r="AM343" s="297"/>
      <c r="AN343" s="297"/>
      <c r="AO343" s="297"/>
      <c r="AP343" s="297"/>
      <c r="AQ343" s="297"/>
      <c r="AR343" s="297"/>
      <c r="AS343" s="297"/>
      <c r="AT343" s="297"/>
      <c r="AU343" s="297"/>
      <c r="AV343" s="297"/>
      <c r="AW343" s="297"/>
      <c r="AX343" s="297"/>
      <c r="AY343" s="297"/>
      <c r="AZ343" s="297"/>
      <c r="BA343" s="297"/>
      <c r="BB343" s="297"/>
    </row>
    <row r="344" spans="1:54" thickBot="1">
      <c r="A344" s="298"/>
      <c r="B344" s="298"/>
      <c r="C344" s="298"/>
      <c r="D344" s="298"/>
      <c r="E344" s="298"/>
      <c r="F344" s="282"/>
      <c r="G344" s="298"/>
      <c r="H344" s="298"/>
      <c r="I344" s="282"/>
      <c r="J344" s="298"/>
      <c r="K344" s="566"/>
      <c r="L344" s="282"/>
      <c r="M344" s="282"/>
      <c r="N344" s="298"/>
      <c r="O344" s="282"/>
      <c r="P344" s="282"/>
      <c r="Q344" s="298"/>
      <c r="R344" s="282"/>
      <c r="S344" s="282"/>
      <c r="T344" s="298"/>
      <c r="U344" s="282"/>
      <c r="V344" s="298"/>
      <c r="W344" s="298"/>
      <c r="X344" s="297"/>
      <c r="Y344" s="297"/>
      <c r="Z344" s="297"/>
      <c r="AA344" s="297"/>
      <c r="AB344" s="297"/>
      <c r="AC344" s="297"/>
      <c r="AD344" s="297"/>
      <c r="AE344" s="297"/>
      <c r="AF344" s="297"/>
      <c r="AG344" s="297"/>
      <c r="AH344" s="297"/>
      <c r="AI344" s="297"/>
      <c r="AJ344" s="297"/>
      <c r="AK344" s="297"/>
      <c r="AL344" s="297"/>
      <c r="AM344" s="297"/>
      <c r="AN344" s="297"/>
      <c r="AO344" s="297"/>
      <c r="AP344" s="297"/>
      <c r="AQ344" s="297"/>
      <c r="AR344" s="297"/>
      <c r="AS344" s="297"/>
      <c r="AT344" s="297"/>
      <c r="AU344" s="297"/>
      <c r="AV344" s="297"/>
      <c r="AW344" s="297"/>
      <c r="AX344" s="297"/>
      <c r="AY344" s="297"/>
      <c r="AZ344" s="297"/>
      <c r="BA344" s="297"/>
      <c r="BB344" s="297"/>
    </row>
    <row r="345" spans="1:54" thickBot="1">
      <c r="A345" s="298"/>
      <c r="B345" s="298"/>
      <c r="C345" s="298"/>
      <c r="D345" s="298"/>
      <c r="E345" s="298"/>
      <c r="F345" s="282"/>
      <c r="G345" s="298"/>
      <c r="H345" s="298"/>
      <c r="I345" s="282"/>
      <c r="J345" s="298"/>
      <c r="K345" s="566"/>
      <c r="L345" s="282"/>
      <c r="M345" s="282"/>
      <c r="N345" s="298"/>
      <c r="O345" s="282"/>
      <c r="P345" s="282"/>
      <c r="Q345" s="298"/>
      <c r="R345" s="282"/>
      <c r="S345" s="282"/>
      <c r="T345" s="298"/>
      <c r="U345" s="282"/>
      <c r="V345" s="298"/>
      <c r="W345" s="298"/>
      <c r="X345" s="297"/>
      <c r="Y345" s="297"/>
      <c r="Z345" s="297"/>
      <c r="AA345" s="297"/>
      <c r="AB345" s="297"/>
      <c r="AC345" s="297"/>
      <c r="AD345" s="297"/>
      <c r="AE345" s="297"/>
      <c r="AF345" s="297"/>
      <c r="AG345" s="297"/>
      <c r="AH345" s="297"/>
      <c r="AI345" s="297"/>
      <c r="AJ345" s="297"/>
      <c r="AK345" s="297"/>
      <c r="AL345" s="297"/>
      <c r="AM345" s="297"/>
      <c r="AN345" s="297"/>
      <c r="AO345" s="297"/>
      <c r="AP345" s="297"/>
      <c r="AQ345" s="297"/>
      <c r="AR345" s="297"/>
      <c r="AS345" s="297"/>
      <c r="AT345" s="297"/>
      <c r="AU345" s="297"/>
      <c r="AV345" s="297"/>
      <c r="AW345" s="297"/>
      <c r="AX345" s="297"/>
      <c r="AY345" s="297"/>
      <c r="AZ345" s="297"/>
      <c r="BA345" s="297"/>
      <c r="BB345" s="297"/>
    </row>
    <row r="346" spans="1:54" thickBot="1">
      <c r="A346" s="298"/>
      <c r="B346" s="298"/>
      <c r="C346" s="298"/>
      <c r="D346" s="298"/>
      <c r="E346" s="298"/>
      <c r="F346" s="282"/>
      <c r="G346" s="298"/>
      <c r="H346" s="298"/>
      <c r="I346" s="282"/>
      <c r="J346" s="298"/>
      <c r="K346" s="566"/>
      <c r="L346" s="282"/>
      <c r="M346" s="282"/>
      <c r="N346" s="298"/>
      <c r="O346" s="282"/>
      <c r="P346" s="282"/>
      <c r="Q346" s="298"/>
      <c r="R346" s="282"/>
      <c r="S346" s="282"/>
      <c r="T346" s="298"/>
      <c r="U346" s="282"/>
      <c r="V346" s="298"/>
      <c r="W346" s="298"/>
      <c r="X346" s="297"/>
      <c r="Y346" s="297"/>
      <c r="Z346" s="297"/>
      <c r="AA346" s="297"/>
      <c r="AB346" s="297"/>
      <c r="AC346" s="297"/>
      <c r="AD346" s="297"/>
      <c r="AE346" s="297"/>
      <c r="AF346" s="297"/>
      <c r="AG346" s="297"/>
      <c r="AH346" s="297"/>
      <c r="AI346" s="297"/>
      <c r="AJ346" s="297"/>
      <c r="AK346" s="297"/>
      <c r="AL346" s="297"/>
      <c r="AM346" s="297"/>
      <c r="AN346" s="297"/>
      <c r="AO346" s="297"/>
      <c r="AP346" s="297"/>
      <c r="AQ346" s="297"/>
      <c r="AR346" s="297"/>
      <c r="AS346" s="297"/>
      <c r="AT346" s="297"/>
      <c r="AU346" s="297"/>
      <c r="AV346" s="297"/>
      <c r="AW346" s="297"/>
      <c r="AX346" s="297"/>
      <c r="AY346" s="297"/>
      <c r="AZ346" s="297"/>
      <c r="BA346" s="297"/>
      <c r="BB346" s="297"/>
    </row>
    <row r="347" spans="1:54" thickBot="1">
      <c r="A347" s="298"/>
      <c r="B347" s="298"/>
      <c r="C347" s="298"/>
      <c r="D347" s="298"/>
      <c r="E347" s="298"/>
      <c r="F347" s="282"/>
      <c r="G347" s="298"/>
      <c r="H347" s="298"/>
      <c r="I347" s="282"/>
      <c r="J347" s="298"/>
      <c r="K347" s="566"/>
      <c r="L347" s="282"/>
      <c r="M347" s="282"/>
      <c r="N347" s="298"/>
      <c r="O347" s="282"/>
      <c r="P347" s="282"/>
      <c r="Q347" s="298"/>
      <c r="R347" s="282"/>
      <c r="S347" s="282"/>
      <c r="T347" s="298"/>
      <c r="U347" s="282"/>
      <c r="V347" s="298"/>
      <c r="W347" s="298"/>
      <c r="X347" s="297"/>
      <c r="Y347" s="297"/>
      <c r="Z347" s="297"/>
      <c r="AA347" s="297"/>
      <c r="AB347" s="297"/>
      <c r="AC347" s="297"/>
      <c r="AD347" s="297"/>
      <c r="AE347" s="297"/>
      <c r="AF347" s="297"/>
      <c r="AG347" s="297"/>
      <c r="AH347" s="297"/>
      <c r="AI347" s="297"/>
      <c r="AJ347" s="297"/>
      <c r="AK347" s="297"/>
      <c r="AL347" s="297"/>
      <c r="AM347" s="297"/>
      <c r="AN347" s="297"/>
      <c r="AO347" s="297"/>
      <c r="AP347" s="297"/>
      <c r="AQ347" s="297"/>
      <c r="AR347" s="297"/>
      <c r="AS347" s="297"/>
      <c r="AT347" s="297"/>
      <c r="AU347" s="297"/>
      <c r="AV347" s="297"/>
      <c r="AW347" s="297"/>
      <c r="AX347" s="297"/>
      <c r="AY347" s="297"/>
      <c r="AZ347" s="297"/>
      <c r="BA347" s="297"/>
      <c r="BB347" s="297"/>
    </row>
    <row r="348" spans="1:54" thickBot="1">
      <c r="A348" s="298"/>
      <c r="B348" s="298"/>
      <c r="C348" s="298"/>
      <c r="D348" s="298"/>
      <c r="E348" s="298"/>
      <c r="F348" s="282"/>
      <c r="G348" s="298"/>
      <c r="H348" s="298"/>
      <c r="I348" s="282"/>
      <c r="J348" s="298"/>
      <c r="K348" s="566"/>
      <c r="L348" s="282"/>
      <c r="M348" s="282"/>
      <c r="N348" s="298"/>
      <c r="O348" s="282"/>
      <c r="P348" s="282"/>
      <c r="Q348" s="298"/>
      <c r="R348" s="282"/>
      <c r="S348" s="282"/>
      <c r="T348" s="298"/>
      <c r="U348" s="282"/>
      <c r="V348" s="298"/>
      <c r="W348" s="298"/>
      <c r="X348" s="297"/>
      <c r="Y348" s="297"/>
      <c r="Z348" s="297"/>
      <c r="AA348" s="297"/>
      <c r="AB348" s="297"/>
      <c r="AC348" s="297"/>
      <c r="AD348" s="297"/>
      <c r="AE348" s="297"/>
      <c r="AF348" s="297"/>
      <c r="AG348" s="297"/>
      <c r="AH348" s="297"/>
      <c r="AI348" s="297"/>
      <c r="AJ348" s="297"/>
      <c r="AK348" s="297"/>
      <c r="AL348" s="297"/>
      <c r="AM348" s="297"/>
      <c r="AN348" s="297"/>
      <c r="AO348" s="297"/>
      <c r="AP348" s="297"/>
      <c r="AQ348" s="297"/>
      <c r="AR348" s="297"/>
      <c r="AS348" s="297"/>
      <c r="AT348" s="297"/>
      <c r="AU348" s="297"/>
      <c r="AV348" s="297"/>
      <c r="AW348" s="297"/>
      <c r="AX348" s="297"/>
      <c r="AY348" s="297"/>
      <c r="AZ348" s="297"/>
      <c r="BA348" s="297"/>
      <c r="BB348" s="297"/>
    </row>
    <row r="349" spans="1:54" thickBot="1">
      <c r="A349" s="298"/>
      <c r="B349" s="298"/>
      <c r="C349" s="298"/>
      <c r="D349" s="298"/>
      <c r="E349" s="298"/>
      <c r="F349" s="282"/>
      <c r="G349" s="298"/>
      <c r="H349" s="298"/>
      <c r="I349" s="282"/>
      <c r="J349" s="298"/>
      <c r="K349" s="566"/>
      <c r="L349" s="282"/>
      <c r="M349" s="282"/>
      <c r="N349" s="298"/>
      <c r="O349" s="282"/>
      <c r="P349" s="282"/>
      <c r="Q349" s="298"/>
      <c r="R349" s="282"/>
      <c r="S349" s="282"/>
      <c r="T349" s="298"/>
      <c r="U349" s="282"/>
      <c r="V349" s="298"/>
      <c r="W349" s="298"/>
      <c r="X349" s="297"/>
      <c r="Y349" s="297"/>
      <c r="Z349" s="297"/>
      <c r="AA349" s="297"/>
      <c r="AB349" s="297"/>
      <c r="AC349" s="297"/>
      <c r="AD349" s="297"/>
      <c r="AE349" s="297"/>
      <c r="AF349" s="297"/>
      <c r="AG349" s="297"/>
      <c r="AH349" s="297"/>
      <c r="AI349" s="297"/>
      <c r="AJ349" s="297"/>
      <c r="AK349" s="297"/>
      <c r="AL349" s="297"/>
      <c r="AM349" s="297"/>
      <c r="AN349" s="297"/>
      <c r="AO349" s="297"/>
      <c r="AP349" s="297"/>
      <c r="AQ349" s="297"/>
      <c r="AR349" s="297"/>
      <c r="AS349" s="297"/>
      <c r="AT349" s="297"/>
      <c r="AU349" s="297"/>
      <c r="AV349" s="297"/>
      <c r="AW349" s="297"/>
      <c r="AX349" s="297"/>
      <c r="AY349" s="297"/>
      <c r="AZ349" s="297"/>
      <c r="BA349" s="297"/>
      <c r="BB349" s="297"/>
    </row>
    <row r="350" spans="1:54" thickBot="1">
      <c r="A350" s="298"/>
      <c r="B350" s="298"/>
      <c r="C350" s="298"/>
      <c r="D350" s="298"/>
      <c r="E350" s="298"/>
      <c r="F350" s="282"/>
      <c r="G350" s="298"/>
      <c r="H350" s="298"/>
      <c r="I350" s="282"/>
      <c r="J350" s="298"/>
      <c r="K350" s="566"/>
      <c r="L350" s="282"/>
      <c r="M350" s="282"/>
      <c r="N350" s="298"/>
      <c r="O350" s="282"/>
      <c r="P350" s="282"/>
      <c r="Q350" s="298"/>
      <c r="R350" s="282"/>
      <c r="S350" s="282"/>
      <c r="T350" s="298"/>
      <c r="U350" s="282"/>
      <c r="V350" s="298"/>
      <c r="W350" s="298"/>
      <c r="X350" s="297"/>
      <c r="Y350" s="297"/>
      <c r="Z350" s="297"/>
      <c r="AA350" s="297"/>
      <c r="AB350" s="297"/>
      <c r="AC350" s="297"/>
      <c r="AD350" s="297"/>
      <c r="AE350" s="297"/>
      <c r="AF350" s="297"/>
      <c r="AG350" s="297"/>
      <c r="AH350" s="297"/>
      <c r="AI350" s="297"/>
      <c r="AJ350" s="297"/>
      <c r="AK350" s="297"/>
      <c r="AL350" s="297"/>
      <c r="AM350" s="297"/>
      <c r="AN350" s="297"/>
      <c r="AO350" s="297"/>
      <c r="AP350" s="297"/>
      <c r="AQ350" s="297"/>
      <c r="AR350" s="297"/>
      <c r="AS350" s="297"/>
      <c r="AT350" s="297"/>
      <c r="AU350" s="297"/>
      <c r="AV350" s="297"/>
      <c r="AW350" s="297"/>
      <c r="AX350" s="297"/>
      <c r="AY350" s="297"/>
      <c r="AZ350" s="297"/>
      <c r="BA350" s="297"/>
      <c r="BB350" s="297"/>
    </row>
    <row r="351" spans="1:54" thickBot="1">
      <c r="A351" s="298"/>
      <c r="B351" s="298"/>
      <c r="C351" s="298"/>
      <c r="D351" s="298"/>
      <c r="E351" s="298"/>
      <c r="F351" s="282"/>
      <c r="G351" s="298"/>
      <c r="H351" s="298"/>
      <c r="I351" s="282"/>
      <c r="J351" s="298"/>
      <c r="K351" s="566"/>
      <c r="L351" s="282"/>
      <c r="M351" s="282"/>
      <c r="N351" s="298"/>
      <c r="O351" s="282"/>
      <c r="P351" s="282"/>
      <c r="Q351" s="298"/>
      <c r="R351" s="282"/>
      <c r="S351" s="282"/>
      <c r="T351" s="298"/>
      <c r="U351" s="282"/>
      <c r="V351" s="298"/>
      <c r="W351" s="298"/>
      <c r="X351" s="297"/>
      <c r="Y351" s="297"/>
      <c r="Z351" s="297"/>
      <c r="AA351" s="297"/>
      <c r="AB351" s="297"/>
      <c r="AC351" s="297"/>
      <c r="AD351" s="297"/>
      <c r="AE351" s="297"/>
      <c r="AF351" s="297"/>
      <c r="AG351" s="297"/>
      <c r="AH351" s="297"/>
      <c r="AI351" s="297"/>
      <c r="AJ351" s="297"/>
      <c r="AK351" s="297"/>
      <c r="AL351" s="297"/>
      <c r="AM351" s="297"/>
      <c r="AN351" s="297"/>
      <c r="AO351" s="297"/>
      <c r="AP351" s="297"/>
      <c r="AQ351" s="297"/>
      <c r="AR351" s="297"/>
      <c r="AS351" s="297"/>
      <c r="AT351" s="297"/>
      <c r="AU351" s="297"/>
      <c r="AV351" s="297"/>
      <c r="AW351" s="297"/>
      <c r="AX351" s="297"/>
      <c r="AY351" s="297"/>
      <c r="AZ351" s="297"/>
      <c r="BA351" s="297"/>
      <c r="BB351" s="297"/>
    </row>
    <row r="352" spans="1:54" thickBot="1">
      <c r="A352" s="298"/>
      <c r="B352" s="298"/>
      <c r="C352" s="298"/>
      <c r="D352" s="298"/>
      <c r="E352" s="298"/>
      <c r="F352" s="282"/>
      <c r="G352" s="298"/>
      <c r="H352" s="298"/>
      <c r="I352" s="282"/>
      <c r="J352" s="298"/>
      <c r="K352" s="566"/>
      <c r="L352" s="282"/>
      <c r="M352" s="282"/>
      <c r="N352" s="298"/>
      <c r="O352" s="282"/>
      <c r="P352" s="282"/>
      <c r="Q352" s="298"/>
      <c r="R352" s="282"/>
      <c r="S352" s="282"/>
      <c r="T352" s="298"/>
      <c r="U352" s="282"/>
      <c r="V352" s="298"/>
      <c r="W352" s="298"/>
      <c r="X352" s="297"/>
      <c r="Y352" s="297"/>
      <c r="Z352" s="297"/>
      <c r="AA352" s="297"/>
      <c r="AB352" s="297"/>
      <c r="AC352" s="297"/>
      <c r="AD352" s="297"/>
      <c r="AE352" s="297"/>
      <c r="AF352" s="297"/>
      <c r="AG352" s="297"/>
      <c r="AH352" s="297"/>
      <c r="AI352" s="297"/>
      <c r="AJ352" s="297"/>
      <c r="AK352" s="297"/>
      <c r="AL352" s="297"/>
      <c r="AM352" s="297"/>
      <c r="AN352" s="297"/>
      <c r="AO352" s="297"/>
      <c r="AP352" s="297"/>
      <c r="AQ352" s="297"/>
      <c r="AR352" s="297"/>
      <c r="AS352" s="297"/>
      <c r="AT352" s="297"/>
      <c r="AU352" s="297"/>
      <c r="AV352" s="297"/>
      <c r="AW352" s="297"/>
      <c r="AX352" s="297"/>
      <c r="AY352" s="297"/>
      <c r="AZ352" s="297"/>
      <c r="BA352" s="297"/>
      <c r="BB352" s="297"/>
    </row>
    <row r="353" spans="1:54" thickBot="1">
      <c r="A353" s="298"/>
      <c r="B353" s="298"/>
      <c r="C353" s="298"/>
      <c r="D353" s="298"/>
      <c r="E353" s="298"/>
      <c r="F353" s="282"/>
      <c r="G353" s="298"/>
      <c r="H353" s="298"/>
      <c r="I353" s="282"/>
      <c r="J353" s="298"/>
      <c r="K353" s="566"/>
      <c r="L353" s="282"/>
      <c r="M353" s="282"/>
      <c r="N353" s="298"/>
      <c r="O353" s="282"/>
      <c r="P353" s="282"/>
      <c r="Q353" s="298"/>
      <c r="R353" s="282"/>
      <c r="S353" s="282"/>
      <c r="T353" s="298"/>
      <c r="U353" s="282"/>
      <c r="V353" s="298"/>
      <c r="W353" s="298"/>
      <c r="X353" s="297"/>
      <c r="Y353" s="297"/>
      <c r="Z353" s="297"/>
      <c r="AA353" s="297"/>
      <c r="AB353" s="297"/>
      <c r="AC353" s="297"/>
      <c r="AD353" s="297"/>
      <c r="AE353" s="297"/>
      <c r="AF353" s="297"/>
      <c r="AG353" s="297"/>
      <c r="AH353" s="297"/>
      <c r="AI353" s="297"/>
      <c r="AJ353" s="297"/>
      <c r="AK353" s="297"/>
      <c r="AL353" s="297"/>
      <c r="AM353" s="297"/>
      <c r="AN353" s="297"/>
      <c r="AO353" s="297"/>
      <c r="AP353" s="297"/>
      <c r="AQ353" s="297"/>
      <c r="AR353" s="297"/>
      <c r="AS353" s="297"/>
      <c r="AT353" s="297"/>
      <c r="AU353" s="297"/>
      <c r="AV353" s="297"/>
      <c r="AW353" s="297"/>
      <c r="AX353" s="297"/>
      <c r="AY353" s="297"/>
      <c r="AZ353" s="297"/>
      <c r="BA353" s="297"/>
      <c r="BB353" s="297"/>
    </row>
    <row r="354" spans="1:54" thickBot="1">
      <c r="A354" s="298"/>
      <c r="B354" s="298"/>
      <c r="C354" s="298"/>
      <c r="D354" s="298"/>
      <c r="E354" s="298"/>
      <c r="F354" s="282"/>
      <c r="G354" s="298"/>
      <c r="H354" s="298"/>
      <c r="I354" s="282"/>
      <c r="J354" s="298"/>
      <c r="K354" s="566"/>
      <c r="L354" s="282"/>
      <c r="M354" s="282"/>
      <c r="N354" s="298"/>
      <c r="O354" s="282"/>
      <c r="P354" s="282"/>
      <c r="Q354" s="298"/>
      <c r="R354" s="282"/>
      <c r="S354" s="282"/>
      <c r="T354" s="298"/>
      <c r="U354" s="282"/>
      <c r="V354" s="298"/>
      <c r="W354" s="298"/>
      <c r="X354" s="297"/>
      <c r="Y354" s="297"/>
      <c r="Z354" s="297"/>
      <c r="AA354" s="297"/>
      <c r="AB354" s="297"/>
      <c r="AC354" s="297"/>
      <c r="AD354" s="297"/>
      <c r="AE354" s="297"/>
      <c r="AF354" s="297"/>
      <c r="AG354" s="297"/>
      <c r="AH354" s="297"/>
      <c r="AI354" s="297"/>
      <c r="AJ354" s="297"/>
      <c r="AK354" s="297"/>
      <c r="AL354" s="297"/>
      <c r="AM354" s="297"/>
      <c r="AN354" s="297"/>
      <c r="AO354" s="297"/>
      <c r="AP354" s="297"/>
      <c r="AQ354" s="297"/>
      <c r="AR354" s="297"/>
      <c r="AS354" s="297"/>
      <c r="AT354" s="297"/>
      <c r="AU354" s="297"/>
      <c r="AV354" s="297"/>
      <c r="AW354" s="297"/>
      <c r="AX354" s="297"/>
      <c r="AY354" s="297"/>
      <c r="AZ354" s="297"/>
      <c r="BA354" s="297"/>
      <c r="BB354" s="297"/>
    </row>
    <row r="355" spans="1:54" thickBot="1">
      <c r="A355" s="298"/>
      <c r="B355" s="298"/>
      <c r="C355" s="298"/>
      <c r="D355" s="298"/>
      <c r="E355" s="298"/>
      <c r="F355" s="282"/>
      <c r="G355" s="298"/>
      <c r="H355" s="298"/>
      <c r="I355" s="282"/>
      <c r="J355" s="298"/>
      <c r="K355" s="566"/>
      <c r="L355" s="282"/>
      <c r="M355" s="282"/>
      <c r="N355" s="298"/>
      <c r="O355" s="282"/>
      <c r="P355" s="282"/>
      <c r="Q355" s="298"/>
      <c r="R355" s="282"/>
      <c r="S355" s="282"/>
      <c r="T355" s="298"/>
      <c r="U355" s="282"/>
      <c r="V355" s="298"/>
      <c r="W355" s="298"/>
      <c r="X355" s="297"/>
      <c r="Y355" s="297"/>
      <c r="Z355" s="297"/>
      <c r="AA355" s="297"/>
      <c r="AB355" s="297"/>
      <c r="AC355" s="297"/>
      <c r="AD355" s="297"/>
      <c r="AE355" s="297"/>
      <c r="AF355" s="297"/>
      <c r="AG355" s="297"/>
      <c r="AH355" s="297"/>
      <c r="AI355" s="297"/>
      <c r="AJ355" s="297"/>
      <c r="AK355" s="297"/>
      <c r="AL355" s="297"/>
      <c r="AM355" s="297"/>
      <c r="AN355" s="297"/>
      <c r="AO355" s="297"/>
      <c r="AP355" s="297"/>
      <c r="AQ355" s="297"/>
      <c r="AR355" s="297"/>
      <c r="AS355" s="297"/>
      <c r="AT355" s="297"/>
      <c r="AU355" s="297"/>
      <c r="AV355" s="297"/>
      <c r="AW355" s="297"/>
      <c r="AX355" s="297"/>
      <c r="AY355" s="297"/>
      <c r="AZ355" s="297"/>
      <c r="BA355" s="297"/>
      <c r="BB355" s="297"/>
    </row>
    <row r="356" spans="1:54" thickBot="1">
      <c r="A356" s="298"/>
      <c r="B356" s="298"/>
      <c r="C356" s="298"/>
      <c r="D356" s="298"/>
      <c r="E356" s="298"/>
      <c r="F356" s="282"/>
      <c r="G356" s="298"/>
      <c r="H356" s="298"/>
      <c r="I356" s="282"/>
      <c r="J356" s="298"/>
      <c r="K356" s="566"/>
      <c r="L356" s="282"/>
      <c r="M356" s="282"/>
      <c r="N356" s="298"/>
      <c r="O356" s="282"/>
      <c r="P356" s="282"/>
      <c r="Q356" s="298"/>
      <c r="R356" s="282"/>
      <c r="S356" s="282"/>
      <c r="T356" s="298"/>
      <c r="U356" s="282"/>
      <c r="V356" s="298"/>
      <c r="W356" s="298"/>
      <c r="X356" s="297"/>
      <c r="Y356" s="297"/>
      <c r="Z356" s="297"/>
      <c r="AA356" s="297"/>
      <c r="AB356" s="297"/>
      <c r="AC356" s="297"/>
      <c r="AD356" s="297"/>
      <c r="AE356" s="297"/>
      <c r="AF356" s="297"/>
      <c r="AG356" s="297"/>
      <c r="AH356" s="297"/>
      <c r="AI356" s="297"/>
      <c r="AJ356" s="297"/>
      <c r="AK356" s="297"/>
      <c r="AL356" s="297"/>
      <c r="AM356" s="297"/>
      <c r="AN356" s="297"/>
      <c r="AO356" s="297"/>
      <c r="AP356" s="297"/>
      <c r="AQ356" s="297"/>
      <c r="AR356" s="297"/>
      <c r="AS356" s="297"/>
      <c r="AT356" s="297"/>
      <c r="AU356" s="297"/>
      <c r="AV356" s="297"/>
      <c r="AW356" s="297"/>
      <c r="AX356" s="297"/>
      <c r="AY356" s="297"/>
      <c r="AZ356" s="297"/>
      <c r="BA356" s="297"/>
      <c r="BB356" s="297"/>
    </row>
    <row r="357" spans="1:54" thickBot="1">
      <c r="A357" s="298"/>
      <c r="B357" s="298"/>
      <c r="C357" s="298"/>
      <c r="D357" s="298"/>
      <c r="E357" s="298"/>
      <c r="F357" s="282"/>
      <c r="G357" s="298"/>
      <c r="H357" s="298"/>
      <c r="I357" s="282"/>
      <c r="J357" s="298"/>
      <c r="K357" s="566"/>
      <c r="L357" s="282"/>
      <c r="M357" s="282"/>
      <c r="N357" s="298"/>
      <c r="O357" s="282"/>
      <c r="P357" s="282"/>
      <c r="Q357" s="298"/>
      <c r="R357" s="282"/>
      <c r="S357" s="282"/>
      <c r="T357" s="298"/>
      <c r="U357" s="282"/>
      <c r="V357" s="298"/>
      <c r="W357" s="298"/>
      <c r="X357" s="297"/>
      <c r="Y357" s="297"/>
      <c r="Z357" s="297"/>
      <c r="AA357" s="297"/>
      <c r="AB357" s="297"/>
      <c r="AC357" s="297"/>
      <c r="AD357" s="297"/>
      <c r="AE357" s="297"/>
      <c r="AF357" s="297"/>
      <c r="AG357" s="297"/>
      <c r="AH357" s="297"/>
      <c r="AI357" s="297"/>
      <c r="AJ357" s="297"/>
      <c r="AK357" s="297"/>
      <c r="AL357" s="297"/>
      <c r="AM357" s="297"/>
      <c r="AN357" s="297"/>
      <c r="AO357" s="297"/>
      <c r="AP357" s="297"/>
      <c r="AQ357" s="297"/>
      <c r="AR357" s="297"/>
      <c r="AS357" s="297"/>
      <c r="AT357" s="297"/>
      <c r="AU357" s="297"/>
      <c r="AV357" s="297"/>
      <c r="AW357" s="297"/>
      <c r="AX357" s="297"/>
      <c r="AY357" s="297"/>
      <c r="AZ357" s="297"/>
      <c r="BA357" s="297"/>
      <c r="BB357" s="297"/>
    </row>
    <row r="358" spans="1:54" thickBot="1">
      <c r="A358" s="298"/>
      <c r="B358" s="298"/>
      <c r="C358" s="298"/>
      <c r="D358" s="298"/>
      <c r="E358" s="298"/>
      <c r="F358" s="282"/>
      <c r="G358" s="298"/>
      <c r="H358" s="298"/>
      <c r="I358" s="282"/>
      <c r="J358" s="298"/>
      <c r="K358" s="566"/>
      <c r="L358" s="282"/>
      <c r="M358" s="282"/>
      <c r="N358" s="298"/>
      <c r="O358" s="282"/>
      <c r="P358" s="282"/>
      <c r="Q358" s="298"/>
      <c r="R358" s="282"/>
      <c r="S358" s="282"/>
      <c r="T358" s="298"/>
      <c r="U358" s="282"/>
      <c r="V358" s="298"/>
      <c r="W358" s="298"/>
      <c r="X358" s="297"/>
      <c r="Y358" s="297"/>
      <c r="Z358" s="297"/>
      <c r="AA358" s="297"/>
      <c r="AB358" s="297"/>
      <c r="AC358" s="297"/>
      <c r="AD358" s="297"/>
      <c r="AE358" s="297"/>
      <c r="AF358" s="297"/>
      <c r="AG358" s="297"/>
      <c r="AH358" s="297"/>
      <c r="AI358" s="297"/>
      <c r="AJ358" s="297"/>
      <c r="AK358" s="297"/>
      <c r="AL358" s="297"/>
      <c r="AM358" s="297"/>
      <c r="AN358" s="297"/>
      <c r="AO358" s="297"/>
      <c r="AP358" s="297"/>
      <c r="AQ358" s="297"/>
      <c r="AR358" s="297"/>
      <c r="AS358" s="297"/>
      <c r="AT358" s="297"/>
      <c r="AU358" s="297"/>
      <c r="AV358" s="297"/>
      <c r="AW358" s="297"/>
      <c r="AX358" s="297"/>
      <c r="AY358" s="297"/>
      <c r="AZ358" s="297"/>
      <c r="BA358" s="297"/>
      <c r="BB358" s="297"/>
    </row>
    <row r="359" spans="1:54" thickBot="1">
      <c r="A359" s="298"/>
      <c r="B359" s="298"/>
      <c r="C359" s="298"/>
      <c r="D359" s="298"/>
      <c r="E359" s="298"/>
      <c r="F359" s="282"/>
      <c r="G359" s="298"/>
      <c r="H359" s="298"/>
      <c r="I359" s="282"/>
      <c r="J359" s="298"/>
      <c r="K359" s="566"/>
      <c r="L359" s="282"/>
      <c r="M359" s="282"/>
      <c r="N359" s="298"/>
      <c r="O359" s="282"/>
      <c r="P359" s="282"/>
      <c r="Q359" s="298"/>
      <c r="R359" s="282"/>
      <c r="S359" s="282"/>
      <c r="T359" s="298"/>
      <c r="U359" s="282"/>
      <c r="V359" s="298"/>
      <c r="W359" s="298"/>
      <c r="X359" s="297"/>
      <c r="Y359" s="297"/>
      <c r="Z359" s="297"/>
      <c r="AA359" s="297"/>
      <c r="AB359" s="297"/>
      <c r="AC359" s="297"/>
      <c r="AD359" s="297"/>
      <c r="AE359" s="297"/>
      <c r="AF359" s="297"/>
      <c r="AG359" s="297"/>
      <c r="AH359" s="297"/>
      <c r="AI359" s="297"/>
      <c r="AJ359" s="297"/>
      <c r="AK359" s="297"/>
      <c r="AL359" s="297"/>
      <c r="AM359" s="297"/>
      <c r="AN359" s="297"/>
      <c r="AO359" s="297"/>
      <c r="AP359" s="297"/>
      <c r="AQ359" s="297"/>
      <c r="AR359" s="297"/>
      <c r="AS359" s="297"/>
      <c r="AT359" s="297"/>
      <c r="AU359" s="297"/>
      <c r="AV359" s="297"/>
      <c r="AW359" s="297"/>
      <c r="AX359" s="297"/>
      <c r="AY359" s="297"/>
      <c r="AZ359" s="297"/>
      <c r="BA359" s="297"/>
      <c r="BB359" s="297"/>
    </row>
    <row r="360" spans="1:54" thickBot="1">
      <c r="A360" s="298"/>
      <c r="B360" s="298"/>
      <c r="C360" s="298"/>
      <c r="D360" s="298"/>
      <c r="E360" s="298"/>
      <c r="F360" s="282"/>
      <c r="G360" s="298"/>
      <c r="H360" s="298"/>
      <c r="I360" s="282"/>
      <c r="J360" s="298"/>
      <c r="K360" s="566"/>
      <c r="L360" s="282"/>
      <c r="M360" s="282"/>
      <c r="N360" s="298"/>
      <c r="O360" s="282"/>
      <c r="P360" s="282"/>
      <c r="Q360" s="298"/>
      <c r="R360" s="282"/>
      <c r="S360" s="282"/>
      <c r="T360" s="298"/>
      <c r="U360" s="282"/>
      <c r="V360" s="298"/>
      <c r="W360" s="298"/>
      <c r="X360" s="297"/>
      <c r="Y360" s="297"/>
      <c r="Z360" s="297"/>
      <c r="AA360" s="297"/>
      <c r="AB360" s="297"/>
      <c r="AC360" s="297"/>
      <c r="AD360" s="297"/>
      <c r="AE360" s="297"/>
      <c r="AF360" s="297"/>
      <c r="AG360" s="297"/>
      <c r="AH360" s="297"/>
      <c r="AI360" s="297"/>
      <c r="AJ360" s="297"/>
      <c r="AK360" s="297"/>
      <c r="AL360" s="297"/>
      <c r="AM360" s="297"/>
      <c r="AN360" s="297"/>
      <c r="AO360" s="297"/>
      <c r="AP360" s="297"/>
      <c r="AQ360" s="297"/>
      <c r="AR360" s="297"/>
      <c r="AS360" s="297"/>
      <c r="AT360" s="297"/>
      <c r="AU360" s="297"/>
      <c r="AV360" s="297"/>
      <c r="AW360" s="297"/>
      <c r="AX360" s="297"/>
      <c r="AY360" s="297"/>
      <c r="AZ360" s="297"/>
      <c r="BA360" s="297"/>
      <c r="BB360" s="297"/>
    </row>
    <row r="361" spans="1:54" thickBot="1">
      <c r="A361" s="298"/>
      <c r="B361" s="298"/>
      <c r="C361" s="298"/>
      <c r="D361" s="298"/>
      <c r="E361" s="298"/>
      <c r="F361" s="282"/>
      <c r="G361" s="298"/>
      <c r="H361" s="298"/>
      <c r="I361" s="282"/>
      <c r="J361" s="298"/>
      <c r="K361" s="566"/>
      <c r="L361" s="282"/>
      <c r="M361" s="282"/>
      <c r="N361" s="298"/>
      <c r="O361" s="282"/>
      <c r="P361" s="282"/>
      <c r="Q361" s="298"/>
      <c r="R361" s="282"/>
      <c r="S361" s="282"/>
      <c r="T361" s="298"/>
      <c r="U361" s="282"/>
      <c r="V361" s="298"/>
      <c r="W361" s="298"/>
      <c r="X361" s="297"/>
      <c r="Y361" s="297"/>
      <c r="Z361" s="297"/>
      <c r="AA361" s="297"/>
      <c r="AB361" s="297"/>
      <c r="AC361" s="297"/>
      <c r="AD361" s="297"/>
      <c r="AE361" s="297"/>
      <c r="AF361" s="297"/>
      <c r="AG361" s="297"/>
      <c r="AH361" s="297"/>
      <c r="AI361" s="297"/>
      <c r="AJ361" s="297"/>
      <c r="AK361" s="297"/>
      <c r="AL361" s="297"/>
      <c r="AM361" s="297"/>
      <c r="AN361" s="297"/>
      <c r="AO361" s="297"/>
      <c r="AP361" s="297"/>
      <c r="AQ361" s="297"/>
      <c r="AR361" s="297"/>
      <c r="AS361" s="297"/>
      <c r="AT361" s="297"/>
      <c r="AU361" s="297"/>
      <c r="AV361" s="297"/>
      <c r="AW361" s="297"/>
      <c r="AX361" s="297"/>
      <c r="AY361" s="297"/>
      <c r="AZ361" s="297"/>
      <c r="BA361" s="297"/>
      <c r="BB361" s="297"/>
    </row>
    <row r="362" spans="1:54" thickBot="1">
      <c r="A362" s="298"/>
      <c r="B362" s="298"/>
      <c r="C362" s="298"/>
      <c r="D362" s="298"/>
      <c r="E362" s="298"/>
      <c r="F362" s="282"/>
      <c r="G362" s="298"/>
      <c r="H362" s="298"/>
      <c r="I362" s="282"/>
      <c r="J362" s="298"/>
      <c r="K362" s="566"/>
      <c r="L362" s="282"/>
      <c r="M362" s="282"/>
      <c r="N362" s="298"/>
      <c r="O362" s="282"/>
      <c r="P362" s="282"/>
      <c r="Q362" s="298"/>
      <c r="R362" s="282"/>
      <c r="S362" s="282"/>
      <c r="T362" s="298"/>
      <c r="U362" s="282"/>
      <c r="V362" s="298"/>
      <c r="W362" s="298"/>
      <c r="X362" s="297"/>
      <c r="Y362" s="297"/>
      <c r="Z362" s="297"/>
      <c r="AA362" s="297"/>
      <c r="AB362" s="297"/>
      <c r="AC362" s="297"/>
      <c r="AD362" s="297"/>
      <c r="AE362" s="297"/>
      <c r="AF362" s="297"/>
      <c r="AG362" s="297"/>
      <c r="AH362" s="297"/>
      <c r="AI362" s="297"/>
      <c r="AJ362" s="297"/>
      <c r="AK362" s="297"/>
      <c r="AL362" s="297"/>
      <c r="AM362" s="297"/>
      <c r="AN362" s="297"/>
      <c r="AO362" s="297"/>
      <c r="AP362" s="297"/>
      <c r="AQ362" s="297"/>
      <c r="AR362" s="297"/>
      <c r="AS362" s="297"/>
      <c r="AT362" s="297"/>
      <c r="AU362" s="297"/>
      <c r="AV362" s="297"/>
      <c r="AW362" s="297"/>
      <c r="AX362" s="297"/>
      <c r="AY362" s="297"/>
      <c r="AZ362" s="297"/>
      <c r="BA362" s="297"/>
      <c r="BB362" s="297"/>
    </row>
    <row r="363" spans="1:54" thickBot="1">
      <c r="A363" s="298"/>
      <c r="B363" s="298"/>
      <c r="C363" s="298"/>
      <c r="D363" s="298"/>
      <c r="E363" s="298"/>
      <c r="F363" s="282"/>
      <c r="G363" s="298"/>
      <c r="H363" s="298"/>
      <c r="I363" s="282"/>
      <c r="J363" s="298"/>
      <c r="K363" s="566"/>
      <c r="L363" s="282"/>
      <c r="M363" s="282"/>
      <c r="N363" s="298"/>
      <c r="O363" s="282"/>
      <c r="P363" s="282"/>
      <c r="Q363" s="298"/>
      <c r="R363" s="282"/>
      <c r="S363" s="282"/>
      <c r="T363" s="298"/>
      <c r="U363" s="282"/>
      <c r="V363" s="298"/>
      <c r="W363" s="298"/>
      <c r="X363" s="297"/>
      <c r="Y363" s="297"/>
      <c r="Z363" s="297"/>
      <c r="AA363" s="297"/>
      <c r="AB363" s="297"/>
      <c r="AC363" s="297"/>
      <c r="AD363" s="297"/>
      <c r="AE363" s="297"/>
      <c r="AF363" s="297"/>
      <c r="AG363" s="297"/>
      <c r="AH363" s="297"/>
      <c r="AI363" s="297"/>
      <c r="AJ363" s="297"/>
      <c r="AK363" s="297"/>
      <c r="AL363" s="297"/>
      <c r="AM363" s="297"/>
      <c r="AN363" s="297"/>
      <c r="AO363" s="297"/>
      <c r="AP363" s="297"/>
      <c r="AQ363" s="297"/>
      <c r="AR363" s="297"/>
      <c r="AS363" s="297"/>
      <c r="AT363" s="297"/>
      <c r="AU363" s="297"/>
      <c r="AV363" s="297"/>
      <c r="AW363" s="297"/>
      <c r="AX363" s="297"/>
      <c r="AY363" s="297"/>
      <c r="AZ363" s="297"/>
      <c r="BA363" s="297"/>
      <c r="BB363" s="297"/>
    </row>
    <row r="364" spans="1:54" thickBot="1">
      <c r="A364" s="298"/>
      <c r="B364" s="298"/>
      <c r="C364" s="298"/>
      <c r="D364" s="298"/>
      <c r="E364" s="298"/>
      <c r="F364" s="282"/>
      <c r="G364" s="298"/>
      <c r="H364" s="298"/>
      <c r="I364" s="282"/>
      <c r="J364" s="298"/>
      <c r="K364" s="566"/>
      <c r="L364" s="282"/>
      <c r="M364" s="282"/>
      <c r="N364" s="298"/>
      <c r="O364" s="282"/>
      <c r="P364" s="282"/>
      <c r="Q364" s="298"/>
      <c r="R364" s="282"/>
      <c r="S364" s="282"/>
      <c r="T364" s="298"/>
      <c r="U364" s="282"/>
      <c r="V364" s="298"/>
      <c r="W364" s="298"/>
      <c r="X364" s="297"/>
      <c r="Y364" s="297"/>
      <c r="Z364" s="297"/>
      <c r="AA364" s="297"/>
      <c r="AB364" s="297"/>
      <c r="AC364" s="297"/>
      <c r="AD364" s="297"/>
      <c r="AE364" s="297"/>
      <c r="AF364" s="297"/>
      <c r="AG364" s="297"/>
      <c r="AH364" s="297"/>
      <c r="AI364" s="297"/>
      <c r="AJ364" s="297"/>
      <c r="AK364" s="297"/>
      <c r="AL364" s="297"/>
      <c r="AM364" s="297"/>
      <c r="AN364" s="297"/>
      <c r="AO364" s="297"/>
      <c r="AP364" s="297"/>
      <c r="AQ364" s="297"/>
      <c r="AR364" s="297"/>
      <c r="AS364" s="297"/>
      <c r="AT364" s="297"/>
      <c r="AU364" s="297"/>
      <c r="AV364" s="297"/>
      <c r="AW364" s="297"/>
      <c r="AX364" s="297"/>
      <c r="AY364" s="297"/>
      <c r="AZ364" s="297"/>
      <c r="BA364" s="297"/>
      <c r="BB364" s="297"/>
    </row>
    <row r="365" spans="1:54" thickBot="1">
      <c r="A365" s="298"/>
      <c r="B365" s="298"/>
      <c r="C365" s="298"/>
      <c r="D365" s="298"/>
      <c r="E365" s="298"/>
      <c r="F365" s="282"/>
      <c r="G365" s="298"/>
      <c r="H365" s="298"/>
      <c r="I365" s="282"/>
      <c r="J365" s="298"/>
      <c r="K365" s="566"/>
      <c r="L365" s="282"/>
      <c r="M365" s="282"/>
      <c r="N365" s="298"/>
      <c r="O365" s="282"/>
      <c r="P365" s="282"/>
      <c r="Q365" s="298"/>
      <c r="R365" s="282"/>
      <c r="S365" s="282"/>
      <c r="T365" s="298"/>
      <c r="U365" s="282"/>
      <c r="V365" s="298"/>
      <c r="W365" s="298"/>
      <c r="X365" s="297"/>
      <c r="Y365" s="297"/>
      <c r="Z365" s="297"/>
      <c r="AA365" s="297"/>
      <c r="AB365" s="297"/>
      <c r="AC365" s="297"/>
      <c r="AD365" s="297"/>
      <c r="AE365" s="297"/>
      <c r="AF365" s="297"/>
      <c r="AG365" s="297"/>
      <c r="AH365" s="297"/>
      <c r="AI365" s="297"/>
      <c r="AJ365" s="297"/>
      <c r="AK365" s="297"/>
      <c r="AL365" s="297"/>
      <c r="AM365" s="297"/>
      <c r="AN365" s="297"/>
      <c r="AO365" s="297"/>
      <c r="AP365" s="297"/>
      <c r="AQ365" s="297"/>
      <c r="AR365" s="297"/>
      <c r="AS365" s="297"/>
      <c r="AT365" s="297"/>
      <c r="AU365" s="297"/>
      <c r="AV365" s="297"/>
      <c r="AW365" s="297"/>
      <c r="AX365" s="297"/>
      <c r="AY365" s="297"/>
      <c r="AZ365" s="297"/>
      <c r="BA365" s="297"/>
      <c r="BB365" s="297"/>
    </row>
    <row r="366" spans="1:54" thickBot="1">
      <c r="A366" s="298"/>
      <c r="B366" s="298"/>
      <c r="C366" s="298"/>
      <c r="D366" s="298"/>
      <c r="E366" s="298"/>
      <c r="F366" s="282"/>
      <c r="G366" s="298"/>
      <c r="H366" s="298"/>
      <c r="I366" s="282"/>
      <c r="J366" s="298"/>
      <c r="K366" s="566"/>
      <c r="L366" s="282"/>
      <c r="M366" s="282"/>
      <c r="N366" s="298"/>
      <c r="O366" s="282"/>
      <c r="P366" s="282"/>
      <c r="Q366" s="298"/>
      <c r="R366" s="282"/>
      <c r="S366" s="282"/>
      <c r="T366" s="298"/>
      <c r="U366" s="282"/>
      <c r="V366" s="298"/>
      <c r="W366" s="298"/>
      <c r="X366" s="297"/>
      <c r="Y366" s="297"/>
      <c r="Z366" s="297"/>
      <c r="AA366" s="297"/>
      <c r="AB366" s="297"/>
      <c r="AC366" s="297"/>
      <c r="AD366" s="297"/>
      <c r="AE366" s="297"/>
      <c r="AF366" s="297"/>
      <c r="AG366" s="297"/>
      <c r="AH366" s="297"/>
      <c r="AI366" s="297"/>
      <c r="AJ366" s="297"/>
      <c r="AK366" s="297"/>
      <c r="AL366" s="297"/>
      <c r="AM366" s="297"/>
      <c r="AN366" s="297"/>
      <c r="AO366" s="297"/>
      <c r="AP366" s="297"/>
      <c r="AQ366" s="297"/>
      <c r="AR366" s="297"/>
      <c r="AS366" s="297"/>
      <c r="AT366" s="297"/>
      <c r="AU366" s="297"/>
      <c r="AV366" s="297"/>
      <c r="AW366" s="297"/>
      <c r="AX366" s="297"/>
      <c r="AY366" s="297"/>
      <c r="AZ366" s="297"/>
      <c r="BA366" s="297"/>
      <c r="BB366" s="297"/>
    </row>
    <row r="367" spans="1:54" thickBot="1">
      <c r="A367" s="298"/>
      <c r="B367" s="298"/>
      <c r="C367" s="298"/>
      <c r="D367" s="298"/>
      <c r="E367" s="298"/>
      <c r="F367" s="282"/>
      <c r="G367" s="298"/>
      <c r="H367" s="298"/>
      <c r="I367" s="282"/>
      <c r="J367" s="298"/>
      <c r="K367" s="566"/>
      <c r="L367" s="282"/>
      <c r="M367" s="282"/>
      <c r="N367" s="298"/>
      <c r="O367" s="282"/>
      <c r="P367" s="282"/>
      <c r="Q367" s="298"/>
      <c r="R367" s="282"/>
      <c r="S367" s="282"/>
      <c r="T367" s="298"/>
      <c r="U367" s="282"/>
      <c r="V367" s="298"/>
      <c r="W367" s="298"/>
      <c r="X367" s="297"/>
      <c r="Y367" s="297"/>
      <c r="Z367" s="297"/>
      <c r="AA367" s="297"/>
      <c r="AB367" s="297"/>
      <c r="AC367" s="297"/>
      <c r="AD367" s="297"/>
      <c r="AE367" s="297"/>
      <c r="AF367" s="297"/>
      <c r="AG367" s="297"/>
      <c r="AH367" s="297"/>
      <c r="AI367" s="297"/>
      <c r="AJ367" s="297"/>
      <c r="AK367" s="297"/>
      <c r="AL367" s="297"/>
      <c r="AM367" s="297"/>
      <c r="AN367" s="297"/>
      <c r="AO367" s="297"/>
      <c r="AP367" s="297"/>
      <c r="AQ367" s="297"/>
      <c r="AR367" s="297"/>
      <c r="AS367" s="297"/>
      <c r="AT367" s="297"/>
      <c r="AU367" s="297"/>
      <c r="AV367" s="297"/>
      <c r="AW367" s="297"/>
      <c r="AX367" s="297"/>
      <c r="AY367" s="297"/>
      <c r="AZ367" s="297"/>
      <c r="BA367" s="297"/>
      <c r="BB367" s="297"/>
    </row>
    <row r="368" spans="1:54" thickBot="1">
      <c r="A368" s="298"/>
      <c r="B368" s="298"/>
      <c r="C368" s="298"/>
      <c r="D368" s="298"/>
      <c r="E368" s="298"/>
      <c r="F368" s="282"/>
      <c r="G368" s="298"/>
      <c r="H368" s="298"/>
      <c r="I368" s="282"/>
      <c r="J368" s="298"/>
      <c r="K368" s="566"/>
      <c r="L368" s="282"/>
      <c r="M368" s="282"/>
      <c r="N368" s="298"/>
      <c r="O368" s="282"/>
      <c r="P368" s="282"/>
      <c r="Q368" s="298"/>
      <c r="R368" s="282"/>
      <c r="S368" s="282"/>
      <c r="T368" s="298"/>
      <c r="U368" s="282"/>
      <c r="V368" s="298"/>
      <c r="W368" s="298"/>
      <c r="X368" s="297"/>
      <c r="Y368" s="297"/>
      <c r="Z368" s="297"/>
      <c r="AA368" s="297"/>
      <c r="AB368" s="297"/>
      <c r="AC368" s="297"/>
      <c r="AD368" s="297"/>
      <c r="AE368" s="297"/>
      <c r="AF368" s="297"/>
      <c r="AG368" s="297"/>
      <c r="AH368" s="297"/>
      <c r="AI368" s="297"/>
      <c r="AJ368" s="297"/>
      <c r="AK368" s="297"/>
      <c r="AL368" s="297"/>
      <c r="AM368" s="297"/>
      <c r="AN368" s="297"/>
      <c r="AO368" s="297"/>
      <c r="AP368" s="297"/>
      <c r="AQ368" s="297"/>
      <c r="AR368" s="297"/>
      <c r="AS368" s="297"/>
      <c r="AT368" s="297"/>
      <c r="AU368" s="297"/>
      <c r="AV368" s="297"/>
      <c r="AW368" s="297"/>
      <c r="AX368" s="297"/>
      <c r="AY368" s="297"/>
      <c r="AZ368" s="297"/>
      <c r="BA368" s="297"/>
      <c r="BB368" s="297"/>
    </row>
    <row r="369" spans="1:54" thickBot="1">
      <c r="A369" s="298"/>
      <c r="B369" s="298"/>
      <c r="C369" s="298"/>
      <c r="D369" s="298"/>
      <c r="E369" s="298"/>
      <c r="F369" s="282"/>
      <c r="G369" s="298"/>
      <c r="H369" s="298"/>
      <c r="I369" s="282"/>
      <c r="J369" s="298"/>
      <c r="K369" s="566"/>
      <c r="L369" s="282"/>
      <c r="M369" s="282"/>
      <c r="N369" s="298"/>
      <c r="O369" s="282"/>
      <c r="P369" s="282"/>
      <c r="Q369" s="298"/>
      <c r="R369" s="282"/>
      <c r="S369" s="282"/>
      <c r="T369" s="298"/>
      <c r="U369" s="282"/>
      <c r="V369" s="298"/>
      <c r="W369" s="298"/>
      <c r="X369" s="297"/>
      <c r="Y369" s="297"/>
      <c r="Z369" s="297"/>
      <c r="AA369" s="297"/>
      <c r="AB369" s="297"/>
      <c r="AC369" s="297"/>
      <c r="AD369" s="297"/>
      <c r="AE369" s="297"/>
      <c r="AF369" s="297"/>
      <c r="AG369" s="297"/>
      <c r="AH369" s="297"/>
      <c r="AI369" s="297"/>
      <c r="AJ369" s="297"/>
      <c r="AK369" s="297"/>
      <c r="AL369" s="297"/>
      <c r="AM369" s="297"/>
      <c r="AN369" s="297"/>
      <c r="AO369" s="297"/>
      <c r="AP369" s="297"/>
      <c r="AQ369" s="297"/>
      <c r="AR369" s="297"/>
      <c r="AS369" s="297"/>
      <c r="AT369" s="297"/>
      <c r="AU369" s="297"/>
      <c r="AV369" s="297"/>
      <c r="AW369" s="297"/>
      <c r="AX369" s="297"/>
      <c r="AY369" s="297"/>
      <c r="AZ369" s="297"/>
      <c r="BA369" s="297"/>
      <c r="BB369" s="297"/>
    </row>
    <row r="370" spans="1:54" thickBot="1">
      <c r="A370" s="298"/>
      <c r="B370" s="298"/>
      <c r="C370" s="298"/>
      <c r="D370" s="298"/>
      <c r="E370" s="298"/>
      <c r="F370" s="282"/>
      <c r="G370" s="298"/>
      <c r="H370" s="298"/>
      <c r="I370" s="282"/>
      <c r="J370" s="298"/>
      <c r="K370" s="566"/>
      <c r="L370" s="282"/>
      <c r="M370" s="282"/>
      <c r="N370" s="298"/>
      <c r="O370" s="282"/>
      <c r="P370" s="282"/>
      <c r="Q370" s="298"/>
      <c r="R370" s="282"/>
      <c r="S370" s="282"/>
      <c r="T370" s="298"/>
      <c r="U370" s="282"/>
      <c r="V370" s="298"/>
      <c r="W370" s="298"/>
      <c r="X370" s="297"/>
      <c r="Y370" s="297"/>
      <c r="Z370" s="297"/>
      <c r="AA370" s="297"/>
      <c r="AB370" s="297"/>
      <c r="AC370" s="297"/>
      <c r="AD370" s="297"/>
      <c r="AE370" s="297"/>
      <c r="AF370" s="297"/>
      <c r="AG370" s="297"/>
      <c r="AH370" s="297"/>
      <c r="AI370" s="297"/>
      <c r="AJ370" s="297"/>
      <c r="AK370" s="297"/>
      <c r="AL370" s="297"/>
      <c r="AM370" s="297"/>
      <c r="AN370" s="297"/>
      <c r="AO370" s="297"/>
      <c r="AP370" s="297"/>
      <c r="AQ370" s="297"/>
      <c r="AR370" s="297"/>
      <c r="AS370" s="297"/>
      <c r="AT370" s="297"/>
      <c r="AU370" s="297"/>
      <c r="AV370" s="297"/>
      <c r="AW370" s="297"/>
      <c r="AX370" s="297"/>
      <c r="AY370" s="297"/>
      <c r="AZ370" s="297"/>
      <c r="BA370" s="297"/>
      <c r="BB370" s="297"/>
    </row>
    <row r="371" spans="1:54" thickBot="1">
      <c r="A371" s="298"/>
      <c r="B371" s="298"/>
      <c r="C371" s="298"/>
      <c r="D371" s="298"/>
      <c r="E371" s="298"/>
      <c r="F371" s="282"/>
      <c r="G371" s="298"/>
      <c r="H371" s="298"/>
      <c r="I371" s="282"/>
      <c r="J371" s="298"/>
      <c r="K371" s="566"/>
      <c r="L371" s="282"/>
      <c r="M371" s="282"/>
      <c r="N371" s="298"/>
      <c r="O371" s="282"/>
      <c r="P371" s="282"/>
      <c r="Q371" s="298"/>
      <c r="R371" s="282"/>
      <c r="S371" s="282"/>
      <c r="T371" s="298"/>
      <c r="U371" s="282"/>
      <c r="V371" s="298"/>
      <c r="W371" s="298"/>
      <c r="X371" s="297"/>
      <c r="Y371" s="297"/>
      <c r="Z371" s="297"/>
      <c r="AA371" s="297"/>
      <c r="AB371" s="297"/>
      <c r="AC371" s="297"/>
      <c r="AD371" s="297"/>
      <c r="AE371" s="297"/>
      <c r="AF371" s="297"/>
      <c r="AG371" s="297"/>
      <c r="AH371" s="297"/>
      <c r="AI371" s="297"/>
      <c r="AJ371" s="297"/>
      <c r="AK371" s="297"/>
      <c r="AL371" s="297"/>
      <c r="AM371" s="297"/>
      <c r="AN371" s="297"/>
      <c r="AO371" s="297"/>
      <c r="AP371" s="297"/>
      <c r="AQ371" s="297"/>
      <c r="AR371" s="297"/>
      <c r="AS371" s="297"/>
      <c r="AT371" s="297"/>
      <c r="AU371" s="297"/>
      <c r="AV371" s="297"/>
      <c r="AW371" s="297"/>
      <c r="AX371" s="297"/>
      <c r="AY371" s="297"/>
      <c r="AZ371" s="297"/>
      <c r="BA371" s="297"/>
      <c r="BB371" s="297"/>
    </row>
    <row r="372" spans="1:54" thickBot="1">
      <c r="A372" s="298"/>
      <c r="B372" s="298"/>
      <c r="C372" s="298"/>
      <c r="D372" s="298"/>
      <c r="E372" s="298"/>
      <c r="F372" s="282"/>
      <c r="G372" s="298"/>
      <c r="H372" s="298"/>
      <c r="I372" s="282"/>
      <c r="J372" s="298"/>
      <c r="K372" s="566"/>
      <c r="L372" s="282"/>
      <c r="M372" s="282"/>
      <c r="N372" s="298"/>
      <c r="O372" s="282"/>
      <c r="P372" s="282"/>
      <c r="Q372" s="298"/>
      <c r="R372" s="282"/>
      <c r="S372" s="282"/>
      <c r="T372" s="298"/>
      <c r="U372" s="282"/>
      <c r="V372" s="298"/>
      <c r="W372" s="298"/>
      <c r="X372" s="297"/>
      <c r="Y372" s="297"/>
      <c r="Z372" s="297"/>
      <c r="AA372" s="297"/>
      <c r="AB372" s="297"/>
      <c r="AC372" s="297"/>
      <c r="AD372" s="297"/>
      <c r="AE372" s="297"/>
      <c r="AF372" s="297"/>
      <c r="AG372" s="297"/>
      <c r="AH372" s="297"/>
      <c r="AI372" s="297"/>
      <c r="AJ372" s="297"/>
      <c r="AK372" s="297"/>
      <c r="AL372" s="297"/>
      <c r="AM372" s="297"/>
      <c r="AN372" s="297"/>
      <c r="AO372" s="297"/>
      <c r="AP372" s="297"/>
      <c r="AQ372" s="297"/>
      <c r="AR372" s="297"/>
      <c r="AS372" s="297"/>
      <c r="AT372" s="297"/>
      <c r="AU372" s="297"/>
      <c r="AV372" s="297"/>
      <c r="AW372" s="297"/>
      <c r="AX372" s="297"/>
      <c r="AY372" s="297"/>
      <c r="AZ372" s="297"/>
      <c r="BA372" s="297"/>
      <c r="BB372" s="297"/>
    </row>
    <row r="373" spans="1:54" thickBot="1">
      <c r="A373" s="298"/>
      <c r="B373" s="298"/>
      <c r="C373" s="298"/>
      <c r="D373" s="298"/>
      <c r="E373" s="298"/>
      <c r="F373" s="282"/>
      <c r="G373" s="298"/>
      <c r="H373" s="298"/>
      <c r="I373" s="282"/>
      <c r="J373" s="298"/>
      <c r="K373" s="566"/>
      <c r="L373" s="282"/>
      <c r="M373" s="282"/>
      <c r="N373" s="298"/>
      <c r="O373" s="282"/>
      <c r="P373" s="282"/>
      <c r="Q373" s="298"/>
      <c r="R373" s="282"/>
      <c r="S373" s="282"/>
      <c r="T373" s="298"/>
      <c r="U373" s="282"/>
      <c r="V373" s="298"/>
      <c r="W373" s="298"/>
      <c r="X373" s="297"/>
      <c r="Y373" s="297"/>
      <c r="Z373" s="297"/>
      <c r="AA373" s="297"/>
      <c r="AB373" s="297"/>
      <c r="AC373" s="297"/>
      <c r="AD373" s="297"/>
      <c r="AE373" s="297"/>
      <c r="AF373" s="297"/>
      <c r="AG373" s="297"/>
      <c r="AH373" s="297"/>
      <c r="AI373" s="297"/>
      <c r="AJ373" s="297"/>
      <c r="AK373" s="297"/>
      <c r="AL373" s="297"/>
      <c r="AM373" s="297"/>
      <c r="AN373" s="297"/>
      <c r="AO373" s="297"/>
      <c r="AP373" s="297"/>
      <c r="AQ373" s="297"/>
      <c r="AR373" s="297"/>
      <c r="AS373" s="297"/>
      <c r="AT373" s="297"/>
      <c r="AU373" s="297"/>
      <c r="AV373" s="297"/>
      <c r="AW373" s="297"/>
      <c r="AX373" s="297"/>
      <c r="AY373" s="297"/>
      <c r="AZ373" s="297"/>
      <c r="BA373" s="297"/>
      <c r="BB373" s="297"/>
    </row>
    <row r="374" spans="1:54" thickBot="1">
      <c r="A374" s="298"/>
      <c r="B374" s="298"/>
      <c r="C374" s="298"/>
      <c r="D374" s="298"/>
      <c r="E374" s="298"/>
      <c r="F374" s="282"/>
      <c r="G374" s="298"/>
      <c r="H374" s="298"/>
      <c r="I374" s="282"/>
      <c r="J374" s="298"/>
      <c r="K374" s="566"/>
      <c r="L374" s="282"/>
      <c r="M374" s="282"/>
      <c r="N374" s="298"/>
      <c r="O374" s="282"/>
      <c r="P374" s="282"/>
      <c r="Q374" s="298"/>
      <c r="R374" s="282"/>
      <c r="S374" s="282"/>
      <c r="T374" s="298"/>
      <c r="U374" s="282"/>
      <c r="V374" s="298"/>
      <c r="W374" s="298"/>
      <c r="X374" s="297"/>
      <c r="Y374" s="297"/>
      <c r="Z374" s="297"/>
      <c r="AA374" s="297"/>
      <c r="AB374" s="297"/>
      <c r="AC374" s="297"/>
      <c r="AD374" s="297"/>
      <c r="AE374" s="297"/>
      <c r="AF374" s="297"/>
      <c r="AG374" s="297"/>
      <c r="AH374" s="297"/>
      <c r="AI374" s="297"/>
      <c r="AJ374" s="297"/>
      <c r="AK374" s="297"/>
      <c r="AL374" s="297"/>
      <c r="AM374" s="297"/>
      <c r="AN374" s="297"/>
      <c r="AO374" s="297"/>
      <c r="AP374" s="297"/>
      <c r="AQ374" s="297"/>
      <c r="AR374" s="297"/>
      <c r="AS374" s="297"/>
      <c r="AT374" s="297"/>
      <c r="AU374" s="297"/>
      <c r="AV374" s="297"/>
      <c r="AW374" s="297"/>
      <c r="AX374" s="297"/>
      <c r="AY374" s="297"/>
      <c r="AZ374" s="297"/>
      <c r="BA374" s="297"/>
      <c r="BB374" s="297"/>
    </row>
    <row r="375" spans="1:54" thickBot="1">
      <c r="A375" s="298"/>
      <c r="B375" s="298"/>
      <c r="C375" s="298"/>
      <c r="D375" s="298"/>
      <c r="E375" s="298"/>
      <c r="F375" s="282"/>
      <c r="G375" s="298"/>
      <c r="H375" s="298"/>
      <c r="I375" s="282"/>
      <c r="J375" s="298"/>
      <c r="K375" s="566"/>
      <c r="L375" s="282"/>
      <c r="M375" s="282"/>
      <c r="N375" s="298"/>
      <c r="O375" s="282"/>
      <c r="P375" s="282"/>
      <c r="Q375" s="298"/>
      <c r="R375" s="282"/>
      <c r="S375" s="282"/>
      <c r="T375" s="298"/>
      <c r="U375" s="282"/>
      <c r="V375" s="298"/>
      <c r="W375" s="298"/>
      <c r="X375" s="297"/>
      <c r="Y375" s="297"/>
      <c r="Z375" s="297"/>
      <c r="AA375" s="297"/>
      <c r="AB375" s="297"/>
      <c r="AC375" s="297"/>
      <c r="AD375" s="297"/>
      <c r="AE375" s="297"/>
      <c r="AF375" s="297"/>
      <c r="AG375" s="297"/>
      <c r="AH375" s="297"/>
      <c r="AI375" s="297"/>
      <c r="AJ375" s="297"/>
      <c r="AK375" s="297"/>
      <c r="AL375" s="297"/>
      <c r="AM375" s="297"/>
      <c r="AN375" s="297"/>
      <c r="AO375" s="297"/>
      <c r="AP375" s="297"/>
      <c r="AQ375" s="297"/>
      <c r="AR375" s="297"/>
      <c r="AS375" s="297"/>
      <c r="AT375" s="297"/>
      <c r="AU375" s="297"/>
      <c r="AV375" s="297"/>
      <c r="AW375" s="297"/>
      <c r="AX375" s="297"/>
      <c r="AY375" s="297"/>
      <c r="AZ375" s="297"/>
      <c r="BA375" s="297"/>
      <c r="BB375" s="297"/>
    </row>
    <row r="376" spans="1:54" thickBot="1">
      <c r="A376" s="298"/>
      <c r="B376" s="298"/>
      <c r="C376" s="298"/>
      <c r="D376" s="298"/>
      <c r="E376" s="298"/>
      <c r="F376" s="282"/>
      <c r="G376" s="298"/>
      <c r="H376" s="298"/>
      <c r="I376" s="282"/>
      <c r="J376" s="298"/>
      <c r="K376" s="566"/>
      <c r="L376" s="282"/>
      <c r="M376" s="282"/>
      <c r="N376" s="298"/>
      <c r="O376" s="282"/>
      <c r="P376" s="282"/>
      <c r="Q376" s="298"/>
      <c r="R376" s="282"/>
      <c r="S376" s="282"/>
      <c r="T376" s="298"/>
      <c r="U376" s="282"/>
      <c r="V376" s="298"/>
      <c r="W376" s="298"/>
      <c r="X376" s="297"/>
      <c r="Y376" s="297"/>
      <c r="Z376" s="297"/>
      <c r="AA376" s="297"/>
      <c r="AB376" s="297"/>
      <c r="AC376" s="297"/>
      <c r="AD376" s="297"/>
      <c r="AE376" s="297"/>
      <c r="AF376" s="297"/>
      <c r="AG376" s="297"/>
      <c r="AH376" s="297"/>
      <c r="AI376" s="297"/>
      <c r="AJ376" s="297"/>
      <c r="AK376" s="297"/>
      <c r="AL376" s="297"/>
      <c r="AM376" s="297"/>
      <c r="AN376" s="297"/>
      <c r="AO376" s="297"/>
      <c r="AP376" s="297"/>
      <c r="AQ376" s="297"/>
      <c r="AR376" s="297"/>
      <c r="AS376" s="297"/>
      <c r="AT376" s="297"/>
      <c r="AU376" s="297"/>
      <c r="AV376" s="297"/>
      <c r="AW376" s="297"/>
      <c r="AX376" s="297"/>
      <c r="AY376" s="297"/>
      <c r="AZ376" s="297"/>
      <c r="BA376" s="297"/>
      <c r="BB376" s="297"/>
    </row>
    <row r="377" spans="1:54" thickBot="1">
      <c r="A377" s="298"/>
      <c r="B377" s="298"/>
      <c r="C377" s="298"/>
      <c r="D377" s="298"/>
      <c r="E377" s="298"/>
      <c r="F377" s="282"/>
      <c r="G377" s="298"/>
      <c r="H377" s="298"/>
      <c r="I377" s="282"/>
      <c r="J377" s="298"/>
      <c r="K377" s="566"/>
      <c r="L377" s="282"/>
      <c r="M377" s="282"/>
      <c r="N377" s="298"/>
      <c r="O377" s="282"/>
      <c r="P377" s="282"/>
      <c r="Q377" s="298"/>
      <c r="R377" s="282"/>
      <c r="S377" s="282"/>
      <c r="T377" s="298"/>
      <c r="U377" s="282"/>
      <c r="V377" s="298"/>
      <c r="W377" s="298"/>
      <c r="X377" s="297"/>
      <c r="Y377" s="297"/>
      <c r="Z377" s="297"/>
      <c r="AA377" s="297"/>
      <c r="AB377" s="297"/>
      <c r="AC377" s="297"/>
      <c r="AD377" s="297"/>
      <c r="AE377" s="297"/>
      <c r="AF377" s="297"/>
      <c r="AG377" s="297"/>
      <c r="AH377" s="297"/>
      <c r="AI377" s="297"/>
      <c r="AJ377" s="297"/>
      <c r="AK377" s="297"/>
      <c r="AL377" s="297"/>
      <c r="AM377" s="297"/>
      <c r="AN377" s="297"/>
      <c r="AO377" s="297"/>
      <c r="AP377" s="297"/>
      <c r="AQ377" s="297"/>
      <c r="AR377" s="297"/>
      <c r="AS377" s="297"/>
      <c r="AT377" s="297"/>
      <c r="AU377" s="297"/>
      <c r="AV377" s="297"/>
      <c r="AW377" s="297"/>
      <c r="AX377" s="297"/>
      <c r="AY377" s="297"/>
      <c r="AZ377" s="297"/>
      <c r="BA377" s="297"/>
      <c r="BB377" s="297"/>
    </row>
    <row r="378" spans="1:54" thickBot="1">
      <c r="A378" s="298"/>
      <c r="B378" s="298"/>
      <c r="C378" s="298"/>
      <c r="D378" s="298"/>
      <c r="E378" s="298"/>
      <c r="F378" s="282"/>
      <c r="G378" s="298"/>
      <c r="H378" s="298"/>
      <c r="I378" s="282"/>
      <c r="J378" s="298"/>
      <c r="K378" s="566"/>
      <c r="L378" s="282"/>
      <c r="M378" s="282"/>
      <c r="N378" s="298"/>
      <c r="O378" s="282"/>
      <c r="P378" s="282"/>
      <c r="Q378" s="298"/>
      <c r="R378" s="282"/>
      <c r="S378" s="282"/>
      <c r="T378" s="298"/>
      <c r="U378" s="282"/>
      <c r="V378" s="298"/>
      <c r="W378" s="298"/>
      <c r="X378" s="297"/>
      <c r="Y378" s="297"/>
      <c r="Z378" s="297"/>
      <c r="AA378" s="297"/>
      <c r="AB378" s="297"/>
      <c r="AC378" s="297"/>
      <c r="AD378" s="297"/>
      <c r="AE378" s="297"/>
      <c r="AF378" s="297"/>
      <c r="AG378" s="297"/>
      <c r="AH378" s="297"/>
      <c r="AI378" s="297"/>
      <c r="AJ378" s="297"/>
      <c r="AK378" s="297"/>
      <c r="AL378" s="297"/>
      <c r="AM378" s="297"/>
      <c r="AN378" s="297"/>
      <c r="AO378" s="297"/>
      <c r="AP378" s="297"/>
      <c r="AQ378" s="297"/>
      <c r="AR378" s="297"/>
      <c r="AS378" s="297"/>
      <c r="AT378" s="297"/>
      <c r="AU378" s="297"/>
      <c r="AV378" s="297"/>
      <c r="AW378" s="297"/>
      <c r="AX378" s="297"/>
      <c r="AY378" s="297"/>
      <c r="AZ378" s="297"/>
      <c r="BA378" s="297"/>
      <c r="BB378" s="297"/>
    </row>
    <row r="379" spans="1:54" thickBot="1">
      <c r="A379" s="298"/>
      <c r="B379" s="298"/>
      <c r="C379" s="298"/>
      <c r="D379" s="298"/>
      <c r="E379" s="298"/>
      <c r="F379" s="282"/>
      <c r="G379" s="298"/>
      <c r="H379" s="298"/>
      <c r="I379" s="282"/>
      <c r="J379" s="298"/>
      <c r="K379" s="566"/>
      <c r="L379" s="282"/>
      <c r="M379" s="282"/>
      <c r="N379" s="298"/>
      <c r="O379" s="282"/>
      <c r="P379" s="282"/>
      <c r="Q379" s="298"/>
      <c r="R379" s="282"/>
      <c r="S379" s="282"/>
      <c r="T379" s="298"/>
      <c r="U379" s="282"/>
      <c r="V379" s="298"/>
      <c r="W379" s="298"/>
      <c r="X379" s="297"/>
      <c r="Y379" s="297"/>
      <c r="Z379" s="297"/>
      <c r="AA379" s="297"/>
      <c r="AB379" s="297"/>
      <c r="AC379" s="297"/>
      <c r="AD379" s="297"/>
      <c r="AE379" s="297"/>
      <c r="AF379" s="297"/>
      <c r="AG379" s="297"/>
      <c r="AH379" s="297"/>
      <c r="AI379" s="297"/>
      <c r="AJ379" s="297"/>
      <c r="AK379" s="297"/>
      <c r="AL379" s="297"/>
      <c r="AM379" s="297"/>
      <c r="AN379" s="297"/>
      <c r="AO379" s="297"/>
      <c r="AP379" s="297"/>
      <c r="AQ379" s="297"/>
      <c r="AR379" s="297"/>
      <c r="AS379" s="297"/>
      <c r="AT379" s="297"/>
      <c r="AU379" s="297"/>
      <c r="AV379" s="297"/>
      <c r="AW379" s="297"/>
      <c r="AX379" s="297"/>
      <c r="AY379" s="297"/>
      <c r="AZ379" s="297"/>
      <c r="BA379" s="297"/>
      <c r="BB379" s="297"/>
    </row>
    <row r="380" spans="1:54" thickBot="1">
      <c r="A380" s="298"/>
      <c r="B380" s="298"/>
      <c r="C380" s="298"/>
      <c r="D380" s="298"/>
      <c r="E380" s="298"/>
      <c r="F380" s="282"/>
      <c r="G380" s="298"/>
      <c r="H380" s="298"/>
      <c r="I380" s="282"/>
      <c r="J380" s="298"/>
      <c r="K380" s="566"/>
      <c r="L380" s="282"/>
      <c r="M380" s="282"/>
      <c r="N380" s="298"/>
      <c r="O380" s="282"/>
      <c r="P380" s="282"/>
      <c r="Q380" s="298"/>
      <c r="R380" s="282"/>
      <c r="S380" s="282"/>
      <c r="T380" s="298"/>
      <c r="U380" s="282"/>
      <c r="V380" s="298"/>
      <c r="W380" s="298"/>
      <c r="X380" s="297"/>
      <c r="Y380" s="297"/>
      <c r="Z380" s="297"/>
      <c r="AA380" s="297"/>
      <c r="AB380" s="297"/>
      <c r="AC380" s="297"/>
      <c r="AD380" s="297"/>
      <c r="AE380" s="297"/>
      <c r="AF380" s="297"/>
      <c r="AG380" s="297"/>
      <c r="AH380" s="297"/>
      <c r="AI380" s="297"/>
      <c r="AJ380" s="297"/>
      <c r="AK380" s="297"/>
      <c r="AL380" s="297"/>
      <c r="AM380" s="297"/>
      <c r="AN380" s="297"/>
      <c r="AO380" s="297"/>
      <c r="AP380" s="297"/>
      <c r="AQ380" s="297"/>
      <c r="AR380" s="297"/>
      <c r="AS380" s="297"/>
      <c r="AT380" s="297"/>
      <c r="AU380" s="297"/>
      <c r="AV380" s="297"/>
      <c r="AW380" s="297"/>
      <c r="AX380" s="297"/>
      <c r="AY380" s="297"/>
      <c r="AZ380" s="297"/>
      <c r="BA380" s="297"/>
      <c r="BB380" s="297"/>
    </row>
    <row r="381" spans="1:54" thickBot="1">
      <c r="A381" s="298"/>
      <c r="B381" s="298"/>
      <c r="C381" s="298"/>
      <c r="D381" s="298"/>
      <c r="E381" s="298"/>
      <c r="F381" s="282"/>
      <c r="G381" s="298"/>
      <c r="H381" s="298"/>
      <c r="I381" s="282"/>
      <c r="J381" s="298"/>
      <c r="K381" s="566"/>
      <c r="L381" s="282"/>
      <c r="M381" s="282"/>
      <c r="N381" s="298"/>
      <c r="O381" s="282"/>
      <c r="P381" s="282"/>
      <c r="Q381" s="298"/>
      <c r="R381" s="282"/>
      <c r="S381" s="282"/>
      <c r="T381" s="298"/>
      <c r="U381" s="282"/>
      <c r="V381" s="298"/>
      <c r="W381" s="298"/>
      <c r="X381" s="297"/>
      <c r="Y381" s="297"/>
      <c r="Z381" s="297"/>
      <c r="AA381" s="297"/>
      <c r="AB381" s="297"/>
      <c r="AC381" s="297"/>
      <c r="AD381" s="297"/>
      <c r="AE381" s="297"/>
      <c r="AF381" s="297"/>
      <c r="AG381" s="297"/>
      <c r="AH381" s="297"/>
      <c r="AI381" s="297"/>
      <c r="AJ381" s="297"/>
      <c r="AK381" s="297"/>
      <c r="AL381" s="297"/>
      <c r="AM381" s="297"/>
      <c r="AN381" s="297"/>
      <c r="AO381" s="297"/>
      <c r="AP381" s="297"/>
      <c r="AQ381" s="297"/>
      <c r="AR381" s="297"/>
      <c r="AS381" s="297"/>
      <c r="AT381" s="297"/>
      <c r="AU381" s="297"/>
      <c r="AV381" s="297"/>
      <c r="AW381" s="297"/>
      <c r="AX381" s="297"/>
      <c r="AY381" s="297"/>
      <c r="AZ381" s="297"/>
      <c r="BA381" s="297"/>
      <c r="BB381" s="297"/>
    </row>
    <row r="382" spans="1:54" thickBot="1">
      <c r="A382" s="298"/>
      <c r="B382" s="298"/>
      <c r="C382" s="298"/>
      <c r="D382" s="298"/>
      <c r="E382" s="298"/>
      <c r="F382" s="282"/>
      <c r="G382" s="298"/>
      <c r="H382" s="298"/>
      <c r="I382" s="282"/>
      <c r="J382" s="298"/>
      <c r="K382" s="566"/>
      <c r="L382" s="282"/>
      <c r="M382" s="282"/>
      <c r="N382" s="298"/>
      <c r="O382" s="282"/>
      <c r="P382" s="282"/>
      <c r="Q382" s="298"/>
      <c r="R382" s="282"/>
      <c r="S382" s="282"/>
      <c r="T382" s="298"/>
      <c r="U382" s="282"/>
      <c r="V382" s="298"/>
      <c r="W382" s="298"/>
      <c r="X382" s="297"/>
      <c r="Y382" s="297"/>
      <c r="Z382" s="297"/>
      <c r="AA382" s="297"/>
      <c r="AB382" s="297"/>
      <c r="AC382" s="297"/>
      <c r="AD382" s="297"/>
      <c r="AE382" s="297"/>
      <c r="AF382" s="297"/>
      <c r="AG382" s="297"/>
      <c r="AH382" s="297"/>
      <c r="AI382" s="297"/>
      <c r="AJ382" s="297"/>
      <c r="AK382" s="297"/>
      <c r="AL382" s="297"/>
      <c r="AM382" s="297"/>
      <c r="AN382" s="297"/>
      <c r="AO382" s="297"/>
      <c r="AP382" s="297"/>
      <c r="AQ382" s="297"/>
      <c r="AR382" s="297"/>
      <c r="AS382" s="297"/>
      <c r="AT382" s="297"/>
      <c r="AU382" s="297"/>
      <c r="AV382" s="297"/>
      <c r="AW382" s="297"/>
      <c r="AX382" s="297"/>
      <c r="AY382" s="297"/>
      <c r="AZ382" s="297"/>
      <c r="BA382" s="297"/>
      <c r="BB382" s="297"/>
    </row>
    <row r="383" spans="1:54" thickBot="1">
      <c r="A383" s="298"/>
      <c r="B383" s="298"/>
      <c r="C383" s="298"/>
      <c r="D383" s="298"/>
      <c r="E383" s="298"/>
      <c r="F383" s="282"/>
      <c r="G383" s="298"/>
      <c r="H383" s="298"/>
      <c r="I383" s="282"/>
      <c r="J383" s="298"/>
      <c r="K383" s="566"/>
      <c r="L383" s="282"/>
      <c r="M383" s="282"/>
      <c r="N383" s="298"/>
      <c r="O383" s="282"/>
      <c r="P383" s="282"/>
      <c r="Q383" s="298"/>
      <c r="R383" s="282"/>
      <c r="S383" s="282"/>
      <c r="T383" s="298"/>
      <c r="U383" s="282"/>
      <c r="V383" s="298"/>
      <c r="W383" s="298"/>
      <c r="X383" s="297"/>
      <c r="Y383" s="297"/>
      <c r="Z383" s="297"/>
      <c r="AA383" s="297"/>
      <c r="AB383" s="297"/>
      <c r="AC383" s="297"/>
      <c r="AD383" s="297"/>
      <c r="AE383" s="297"/>
      <c r="AF383" s="297"/>
      <c r="AG383" s="297"/>
      <c r="AH383" s="297"/>
      <c r="AI383" s="297"/>
      <c r="AJ383" s="297"/>
      <c r="AK383" s="297"/>
      <c r="AL383" s="297"/>
      <c r="AM383" s="297"/>
      <c r="AN383" s="297"/>
      <c r="AO383" s="297"/>
      <c r="AP383" s="297"/>
      <c r="AQ383" s="297"/>
      <c r="AR383" s="297"/>
      <c r="AS383" s="297"/>
      <c r="AT383" s="297"/>
      <c r="AU383" s="297"/>
      <c r="AV383" s="297"/>
      <c r="AW383" s="297"/>
      <c r="AX383" s="297"/>
      <c r="AY383" s="297"/>
      <c r="AZ383" s="297"/>
      <c r="BA383" s="297"/>
      <c r="BB383" s="297"/>
    </row>
    <row r="384" spans="1:54" thickBot="1">
      <c r="A384" s="298"/>
      <c r="B384" s="298"/>
      <c r="C384" s="298"/>
      <c r="D384" s="298"/>
      <c r="E384" s="298"/>
      <c r="F384" s="282"/>
      <c r="G384" s="298"/>
      <c r="H384" s="298"/>
      <c r="I384" s="282"/>
      <c r="J384" s="298"/>
      <c r="K384" s="566"/>
      <c r="L384" s="282"/>
      <c r="M384" s="282"/>
      <c r="N384" s="298"/>
      <c r="O384" s="282"/>
      <c r="P384" s="282"/>
      <c r="Q384" s="298"/>
      <c r="R384" s="282"/>
      <c r="S384" s="282"/>
      <c r="T384" s="298"/>
      <c r="U384" s="282"/>
      <c r="V384" s="298"/>
      <c r="W384" s="298"/>
      <c r="X384" s="297"/>
      <c r="Y384" s="297"/>
      <c r="Z384" s="297"/>
      <c r="AA384" s="297"/>
      <c r="AB384" s="297"/>
      <c r="AC384" s="297"/>
      <c r="AD384" s="297"/>
      <c r="AE384" s="297"/>
      <c r="AF384" s="297"/>
      <c r="AG384" s="297"/>
      <c r="AH384" s="297"/>
      <c r="AI384" s="297"/>
      <c r="AJ384" s="297"/>
      <c r="AK384" s="297"/>
      <c r="AL384" s="297"/>
      <c r="AM384" s="297"/>
      <c r="AN384" s="297"/>
      <c r="AO384" s="297"/>
      <c r="AP384" s="297"/>
      <c r="AQ384" s="297"/>
      <c r="AR384" s="297"/>
      <c r="AS384" s="297"/>
      <c r="AT384" s="297"/>
      <c r="AU384" s="297"/>
      <c r="AV384" s="297"/>
      <c r="AW384" s="297"/>
      <c r="AX384" s="297"/>
      <c r="AY384" s="297"/>
      <c r="AZ384" s="297"/>
      <c r="BA384" s="297"/>
      <c r="BB384" s="297"/>
    </row>
    <row r="385" spans="1:54" thickBot="1">
      <c r="A385" s="298"/>
      <c r="B385" s="298"/>
      <c r="C385" s="298"/>
      <c r="D385" s="298"/>
      <c r="E385" s="298"/>
      <c r="F385" s="282"/>
      <c r="G385" s="298"/>
      <c r="H385" s="298"/>
      <c r="I385" s="282"/>
      <c r="J385" s="298"/>
      <c r="K385" s="566"/>
      <c r="L385" s="282"/>
      <c r="M385" s="282"/>
      <c r="N385" s="298"/>
      <c r="O385" s="282"/>
      <c r="P385" s="282"/>
      <c r="Q385" s="298"/>
      <c r="R385" s="282"/>
      <c r="S385" s="282"/>
      <c r="T385" s="298"/>
      <c r="U385" s="282"/>
      <c r="V385" s="298"/>
      <c r="W385" s="298"/>
      <c r="X385" s="297"/>
      <c r="Y385" s="297"/>
      <c r="Z385" s="297"/>
      <c r="AA385" s="297"/>
      <c r="AB385" s="297"/>
      <c r="AC385" s="297"/>
      <c r="AD385" s="297"/>
      <c r="AE385" s="297"/>
      <c r="AF385" s="297"/>
      <c r="AG385" s="297"/>
      <c r="AH385" s="297"/>
      <c r="AI385" s="297"/>
      <c r="AJ385" s="297"/>
      <c r="AK385" s="297"/>
      <c r="AL385" s="297"/>
      <c r="AM385" s="297"/>
      <c r="AN385" s="297"/>
      <c r="AO385" s="297"/>
      <c r="AP385" s="297"/>
      <c r="AQ385" s="297"/>
      <c r="AR385" s="297"/>
      <c r="AS385" s="297"/>
      <c r="AT385" s="297"/>
      <c r="AU385" s="297"/>
      <c r="AV385" s="297"/>
      <c r="AW385" s="297"/>
      <c r="AX385" s="297"/>
      <c r="AY385" s="297"/>
      <c r="AZ385" s="297"/>
      <c r="BA385" s="297"/>
      <c r="BB385" s="297"/>
    </row>
    <row r="386" spans="1:54" thickBot="1">
      <c r="A386" s="298"/>
      <c r="B386" s="298"/>
      <c r="C386" s="298"/>
      <c r="D386" s="298"/>
      <c r="E386" s="298"/>
      <c r="F386" s="282"/>
      <c r="G386" s="298"/>
      <c r="H386" s="298"/>
      <c r="I386" s="282"/>
      <c r="J386" s="298"/>
      <c r="K386" s="566"/>
      <c r="L386" s="282"/>
      <c r="M386" s="282"/>
      <c r="N386" s="298"/>
      <c r="O386" s="282"/>
      <c r="P386" s="282"/>
      <c r="Q386" s="298"/>
      <c r="R386" s="282"/>
      <c r="S386" s="282"/>
      <c r="T386" s="298"/>
      <c r="U386" s="282"/>
      <c r="V386" s="298"/>
      <c r="W386" s="298"/>
      <c r="X386" s="297"/>
      <c r="Y386" s="297"/>
      <c r="Z386" s="297"/>
      <c r="AA386" s="297"/>
      <c r="AB386" s="297"/>
      <c r="AC386" s="297"/>
      <c r="AD386" s="297"/>
      <c r="AE386" s="297"/>
      <c r="AF386" s="297"/>
      <c r="AG386" s="297"/>
      <c r="AH386" s="297"/>
      <c r="AI386" s="297"/>
      <c r="AJ386" s="297"/>
      <c r="AK386" s="297"/>
      <c r="AL386" s="297"/>
      <c r="AM386" s="297"/>
      <c r="AN386" s="297"/>
      <c r="AO386" s="297"/>
      <c r="AP386" s="297"/>
      <c r="AQ386" s="297"/>
      <c r="AR386" s="297"/>
      <c r="AS386" s="297"/>
      <c r="AT386" s="297"/>
      <c r="AU386" s="297"/>
      <c r="AV386" s="297"/>
      <c r="AW386" s="297"/>
      <c r="AX386" s="297"/>
      <c r="AY386" s="297"/>
      <c r="AZ386" s="297"/>
      <c r="BA386" s="297"/>
      <c r="BB386" s="297"/>
    </row>
    <row r="387" spans="1:54" thickBot="1">
      <c r="A387" s="298"/>
      <c r="B387" s="298"/>
      <c r="C387" s="298"/>
      <c r="D387" s="298"/>
      <c r="E387" s="298"/>
      <c r="F387" s="282"/>
      <c r="G387" s="298"/>
      <c r="H387" s="298"/>
      <c r="I387" s="282"/>
      <c r="J387" s="298"/>
      <c r="K387" s="566"/>
      <c r="L387" s="282"/>
      <c r="M387" s="282"/>
      <c r="N387" s="298"/>
      <c r="O387" s="282"/>
      <c r="P387" s="282"/>
      <c r="Q387" s="298"/>
      <c r="R387" s="282"/>
      <c r="S387" s="282"/>
      <c r="T387" s="298"/>
      <c r="U387" s="282"/>
      <c r="V387" s="298"/>
      <c r="W387" s="298"/>
      <c r="X387" s="297"/>
      <c r="Y387" s="297"/>
      <c r="Z387" s="297"/>
      <c r="AA387" s="297"/>
      <c r="AB387" s="297"/>
      <c r="AC387" s="297"/>
      <c r="AD387" s="297"/>
      <c r="AE387" s="297"/>
      <c r="AF387" s="297"/>
      <c r="AG387" s="297"/>
      <c r="AH387" s="297"/>
      <c r="AI387" s="297"/>
      <c r="AJ387" s="297"/>
      <c r="AK387" s="297"/>
      <c r="AL387" s="297"/>
      <c r="AM387" s="297"/>
      <c r="AN387" s="297"/>
      <c r="AO387" s="297"/>
      <c r="AP387" s="297"/>
      <c r="AQ387" s="297"/>
      <c r="AR387" s="297"/>
      <c r="AS387" s="297"/>
      <c r="AT387" s="297"/>
      <c r="AU387" s="297"/>
      <c r="AV387" s="297"/>
      <c r="AW387" s="297"/>
      <c r="AX387" s="297"/>
      <c r="AY387" s="297"/>
      <c r="AZ387" s="297"/>
      <c r="BA387" s="297"/>
      <c r="BB387" s="297"/>
    </row>
    <row r="388" spans="1:54" thickBot="1">
      <c r="A388" s="298"/>
      <c r="B388" s="298"/>
      <c r="C388" s="298"/>
      <c r="D388" s="298"/>
      <c r="E388" s="298"/>
      <c r="F388" s="282"/>
      <c r="G388" s="298"/>
      <c r="H388" s="298"/>
      <c r="I388" s="282"/>
      <c r="J388" s="298"/>
      <c r="K388" s="566"/>
      <c r="L388" s="282"/>
      <c r="M388" s="282"/>
      <c r="N388" s="298"/>
      <c r="O388" s="282"/>
      <c r="P388" s="282"/>
      <c r="Q388" s="298"/>
      <c r="R388" s="282"/>
      <c r="S388" s="282"/>
      <c r="T388" s="298"/>
      <c r="U388" s="282"/>
      <c r="V388" s="298"/>
      <c r="W388" s="298"/>
      <c r="X388" s="297"/>
      <c r="Y388" s="297"/>
      <c r="Z388" s="297"/>
      <c r="AA388" s="297"/>
      <c r="AB388" s="297"/>
      <c r="AC388" s="297"/>
      <c r="AD388" s="297"/>
      <c r="AE388" s="297"/>
      <c r="AF388" s="297"/>
      <c r="AG388" s="297"/>
      <c r="AH388" s="297"/>
      <c r="AI388" s="297"/>
      <c r="AJ388" s="297"/>
      <c r="AK388" s="297"/>
      <c r="AL388" s="297"/>
      <c r="AM388" s="297"/>
      <c r="AN388" s="297"/>
      <c r="AO388" s="297"/>
      <c r="AP388" s="297"/>
      <c r="AQ388" s="297"/>
      <c r="AR388" s="297"/>
      <c r="AS388" s="297"/>
      <c r="AT388" s="297"/>
      <c r="AU388" s="297"/>
      <c r="AV388" s="297"/>
      <c r="AW388" s="297"/>
      <c r="AX388" s="297"/>
      <c r="AY388" s="297"/>
      <c r="AZ388" s="297"/>
      <c r="BA388" s="297"/>
      <c r="BB388" s="297"/>
    </row>
    <row r="389" spans="1:54" thickBot="1">
      <c r="A389" s="298"/>
      <c r="B389" s="298"/>
      <c r="C389" s="298"/>
      <c r="D389" s="298"/>
      <c r="E389" s="298"/>
      <c r="F389" s="282"/>
      <c r="G389" s="298"/>
      <c r="H389" s="298"/>
      <c r="I389" s="282"/>
      <c r="J389" s="298"/>
      <c r="K389" s="566"/>
      <c r="L389" s="282"/>
      <c r="M389" s="282"/>
      <c r="N389" s="298"/>
      <c r="O389" s="282"/>
      <c r="P389" s="282"/>
      <c r="Q389" s="298"/>
      <c r="R389" s="282"/>
      <c r="S389" s="282"/>
      <c r="T389" s="298"/>
      <c r="U389" s="282"/>
      <c r="V389" s="298"/>
      <c r="W389" s="298"/>
      <c r="X389" s="297"/>
      <c r="Y389" s="297"/>
      <c r="Z389" s="297"/>
      <c r="AA389" s="297"/>
      <c r="AB389" s="297"/>
      <c r="AC389" s="297"/>
      <c r="AD389" s="297"/>
      <c r="AE389" s="297"/>
      <c r="AF389" s="297"/>
      <c r="AG389" s="297"/>
      <c r="AH389" s="297"/>
      <c r="AI389" s="297"/>
      <c r="AJ389" s="297"/>
      <c r="AK389" s="297"/>
      <c r="AL389" s="297"/>
      <c r="AM389" s="297"/>
      <c r="AN389" s="297"/>
      <c r="AO389" s="297"/>
      <c r="AP389" s="297"/>
      <c r="AQ389" s="297"/>
      <c r="AR389" s="297"/>
      <c r="AS389" s="297"/>
      <c r="AT389" s="297"/>
      <c r="AU389" s="297"/>
      <c r="AV389" s="297"/>
      <c r="AW389" s="297"/>
      <c r="AX389" s="297"/>
      <c r="AY389" s="297"/>
      <c r="AZ389" s="297"/>
      <c r="BA389" s="297"/>
      <c r="BB389" s="297"/>
    </row>
    <row r="390" spans="1:54" thickBot="1">
      <c r="A390" s="298"/>
      <c r="B390" s="298"/>
      <c r="C390" s="298"/>
      <c r="D390" s="298"/>
      <c r="E390" s="298"/>
      <c r="F390" s="282"/>
      <c r="G390" s="298"/>
      <c r="H390" s="298"/>
      <c r="I390" s="282"/>
      <c r="J390" s="298"/>
      <c r="K390" s="566"/>
      <c r="L390" s="282"/>
      <c r="M390" s="282"/>
      <c r="N390" s="298"/>
      <c r="O390" s="282"/>
      <c r="P390" s="282"/>
      <c r="Q390" s="298"/>
      <c r="R390" s="282"/>
      <c r="S390" s="282"/>
      <c r="T390" s="298"/>
      <c r="U390" s="282"/>
      <c r="V390" s="298"/>
      <c r="W390" s="298"/>
      <c r="X390" s="297"/>
      <c r="Y390" s="297"/>
      <c r="Z390" s="297"/>
      <c r="AA390" s="297"/>
      <c r="AB390" s="297"/>
      <c r="AC390" s="297"/>
      <c r="AD390" s="297"/>
      <c r="AE390" s="297"/>
      <c r="AF390" s="297"/>
      <c r="AG390" s="297"/>
      <c r="AH390" s="297"/>
      <c r="AI390" s="297"/>
      <c r="AJ390" s="297"/>
      <c r="AK390" s="297"/>
      <c r="AL390" s="297"/>
      <c r="AM390" s="297"/>
      <c r="AN390" s="297"/>
      <c r="AO390" s="297"/>
      <c r="AP390" s="297"/>
      <c r="AQ390" s="297"/>
      <c r="AR390" s="297"/>
      <c r="AS390" s="297"/>
      <c r="AT390" s="297"/>
      <c r="AU390" s="297"/>
      <c r="AV390" s="297"/>
      <c r="AW390" s="297"/>
      <c r="AX390" s="297"/>
      <c r="AY390" s="297"/>
      <c r="AZ390" s="297"/>
      <c r="BA390" s="297"/>
      <c r="BB390" s="297"/>
    </row>
    <row r="391" spans="1:54" thickBot="1">
      <c r="A391" s="298"/>
      <c r="B391" s="298"/>
      <c r="C391" s="298"/>
      <c r="D391" s="298"/>
      <c r="E391" s="298"/>
      <c r="F391" s="282"/>
      <c r="G391" s="298"/>
      <c r="H391" s="298"/>
      <c r="I391" s="282"/>
      <c r="J391" s="298"/>
      <c r="K391" s="566"/>
      <c r="L391" s="282"/>
      <c r="M391" s="282"/>
      <c r="N391" s="298"/>
      <c r="O391" s="282"/>
      <c r="P391" s="282"/>
      <c r="Q391" s="298"/>
      <c r="R391" s="282"/>
      <c r="S391" s="282"/>
      <c r="T391" s="298"/>
      <c r="U391" s="282"/>
      <c r="V391" s="298"/>
      <c r="W391" s="298"/>
      <c r="X391" s="297"/>
      <c r="Y391" s="297"/>
      <c r="Z391" s="297"/>
      <c r="AA391" s="297"/>
      <c r="AB391" s="297"/>
      <c r="AC391" s="297"/>
      <c r="AD391" s="297"/>
      <c r="AE391" s="297"/>
      <c r="AF391" s="297"/>
      <c r="AG391" s="297"/>
      <c r="AH391" s="297"/>
      <c r="AI391" s="297"/>
      <c r="AJ391" s="297"/>
      <c r="AK391" s="297"/>
      <c r="AL391" s="297"/>
      <c r="AM391" s="297"/>
      <c r="AN391" s="297"/>
      <c r="AO391" s="297"/>
      <c r="AP391" s="297"/>
      <c r="AQ391" s="297"/>
      <c r="AR391" s="297"/>
      <c r="AS391" s="297"/>
      <c r="AT391" s="297"/>
      <c r="AU391" s="297"/>
      <c r="AV391" s="297"/>
      <c r="AW391" s="297"/>
      <c r="AX391" s="297"/>
      <c r="AY391" s="297"/>
      <c r="AZ391" s="297"/>
      <c r="BA391" s="297"/>
      <c r="BB391" s="297"/>
    </row>
    <row r="392" spans="1:54" thickBot="1">
      <c r="A392" s="298"/>
      <c r="B392" s="298"/>
      <c r="C392" s="298"/>
      <c r="D392" s="298"/>
      <c r="E392" s="298"/>
      <c r="F392" s="282"/>
      <c r="G392" s="298"/>
      <c r="H392" s="298"/>
      <c r="I392" s="282"/>
      <c r="J392" s="298"/>
      <c r="K392" s="566"/>
      <c r="L392" s="282"/>
      <c r="M392" s="282"/>
      <c r="N392" s="298"/>
      <c r="O392" s="282"/>
      <c r="P392" s="282"/>
      <c r="Q392" s="298"/>
      <c r="R392" s="282"/>
      <c r="S392" s="282"/>
      <c r="T392" s="298"/>
      <c r="U392" s="282"/>
      <c r="V392" s="298"/>
      <c r="W392" s="298"/>
      <c r="X392" s="297"/>
      <c r="Y392" s="297"/>
      <c r="Z392" s="297"/>
      <c r="AA392" s="297"/>
      <c r="AB392" s="297"/>
      <c r="AC392" s="297"/>
      <c r="AD392" s="297"/>
      <c r="AE392" s="297"/>
      <c r="AF392" s="297"/>
      <c r="AG392" s="297"/>
      <c r="AH392" s="297"/>
      <c r="AI392" s="297"/>
      <c r="AJ392" s="297"/>
      <c r="AK392" s="297"/>
      <c r="AL392" s="297"/>
      <c r="AM392" s="297"/>
      <c r="AN392" s="297"/>
      <c r="AO392" s="297"/>
      <c r="AP392" s="297"/>
      <c r="AQ392" s="297"/>
      <c r="AR392" s="297"/>
      <c r="AS392" s="297"/>
      <c r="AT392" s="297"/>
      <c r="AU392" s="297"/>
      <c r="AV392" s="297"/>
      <c r="AW392" s="297"/>
      <c r="AX392" s="297"/>
      <c r="AY392" s="297"/>
      <c r="AZ392" s="297"/>
      <c r="BA392" s="297"/>
      <c r="BB392" s="297"/>
    </row>
    <row r="393" spans="1:54" thickBot="1">
      <c r="A393" s="298"/>
      <c r="B393" s="298"/>
      <c r="C393" s="298"/>
      <c r="D393" s="298"/>
      <c r="E393" s="298"/>
      <c r="F393" s="282"/>
      <c r="G393" s="298"/>
      <c r="H393" s="298"/>
      <c r="I393" s="282"/>
      <c r="J393" s="298"/>
      <c r="K393" s="566"/>
      <c r="L393" s="282"/>
      <c r="M393" s="282"/>
      <c r="N393" s="298"/>
      <c r="O393" s="282"/>
      <c r="P393" s="282"/>
      <c r="Q393" s="298"/>
      <c r="R393" s="282"/>
      <c r="S393" s="282"/>
      <c r="T393" s="298"/>
      <c r="U393" s="282"/>
      <c r="V393" s="298"/>
      <c r="W393" s="298"/>
      <c r="X393" s="297"/>
      <c r="Y393" s="297"/>
      <c r="Z393" s="297"/>
      <c r="AA393" s="297"/>
      <c r="AB393" s="297"/>
      <c r="AC393" s="297"/>
      <c r="AD393" s="297"/>
      <c r="AE393" s="297"/>
      <c r="AF393" s="297"/>
      <c r="AG393" s="297"/>
      <c r="AH393" s="297"/>
      <c r="AI393" s="297"/>
      <c r="AJ393" s="297"/>
      <c r="AK393" s="297"/>
      <c r="AL393" s="297"/>
      <c r="AM393" s="297"/>
      <c r="AN393" s="297"/>
      <c r="AO393" s="297"/>
      <c r="AP393" s="297"/>
      <c r="AQ393" s="297"/>
      <c r="AR393" s="297"/>
      <c r="AS393" s="297"/>
      <c r="AT393" s="297"/>
      <c r="AU393" s="297"/>
      <c r="AV393" s="297"/>
      <c r="AW393" s="297"/>
      <c r="AX393" s="297"/>
      <c r="AY393" s="297"/>
      <c r="AZ393" s="297"/>
      <c r="BA393" s="297"/>
      <c r="BB393" s="297"/>
    </row>
    <row r="394" spans="1:54" thickBot="1">
      <c r="A394" s="298"/>
      <c r="B394" s="298"/>
      <c r="C394" s="298"/>
      <c r="D394" s="298"/>
      <c r="E394" s="298"/>
      <c r="F394" s="282"/>
      <c r="G394" s="298"/>
      <c r="H394" s="298"/>
      <c r="I394" s="282"/>
      <c r="J394" s="298"/>
      <c r="K394" s="566"/>
      <c r="L394" s="282"/>
      <c r="M394" s="282"/>
      <c r="N394" s="298"/>
      <c r="O394" s="282"/>
      <c r="P394" s="282"/>
      <c r="Q394" s="298"/>
      <c r="R394" s="282"/>
      <c r="S394" s="282"/>
      <c r="T394" s="298"/>
      <c r="U394" s="282"/>
      <c r="V394" s="298"/>
      <c r="W394" s="298"/>
      <c r="X394" s="297"/>
      <c r="Y394" s="297"/>
      <c r="Z394" s="297"/>
      <c r="AA394" s="297"/>
      <c r="AB394" s="297"/>
      <c r="AC394" s="297"/>
      <c r="AD394" s="297"/>
      <c r="AE394" s="297"/>
      <c r="AF394" s="297"/>
      <c r="AG394" s="297"/>
      <c r="AH394" s="297"/>
      <c r="AI394" s="297"/>
      <c r="AJ394" s="297"/>
      <c r="AK394" s="297"/>
      <c r="AL394" s="297"/>
      <c r="AM394" s="297"/>
      <c r="AN394" s="297"/>
      <c r="AO394" s="297"/>
      <c r="AP394" s="297"/>
      <c r="AQ394" s="297"/>
      <c r="AR394" s="297"/>
      <c r="AS394" s="297"/>
      <c r="AT394" s="297"/>
      <c r="AU394" s="297"/>
      <c r="AV394" s="297"/>
      <c r="AW394" s="297"/>
      <c r="AX394" s="297"/>
      <c r="AY394" s="297"/>
      <c r="AZ394" s="297"/>
      <c r="BA394" s="297"/>
      <c r="BB394" s="297"/>
    </row>
    <row r="395" spans="1:54" thickBot="1">
      <c r="A395" s="298"/>
      <c r="B395" s="298"/>
      <c r="C395" s="298"/>
      <c r="D395" s="298"/>
      <c r="E395" s="298"/>
      <c r="F395" s="282"/>
      <c r="G395" s="298"/>
      <c r="H395" s="298"/>
      <c r="I395" s="282"/>
      <c r="J395" s="298"/>
      <c r="K395" s="566"/>
      <c r="L395" s="282"/>
      <c r="M395" s="282"/>
      <c r="N395" s="298"/>
      <c r="O395" s="282"/>
      <c r="P395" s="282"/>
      <c r="Q395" s="298"/>
      <c r="R395" s="282"/>
      <c r="S395" s="282"/>
      <c r="T395" s="298"/>
      <c r="U395" s="282"/>
      <c r="V395" s="298"/>
      <c r="W395" s="298"/>
      <c r="X395" s="297"/>
      <c r="Y395" s="297"/>
      <c r="Z395" s="297"/>
      <c r="AA395" s="297"/>
      <c r="AB395" s="297"/>
      <c r="AC395" s="297"/>
      <c r="AD395" s="297"/>
      <c r="AE395" s="297"/>
      <c r="AF395" s="297"/>
      <c r="AG395" s="297"/>
      <c r="AH395" s="297"/>
      <c r="AI395" s="297"/>
      <c r="AJ395" s="297"/>
      <c r="AK395" s="297"/>
      <c r="AL395" s="297"/>
      <c r="AM395" s="297"/>
      <c r="AN395" s="297"/>
      <c r="AO395" s="297"/>
      <c r="AP395" s="297"/>
      <c r="AQ395" s="297"/>
      <c r="AR395" s="297"/>
      <c r="AS395" s="297"/>
      <c r="AT395" s="297"/>
      <c r="AU395" s="297"/>
      <c r="AV395" s="297"/>
      <c r="AW395" s="297"/>
      <c r="AX395" s="297"/>
      <c r="AY395" s="297"/>
      <c r="AZ395" s="297"/>
      <c r="BA395" s="297"/>
      <c r="BB395" s="297"/>
    </row>
    <row r="396" spans="1:54" thickBot="1">
      <c r="A396" s="298"/>
      <c r="B396" s="298"/>
      <c r="C396" s="298"/>
      <c r="D396" s="298"/>
      <c r="E396" s="298"/>
      <c r="F396" s="282"/>
      <c r="G396" s="298"/>
      <c r="H396" s="298"/>
      <c r="I396" s="282"/>
      <c r="J396" s="298"/>
      <c r="K396" s="566"/>
      <c r="L396" s="282"/>
      <c r="M396" s="282"/>
      <c r="N396" s="298"/>
      <c r="O396" s="282"/>
      <c r="P396" s="282"/>
      <c r="Q396" s="298"/>
      <c r="R396" s="282"/>
      <c r="S396" s="282"/>
      <c r="T396" s="298"/>
      <c r="U396" s="282"/>
      <c r="V396" s="298"/>
      <c r="W396" s="298"/>
      <c r="X396" s="297"/>
      <c r="Y396" s="297"/>
      <c r="Z396" s="297"/>
      <c r="AA396" s="297"/>
      <c r="AB396" s="297"/>
      <c r="AC396" s="297"/>
      <c r="AD396" s="297"/>
      <c r="AE396" s="297"/>
      <c r="AF396" s="297"/>
      <c r="AG396" s="297"/>
      <c r="AH396" s="297"/>
      <c r="AI396" s="297"/>
      <c r="AJ396" s="297"/>
      <c r="AK396" s="297"/>
      <c r="AL396" s="297"/>
      <c r="AM396" s="297"/>
      <c r="AN396" s="297"/>
      <c r="AO396" s="297"/>
      <c r="AP396" s="297"/>
      <c r="AQ396" s="297"/>
      <c r="AR396" s="297"/>
      <c r="AS396" s="297"/>
      <c r="AT396" s="297"/>
      <c r="AU396" s="297"/>
      <c r="AV396" s="297"/>
      <c r="AW396" s="297"/>
      <c r="AX396" s="297"/>
      <c r="AY396" s="297"/>
      <c r="AZ396" s="297"/>
      <c r="BA396" s="297"/>
      <c r="BB396" s="297"/>
    </row>
    <row r="397" spans="1:54" thickBot="1">
      <c r="A397" s="298"/>
      <c r="B397" s="298"/>
      <c r="C397" s="298"/>
      <c r="D397" s="298"/>
      <c r="E397" s="298"/>
      <c r="F397" s="282"/>
      <c r="G397" s="298"/>
      <c r="H397" s="298"/>
      <c r="I397" s="282"/>
      <c r="J397" s="298"/>
      <c r="K397" s="566"/>
      <c r="L397" s="282"/>
      <c r="M397" s="282"/>
      <c r="N397" s="298"/>
      <c r="O397" s="282"/>
      <c r="P397" s="282"/>
      <c r="Q397" s="298"/>
      <c r="R397" s="282"/>
      <c r="S397" s="282"/>
      <c r="T397" s="298"/>
      <c r="U397" s="282"/>
      <c r="V397" s="298"/>
      <c r="W397" s="298"/>
      <c r="X397" s="297"/>
      <c r="Y397" s="297"/>
      <c r="Z397" s="297"/>
      <c r="AA397" s="297"/>
      <c r="AB397" s="297"/>
      <c r="AC397" s="297"/>
      <c r="AD397" s="297"/>
      <c r="AE397" s="297"/>
      <c r="AF397" s="297"/>
      <c r="AG397" s="297"/>
      <c r="AH397" s="297"/>
      <c r="AI397" s="297"/>
      <c r="AJ397" s="297"/>
      <c r="AK397" s="297"/>
      <c r="AL397" s="297"/>
      <c r="AM397" s="297"/>
      <c r="AN397" s="297"/>
      <c r="AO397" s="297"/>
      <c r="AP397" s="297"/>
      <c r="AQ397" s="297"/>
      <c r="AR397" s="297"/>
      <c r="AS397" s="297"/>
      <c r="AT397" s="297"/>
      <c r="AU397" s="297"/>
      <c r="AV397" s="297"/>
      <c r="AW397" s="297"/>
      <c r="AX397" s="297"/>
      <c r="AY397" s="297"/>
      <c r="AZ397" s="297"/>
      <c r="BA397" s="297"/>
      <c r="BB397" s="297"/>
    </row>
    <row r="398" spans="1:54" thickBot="1">
      <c r="A398" s="298"/>
      <c r="B398" s="298"/>
      <c r="C398" s="298"/>
      <c r="D398" s="298"/>
      <c r="E398" s="298"/>
      <c r="F398" s="282"/>
      <c r="G398" s="298"/>
      <c r="H398" s="298"/>
      <c r="I398" s="282"/>
      <c r="J398" s="298"/>
      <c r="K398" s="566"/>
      <c r="L398" s="282"/>
      <c r="M398" s="282"/>
      <c r="N398" s="298"/>
      <c r="O398" s="282"/>
      <c r="P398" s="282"/>
      <c r="Q398" s="298"/>
      <c r="R398" s="282"/>
      <c r="S398" s="282"/>
      <c r="T398" s="298"/>
      <c r="U398" s="282"/>
      <c r="V398" s="298"/>
      <c r="W398" s="298"/>
      <c r="X398" s="297"/>
      <c r="Y398" s="297"/>
      <c r="Z398" s="297"/>
      <c r="AA398" s="297"/>
      <c r="AB398" s="297"/>
      <c r="AC398" s="297"/>
      <c r="AD398" s="297"/>
      <c r="AE398" s="297"/>
      <c r="AF398" s="297"/>
      <c r="AG398" s="297"/>
      <c r="AH398" s="297"/>
      <c r="AI398" s="297"/>
      <c r="AJ398" s="297"/>
      <c r="AK398" s="297"/>
      <c r="AL398" s="297"/>
      <c r="AM398" s="297"/>
      <c r="AN398" s="297"/>
      <c r="AO398" s="297"/>
      <c r="AP398" s="297"/>
      <c r="AQ398" s="297"/>
      <c r="AR398" s="297"/>
      <c r="AS398" s="297"/>
      <c r="AT398" s="297"/>
      <c r="AU398" s="297"/>
      <c r="AV398" s="297"/>
      <c r="AW398" s="297"/>
      <c r="AX398" s="297"/>
      <c r="AY398" s="297"/>
      <c r="AZ398" s="297"/>
      <c r="BA398" s="297"/>
      <c r="BB398" s="297"/>
    </row>
    <row r="399" spans="1:54" thickBot="1">
      <c r="A399" s="298"/>
      <c r="B399" s="298"/>
      <c r="C399" s="298"/>
      <c r="D399" s="298"/>
      <c r="E399" s="298"/>
      <c r="F399" s="282"/>
      <c r="G399" s="298"/>
      <c r="H399" s="298"/>
      <c r="I399" s="282"/>
      <c r="J399" s="298"/>
      <c r="K399" s="566"/>
      <c r="L399" s="282"/>
      <c r="M399" s="282"/>
      <c r="N399" s="298"/>
      <c r="O399" s="282"/>
      <c r="P399" s="282"/>
      <c r="Q399" s="298"/>
      <c r="R399" s="282"/>
      <c r="S399" s="282"/>
      <c r="T399" s="298"/>
      <c r="U399" s="282"/>
      <c r="V399" s="298"/>
      <c r="W399" s="298"/>
      <c r="X399" s="297"/>
      <c r="Y399" s="297"/>
      <c r="Z399" s="297"/>
      <c r="AA399" s="297"/>
      <c r="AB399" s="297"/>
      <c r="AC399" s="297"/>
      <c r="AD399" s="297"/>
      <c r="AE399" s="297"/>
      <c r="AF399" s="297"/>
      <c r="AG399" s="297"/>
      <c r="AH399" s="297"/>
      <c r="AI399" s="297"/>
      <c r="AJ399" s="297"/>
      <c r="AK399" s="297"/>
      <c r="AL399" s="297"/>
      <c r="AM399" s="297"/>
      <c r="AN399" s="297"/>
      <c r="AO399" s="297"/>
      <c r="AP399" s="297"/>
      <c r="AQ399" s="297"/>
      <c r="AR399" s="297"/>
      <c r="AS399" s="297"/>
      <c r="AT399" s="297"/>
      <c r="AU399" s="297"/>
      <c r="AV399" s="297"/>
      <c r="AW399" s="297"/>
      <c r="AX399" s="297"/>
      <c r="AY399" s="297"/>
      <c r="AZ399" s="297"/>
      <c r="BA399" s="297"/>
      <c r="BB399" s="297"/>
    </row>
    <row r="400" spans="1:54" thickBot="1">
      <c r="A400" s="298"/>
      <c r="B400" s="298"/>
      <c r="C400" s="298"/>
      <c r="D400" s="298"/>
      <c r="E400" s="298"/>
      <c r="F400" s="282"/>
      <c r="G400" s="298"/>
      <c r="H400" s="298"/>
      <c r="I400" s="282"/>
      <c r="J400" s="298"/>
      <c r="K400" s="566"/>
      <c r="L400" s="282"/>
      <c r="M400" s="282"/>
      <c r="N400" s="298"/>
      <c r="O400" s="282"/>
      <c r="P400" s="282"/>
      <c r="Q400" s="298"/>
      <c r="R400" s="282"/>
      <c r="S400" s="282"/>
      <c r="T400" s="298"/>
      <c r="U400" s="282"/>
      <c r="V400" s="298"/>
      <c r="W400" s="298"/>
      <c r="X400" s="297"/>
      <c r="Y400" s="297"/>
      <c r="Z400" s="297"/>
      <c r="AA400" s="297"/>
      <c r="AB400" s="297"/>
      <c r="AC400" s="297"/>
      <c r="AD400" s="297"/>
      <c r="AE400" s="297"/>
      <c r="AF400" s="297"/>
      <c r="AG400" s="297"/>
      <c r="AH400" s="297"/>
      <c r="AI400" s="297"/>
      <c r="AJ400" s="297"/>
      <c r="AK400" s="297"/>
      <c r="AL400" s="297"/>
      <c r="AM400" s="297"/>
      <c r="AN400" s="297"/>
      <c r="AO400" s="297"/>
      <c r="AP400" s="297"/>
      <c r="AQ400" s="297"/>
      <c r="AR400" s="297"/>
      <c r="AS400" s="297"/>
      <c r="AT400" s="297"/>
      <c r="AU400" s="297"/>
      <c r="AV400" s="297"/>
      <c r="AW400" s="297"/>
      <c r="AX400" s="297"/>
      <c r="AY400" s="297"/>
      <c r="AZ400" s="297"/>
      <c r="BA400" s="297"/>
      <c r="BB400" s="297"/>
    </row>
    <row r="401" spans="1:54" thickBot="1">
      <c r="A401" s="298"/>
      <c r="B401" s="298"/>
      <c r="C401" s="298"/>
      <c r="D401" s="298"/>
      <c r="E401" s="298"/>
      <c r="F401" s="282"/>
      <c r="G401" s="298"/>
      <c r="H401" s="298"/>
      <c r="I401" s="282"/>
      <c r="J401" s="298"/>
      <c r="K401" s="566"/>
      <c r="L401" s="282"/>
      <c r="M401" s="282"/>
      <c r="N401" s="298"/>
      <c r="O401" s="282"/>
      <c r="P401" s="282"/>
      <c r="Q401" s="298"/>
      <c r="R401" s="282"/>
      <c r="S401" s="282"/>
      <c r="T401" s="298"/>
      <c r="U401" s="282"/>
      <c r="V401" s="298"/>
      <c r="W401" s="298"/>
      <c r="X401" s="297"/>
      <c r="Y401" s="297"/>
      <c r="Z401" s="297"/>
      <c r="AA401" s="297"/>
      <c r="AB401" s="297"/>
      <c r="AC401" s="297"/>
      <c r="AD401" s="297"/>
      <c r="AE401" s="297"/>
      <c r="AF401" s="297"/>
      <c r="AG401" s="297"/>
      <c r="AH401" s="297"/>
      <c r="AI401" s="297"/>
      <c r="AJ401" s="297"/>
      <c r="AK401" s="297"/>
      <c r="AL401" s="297"/>
      <c r="AM401" s="297"/>
      <c r="AN401" s="297"/>
      <c r="AO401" s="297"/>
      <c r="AP401" s="297"/>
      <c r="AQ401" s="297"/>
      <c r="AR401" s="297"/>
      <c r="AS401" s="297"/>
      <c r="AT401" s="297"/>
      <c r="AU401" s="297"/>
      <c r="AV401" s="297"/>
      <c r="AW401" s="297"/>
      <c r="AX401" s="297"/>
      <c r="AY401" s="297"/>
      <c r="AZ401" s="297"/>
      <c r="BA401" s="297"/>
      <c r="BB401" s="297"/>
    </row>
    <row r="402" spans="1:54" thickBot="1">
      <c r="A402" s="298"/>
      <c r="B402" s="298"/>
      <c r="C402" s="298"/>
      <c r="D402" s="298"/>
      <c r="E402" s="298"/>
      <c r="F402" s="282"/>
      <c r="G402" s="298"/>
      <c r="H402" s="298"/>
      <c r="I402" s="282"/>
      <c r="J402" s="298"/>
      <c r="K402" s="566"/>
      <c r="L402" s="282"/>
      <c r="M402" s="282"/>
      <c r="N402" s="298"/>
      <c r="O402" s="282"/>
      <c r="P402" s="282"/>
      <c r="Q402" s="298"/>
      <c r="R402" s="282"/>
      <c r="S402" s="282"/>
      <c r="T402" s="298"/>
      <c r="U402" s="282"/>
      <c r="V402" s="298"/>
      <c r="W402" s="298"/>
      <c r="X402" s="297"/>
      <c r="Y402" s="297"/>
      <c r="Z402" s="297"/>
      <c r="AA402" s="297"/>
      <c r="AB402" s="297"/>
      <c r="AC402" s="297"/>
      <c r="AD402" s="297"/>
      <c r="AE402" s="297"/>
      <c r="AF402" s="297"/>
      <c r="AG402" s="297"/>
      <c r="AH402" s="297"/>
      <c r="AI402" s="297"/>
      <c r="AJ402" s="297"/>
      <c r="AK402" s="297"/>
      <c r="AL402" s="297"/>
      <c r="AM402" s="297"/>
      <c r="AN402" s="297"/>
      <c r="AO402" s="297"/>
      <c r="AP402" s="297"/>
      <c r="AQ402" s="297"/>
      <c r="AR402" s="297"/>
      <c r="AS402" s="297"/>
      <c r="AT402" s="297"/>
      <c r="AU402" s="297"/>
      <c r="AV402" s="297"/>
      <c r="AW402" s="297"/>
      <c r="AX402" s="297"/>
      <c r="AY402" s="297"/>
      <c r="AZ402" s="297"/>
      <c r="BA402" s="297"/>
      <c r="BB402" s="297"/>
    </row>
    <row r="403" spans="1:54" thickBot="1">
      <c r="A403" s="298"/>
      <c r="B403" s="298"/>
      <c r="C403" s="298"/>
      <c r="D403" s="298"/>
      <c r="E403" s="298"/>
      <c r="F403" s="282"/>
      <c r="G403" s="298"/>
      <c r="H403" s="298"/>
      <c r="I403" s="282"/>
      <c r="J403" s="298"/>
      <c r="K403" s="566"/>
      <c r="L403" s="282"/>
      <c r="M403" s="282"/>
      <c r="N403" s="298"/>
      <c r="O403" s="282"/>
      <c r="P403" s="282"/>
      <c r="Q403" s="298"/>
      <c r="R403" s="282"/>
      <c r="S403" s="282"/>
      <c r="T403" s="298"/>
      <c r="U403" s="282"/>
      <c r="V403" s="298"/>
      <c r="W403" s="298"/>
      <c r="X403" s="297"/>
      <c r="Y403" s="297"/>
      <c r="Z403" s="297"/>
      <c r="AA403" s="297"/>
      <c r="AB403" s="297"/>
      <c r="AC403" s="297"/>
      <c r="AD403" s="297"/>
      <c r="AE403" s="297"/>
      <c r="AF403" s="297"/>
      <c r="AG403" s="297"/>
      <c r="AH403" s="297"/>
      <c r="AI403" s="297"/>
      <c r="AJ403" s="297"/>
      <c r="AK403" s="297"/>
      <c r="AL403" s="297"/>
      <c r="AM403" s="297"/>
      <c r="AN403" s="297"/>
      <c r="AO403" s="297"/>
      <c r="AP403" s="297"/>
      <c r="AQ403" s="297"/>
      <c r="AR403" s="297"/>
      <c r="AS403" s="297"/>
      <c r="AT403" s="297"/>
      <c r="AU403" s="297"/>
      <c r="AV403" s="297"/>
      <c r="AW403" s="297"/>
      <c r="AX403" s="297"/>
      <c r="AY403" s="297"/>
      <c r="AZ403" s="297"/>
      <c r="BA403" s="297"/>
      <c r="BB403" s="297"/>
    </row>
    <row r="404" spans="1:54" thickBot="1">
      <c r="A404" s="298"/>
      <c r="B404" s="298"/>
      <c r="C404" s="298"/>
      <c r="D404" s="298"/>
      <c r="E404" s="298"/>
      <c r="F404" s="282"/>
      <c r="G404" s="298"/>
      <c r="H404" s="298"/>
      <c r="I404" s="282"/>
      <c r="J404" s="298"/>
      <c r="K404" s="566"/>
      <c r="L404" s="282"/>
      <c r="M404" s="282"/>
      <c r="N404" s="298"/>
      <c r="O404" s="282"/>
      <c r="P404" s="282"/>
      <c r="Q404" s="298"/>
      <c r="R404" s="282"/>
      <c r="S404" s="282"/>
      <c r="T404" s="298"/>
      <c r="U404" s="282"/>
      <c r="V404" s="298"/>
      <c r="W404" s="298"/>
      <c r="X404" s="297"/>
      <c r="Y404" s="297"/>
      <c r="Z404" s="297"/>
      <c r="AA404" s="297"/>
      <c r="AB404" s="297"/>
      <c r="AC404" s="297"/>
      <c r="AD404" s="297"/>
      <c r="AE404" s="297"/>
      <c r="AF404" s="297"/>
      <c r="AG404" s="297"/>
      <c r="AH404" s="297"/>
      <c r="AI404" s="297"/>
      <c r="AJ404" s="297"/>
      <c r="AK404" s="297"/>
      <c r="AL404" s="297"/>
      <c r="AM404" s="297"/>
      <c r="AN404" s="297"/>
      <c r="AO404" s="297"/>
      <c r="AP404" s="297"/>
      <c r="AQ404" s="297"/>
      <c r="AR404" s="297"/>
      <c r="AS404" s="297"/>
      <c r="AT404" s="297"/>
      <c r="AU404" s="297"/>
      <c r="AV404" s="297"/>
      <c r="AW404" s="297"/>
      <c r="AX404" s="297"/>
      <c r="AY404" s="297"/>
      <c r="AZ404" s="297"/>
      <c r="BA404" s="297"/>
      <c r="BB404" s="297"/>
    </row>
    <row r="405" spans="1:54" thickBot="1">
      <c r="A405" s="298"/>
      <c r="B405" s="298"/>
      <c r="C405" s="298"/>
      <c r="D405" s="298"/>
      <c r="E405" s="298"/>
      <c r="F405" s="282"/>
      <c r="G405" s="298"/>
      <c r="H405" s="298"/>
      <c r="I405" s="282"/>
      <c r="J405" s="298"/>
      <c r="K405" s="566"/>
      <c r="L405" s="282"/>
      <c r="M405" s="282"/>
      <c r="N405" s="298"/>
      <c r="O405" s="282"/>
      <c r="P405" s="282"/>
      <c r="Q405" s="298"/>
      <c r="R405" s="282"/>
      <c r="S405" s="282"/>
      <c r="T405" s="298"/>
      <c r="U405" s="282"/>
      <c r="V405" s="298"/>
      <c r="W405" s="298"/>
      <c r="X405" s="297"/>
      <c r="Y405" s="297"/>
      <c r="Z405" s="297"/>
      <c r="AA405" s="297"/>
      <c r="AB405" s="297"/>
      <c r="AC405" s="297"/>
      <c r="AD405" s="297"/>
      <c r="AE405" s="297"/>
      <c r="AF405" s="297"/>
      <c r="AG405" s="297"/>
      <c r="AH405" s="297"/>
      <c r="AI405" s="297"/>
      <c r="AJ405" s="297"/>
      <c r="AK405" s="297"/>
      <c r="AL405" s="297"/>
      <c r="AM405" s="297"/>
      <c r="AN405" s="297"/>
      <c r="AO405" s="297"/>
      <c r="AP405" s="297"/>
      <c r="AQ405" s="297"/>
      <c r="AR405" s="297"/>
      <c r="AS405" s="297"/>
      <c r="AT405" s="297"/>
      <c r="AU405" s="297"/>
      <c r="AV405" s="297"/>
      <c r="AW405" s="297"/>
      <c r="AX405" s="297"/>
      <c r="AY405" s="297"/>
      <c r="AZ405" s="297"/>
      <c r="BA405" s="297"/>
      <c r="BB405" s="297"/>
    </row>
    <row r="406" spans="1:54" thickBot="1">
      <c r="A406" s="298"/>
      <c r="B406" s="298"/>
      <c r="C406" s="298"/>
      <c r="D406" s="298"/>
      <c r="E406" s="298"/>
      <c r="F406" s="282"/>
      <c r="G406" s="298"/>
      <c r="H406" s="298"/>
      <c r="I406" s="282"/>
      <c r="J406" s="298"/>
      <c r="K406" s="566"/>
      <c r="L406" s="282"/>
      <c r="M406" s="282"/>
      <c r="N406" s="298"/>
      <c r="O406" s="282"/>
      <c r="P406" s="282"/>
      <c r="Q406" s="298"/>
      <c r="R406" s="282"/>
      <c r="S406" s="282"/>
      <c r="T406" s="298"/>
      <c r="U406" s="282"/>
      <c r="V406" s="298"/>
      <c r="W406" s="298"/>
      <c r="X406" s="297"/>
      <c r="Y406" s="297"/>
      <c r="Z406" s="297"/>
      <c r="AA406" s="297"/>
      <c r="AB406" s="297"/>
      <c r="AC406" s="297"/>
      <c r="AD406" s="297"/>
      <c r="AE406" s="297"/>
      <c r="AF406" s="297"/>
      <c r="AG406" s="297"/>
      <c r="AH406" s="297"/>
      <c r="AI406" s="297"/>
      <c r="AJ406" s="297"/>
      <c r="AK406" s="297"/>
      <c r="AL406" s="297"/>
      <c r="AM406" s="297"/>
      <c r="AN406" s="297"/>
      <c r="AO406" s="297"/>
      <c r="AP406" s="297"/>
      <c r="AQ406" s="297"/>
      <c r="AR406" s="297"/>
      <c r="AS406" s="297"/>
      <c r="AT406" s="297"/>
      <c r="AU406" s="297"/>
      <c r="AV406" s="297"/>
      <c r="AW406" s="297"/>
      <c r="AX406" s="297"/>
      <c r="AY406" s="297"/>
      <c r="AZ406" s="297"/>
      <c r="BA406" s="297"/>
      <c r="BB406" s="297"/>
    </row>
    <row r="407" spans="1:54" thickBot="1">
      <c r="A407" s="298"/>
      <c r="B407" s="298"/>
      <c r="C407" s="298"/>
      <c r="D407" s="298"/>
      <c r="E407" s="298"/>
      <c r="F407" s="282"/>
      <c r="G407" s="298"/>
      <c r="H407" s="298"/>
      <c r="I407" s="282"/>
      <c r="J407" s="298"/>
      <c r="K407" s="566"/>
      <c r="L407" s="282"/>
      <c r="M407" s="282"/>
      <c r="N407" s="298"/>
      <c r="O407" s="282"/>
      <c r="P407" s="282"/>
      <c r="Q407" s="298"/>
      <c r="R407" s="282"/>
      <c r="S407" s="282"/>
      <c r="T407" s="298"/>
      <c r="U407" s="282"/>
      <c r="V407" s="298"/>
      <c r="W407" s="298"/>
      <c r="X407" s="297"/>
      <c r="Y407" s="297"/>
      <c r="Z407" s="297"/>
      <c r="AA407" s="297"/>
      <c r="AB407" s="297"/>
      <c r="AC407" s="297"/>
      <c r="AD407" s="297"/>
      <c r="AE407" s="297"/>
      <c r="AF407" s="297"/>
      <c r="AG407" s="297"/>
      <c r="AH407" s="297"/>
      <c r="AI407" s="297"/>
      <c r="AJ407" s="297"/>
      <c r="AK407" s="297"/>
      <c r="AL407" s="297"/>
      <c r="AM407" s="297"/>
      <c r="AN407" s="297"/>
      <c r="AO407" s="297"/>
      <c r="AP407" s="297"/>
      <c r="AQ407" s="297"/>
      <c r="AR407" s="297"/>
      <c r="AS407" s="297"/>
      <c r="AT407" s="297"/>
      <c r="AU407" s="297"/>
      <c r="AV407" s="297"/>
      <c r="AW407" s="297"/>
      <c r="AX407" s="297"/>
      <c r="AY407" s="297"/>
      <c r="AZ407" s="297"/>
      <c r="BA407" s="297"/>
      <c r="BB407" s="297"/>
    </row>
    <row r="408" spans="1:54" thickBot="1">
      <c r="A408" s="298"/>
      <c r="B408" s="298"/>
      <c r="C408" s="298"/>
      <c r="D408" s="298"/>
      <c r="E408" s="298"/>
      <c r="F408" s="282"/>
      <c r="G408" s="298"/>
      <c r="H408" s="298"/>
      <c r="I408" s="282"/>
      <c r="J408" s="298"/>
      <c r="K408" s="566"/>
      <c r="L408" s="282"/>
      <c r="M408" s="282"/>
      <c r="N408" s="298"/>
      <c r="O408" s="282"/>
      <c r="P408" s="282"/>
      <c r="Q408" s="298"/>
      <c r="R408" s="282"/>
      <c r="S408" s="282"/>
      <c r="T408" s="298"/>
      <c r="U408" s="282"/>
      <c r="V408" s="298"/>
      <c r="W408" s="298"/>
      <c r="X408" s="297"/>
      <c r="Y408" s="297"/>
      <c r="Z408" s="297"/>
      <c r="AA408" s="297"/>
      <c r="AB408" s="297"/>
      <c r="AC408" s="297"/>
      <c r="AD408" s="297"/>
      <c r="AE408" s="297"/>
      <c r="AF408" s="297"/>
      <c r="AG408" s="297"/>
      <c r="AH408" s="297"/>
      <c r="AI408" s="297"/>
      <c r="AJ408" s="297"/>
      <c r="AK408" s="297"/>
      <c r="AL408" s="297"/>
      <c r="AM408" s="297"/>
      <c r="AN408" s="297"/>
      <c r="AO408" s="297"/>
      <c r="AP408" s="297"/>
      <c r="AQ408" s="297"/>
      <c r="AR408" s="297"/>
      <c r="AS408" s="297"/>
      <c r="AT408" s="297"/>
      <c r="AU408" s="297"/>
      <c r="AV408" s="297"/>
      <c r="AW408" s="297"/>
      <c r="AX408" s="297"/>
      <c r="AY408" s="297"/>
      <c r="AZ408" s="297"/>
      <c r="BA408" s="297"/>
      <c r="BB408" s="297"/>
    </row>
    <row r="409" spans="1:54" thickBot="1">
      <c r="A409" s="298"/>
      <c r="B409" s="298"/>
      <c r="C409" s="298"/>
      <c r="D409" s="298"/>
      <c r="E409" s="298"/>
      <c r="F409" s="282"/>
      <c r="G409" s="298"/>
      <c r="H409" s="298"/>
      <c r="I409" s="282"/>
      <c r="J409" s="298"/>
      <c r="K409" s="566"/>
      <c r="L409" s="282"/>
      <c r="M409" s="282"/>
      <c r="N409" s="298"/>
      <c r="O409" s="282"/>
      <c r="P409" s="282"/>
      <c r="Q409" s="298"/>
      <c r="R409" s="282"/>
      <c r="S409" s="282"/>
      <c r="T409" s="298"/>
      <c r="U409" s="282"/>
      <c r="V409" s="298"/>
      <c r="W409" s="298"/>
      <c r="X409" s="297"/>
      <c r="Y409" s="297"/>
      <c r="Z409" s="297"/>
      <c r="AA409" s="297"/>
      <c r="AB409" s="297"/>
      <c r="AC409" s="297"/>
      <c r="AD409" s="297"/>
      <c r="AE409" s="297"/>
      <c r="AF409" s="297"/>
      <c r="AG409" s="297"/>
      <c r="AH409" s="297"/>
      <c r="AI409" s="297"/>
      <c r="AJ409" s="297"/>
      <c r="AK409" s="297"/>
      <c r="AL409" s="297"/>
      <c r="AM409" s="297"/>
      <c r="AN409" s="297"/>
      <c r="AO409" s="297"/>
      <c r="AP409" s="297"/>
      <c r="AQ409" s="297"/>
      <c r="AR409" s="297"/>
      <c r="AS409" s="297"/>
      <c r="AT409" s="297"/>
      <c r="AU409" s="297"/>
      <c r="AV409" s="297"/>
      <c r="AW409" s="297"/>
      <c r="AX409" s="297"/>
      <c r="AY409" s="297"/>
      <c r="AZ409" s="297"/>
      <c r="BA409" s="297"/>
      <c r="BB409" s="297"/>
    </row>
    <row r="410" spans="1:54" thickBot="1">
      <c r="A410" s="298"/>
      <c r="B410" s="298"/>
      <c r="C410" s="298"/>
      <c r="D410" s="298"/>
      <c r="E410" s="298"/>
      <c r="F410" s="282"/>
      <c r="G410" s="298"/>
      <c r="H410" s="298"/>
      <c r="I410" s="282"/>
      <c r="J410" s="298"/>
      <c r="K410" s="566"/>
      <c r="L410" s="282"/>
      <c r="M410" s="282"/>
      <c r="N410" s="298"/>
      <c r="O410" s="282"/>
      <c r="P410" s="282"/>
      <c r="Q410" s="298"/>
      <c r="R410" s="282"/>
      <c r="S410" s="282"/>
      <c r="T410" s="298"/>
      <c r="U410" s="282"/>
      <c r="V410" s="298"/>
      <c r="W410" s="298"/>
      <c r="X410" s="297"/>
      <c r="Y410" s="297"/>
      <c r="Z410" s="297"/>
      <c r="AA410" s="297"/>
      <c r="AB410" s="297"/>
      <c r="AC410" s="297"/>
      <c r="AD410" s="297"/>
      <c r="AE410" s="297"/>
      <c r="AF410" s="297"/>
      <c r="AG410" s="297"/>
      <c r="AH410" s="297"/>
      <c r="AI410" s="297"/>
      <c r="AJ410" s="297"/>
      <c r="AK410" s="297"/>
      <c r="AL410" s="297"/>
      <c r="AM410" s="297"/>
      <c r="AN410" s="297"/>
      <c r="AO410" s="297"/>
      <c r="AP410" s="297"/>
      <c r="AQ410" s="297"/>
      <c r="AR410" s="297"/>
      <c r="AS410" s="297"/>
      <c r="AT410" s="297"/>
      <c r="AU410" s="297"/>
      <c r="AV410" s="297"/>
      <c r="AW410" s="297"/>
      <c r="AX410" s="297"/>
      <c r="AY410" s="297"/>
      <c r="AZ410" s="297"/>
      <c r="BA410" s="297"/>
      <c r="BB410" s="297"/>
    </row>
    <row r="411" spans="1:54" thickBot="1">
      <c r="A411" s="298"/>
      <c r="B411" s="298"/>
      <c r="C411" s="298"/>
      <c r="D411" s="298"/>
      <c r="E411" s="298"/>
      <c r="F411" s="282"/>
      <c r="G411" s="298"/>
      <c r="H411" s="298"/>
      <c r="I411" s="282"/>
      <c r="J411" s="298"/>
      <c r="K411" s="566"/>
      <c r="L411" s="282"/>
      <c r="M411" s="282"/>
      <c r="N411" s="298"/>
      <c r="O411" s="282"/>
      <c r="P411" s="282"/>
      <c r="Q411" s="298"/>
      <c r="R411" s="282"/>
      <c r="S411" s="282"/>
      <c r="T411" s="298"/>
      <c r="U411" s="282"/>
      <c r="V411" s="298"/>
      <c r="W411" s="298"/>
      <c r="X411" s="297"/>
      <c r="Y411" s="297"/>
      <c r="Z411" s="297"/>
      <c r="AA411" s="297"/>
      <c r="AB411" s="297"/>
      <c r="AC411" s="297"/>
      <c r="AD411" s="297"/>
      <c r="AE411" s="297"/>
      <c r="AF411" s="297"/>
      <c r="AG411" s="297"/>
      <c r="AH411" s="297"/>
      <c r="AI411" s="297"/>
      <c r="AJ411" s="297"/>
      <c r="AK411" s="297"/>
      <c r="AL411" s="297"/>
      <c r="AM411" s="297"/>
      <c r="AN411" s="297"/>
      <c r="AO411" s="297"/>
      <c r="AP411" s="297"/>
      <c r="AQ411" s="297"/>
      <c r="AR411" s="297"/>
      <c r="AS411" s="297"/>
      <c r="AT411" s="297"/>
      <c r="AU411" s="297"/>
      <c r="AV411" s="297"/>
      <c r="AW411" s="297"/>
      <c r="AX411" s="297"/>
      <c r="AY411" s="297"/>
      <c r="AZ411" s="297"/>
      <c r="BA411" s="297"/>
      <c r="BB411" s="297"/>
    </row>
    <row r="412" spans="1:54" thickBot="1">
      <c r="A412" s="298"/>
      <c r="B412" s="298"/>
      <c r="C412" s="298"/>
      <c r="D412" s="298"/>
      <c r="E412" s="298"/>
      <c r="F412" s="282"/>
      <c r="G412" s="298"/>
      <c r="H412" s="298"/>
      <c r="I412" s="282"/>
      <c r="J412" s="298"/>
      <c r="K412" s="566"/>
      <c r="L412" s="282"/>
      <c r="M412" s="282"/>
      <c r="N412" s="298"/>
      <c r="O412" s="282"/>
      <c r="P412" s="282"/>
      <c r="Q412" s="298"/>
      <c r="R412" s="282"/>
      <c r="S412" s="282"/>
      <c r="T412" s="298"/>
      <c r="U412" s="282"/>
      <c r="V412" s="298"/>
      <c r="W412" s="298"/>
      <c r="X412" s="297"/>
      <c r="Y412" s="297"/>
      <c r="Z412" s="297"/>
      <c r="AA412" s="297"/>
      <c r="AB412" s="297"/>
      <c r="AC412" s="297"/>
      <c r="AD412" s="297"/>
      <c r="AE412" s="297"/>
      <c r="AF412" s="297"/>
      <c r="AG412" s="297"/>
      <c r="AH412" s="297"/>
      <c r="AI412" s="297"/>
      <c r="AJ412" s="297"/>
      <c r="AK412" s="297"/>
      <c r="AL412" s="297"/>
      <c r="AM412" s="297"/>
      <c r="AN412" s="297"/>
      <c r="AO412" s="297"/>
      <c r="AP412" s="297"/>
      <c r="AQ412" s="297"/>
      <c r="AR412" s="297"/>
      <c r="AS412" s="297"/>
      <c r="AT412" s="297"/>
      <c r="AU412" s="297"/>
      <c r="AV412" s="297"/>
      <c r="AW412" s="297"/>
      <c r="AX412" s="297"/>
      <c r="AY412" s="297"/>
      <c r="AZ412" s="297"/>
      <c r="BA412" s="297"/>
      <c r="BB412" s="297"/>
    </row>
    <row r="413" spans="1:54" thickBot="1">
      <c r="A413" s="298"/>
      <c r="B413" s="298"/>
      <c r="C413" s="298"/>
      <c r="D413" s="298"/>
      <c r="E413" s="298"/>
      <c r="F413" s="282"/>
      <c r="G413" s="298"/>
      <c r="H413" s="298"/>
      <c r="I413" s="282"/>
      <c r="J413" s="298"/>
      <c r="K413" s="566"/>
      <c r="L413" s="282"/>
      <c r="M413" s="282"/>
      <c r="N413" s="298"/>
      <c r="O413" s="282"/>
      <c r="P413" s="282"/>
      <c r="Q413" s="298"/>
      <c r="R413" s="282"/>
      <c r="S413" s="282"/>
      <c r="T413" s="298"/>
      <c r="U413" s="282"/>
      <c r="V413" s="298"/>
      <c r="W413" s="298"/>
      <c r="X413" s="297"/>
      <c r="Y413" s="297"/>
      <c r="Z413" s="297"/>
      <c r="AA413" s="297"/>
      <c r="AB413" s="297"/>
      <c r="AC413" s="297"/>
      <c r="AD413" s="297"/>
      <c r="AE413" s="297"/>
      <c r="AF413" s="297"/>
      <c r="AG413" s="297"/>
      <c r="AH413" s="297"/>
      <c r="AI413" s="297"/>
      <c r="AJ413" s="297"/>
      <c r="AK413" s="297"/>
      <c r="AL413" s="297"/>
      <c r="AM413" s="297"/>
      <c r="AN413" s="297"/>
      <c r="AO413" s="297"/>
      <c r="AP413" s="297"/>
      <c r="AQ413" s="297"/>
      <c r="AR413" s="297"/>
      <c r="AS413" s="297"/>
      <c r="AT413" s="297"/>
      <c r="AU413" s="297"/>
      <c r="AV413" s="297"/>
      <c r="AW413" s="297"/>
      <c r="AX413" s="297"/>
      <c r="AY413" s="297"/>
      <c r="AZ413" s="297"/>
      <c r="BA413" s="297"/>
      <c r="BB413" s="297"/>
    </row>
    <row r="414" spans="1:54" thickBot="1">
      <c r="A414" s="298"/>
      <c r="B414" s="298"/>
      <c r="C414" s="298"/>
      <c r="D414" s="298"/>
      <c r="E414" s="298"/>
      <c r="F414" s="282"/>
      <c r="G414" s="298"/>
      <c r="H414" s="298"/>
      <c r="I414" s="282"/>
      <c r="J414" s="298"/>
      <c r="K414" s="566"/>
      <c r="L414" s="282"/>
      <c r="M414" s="282"/>
      <c r="N414" s="298"/>
      <c r="O414" s="282"/>
      <c r="P414" s="282"/>
      <c r="Q414" s="298"/>
      <c r="R414" s="282"/>
      <c r="S414" s="282"/>
      <c r="T414" s="298"/>
      <c r="U414" s="282"/>
      <c r="V414" s="298"/>
      <c r="W414" s="298"/>
      <c r="X414" s="297"/>
      <c r="Y414" s="297"/>
      <c r="Z414" s="297"/>
      <c r="AA414" s="297"/>
      <c r="AB414" s="297"/>
      <c r="AC414" s="297"/>
      <c r="AD414" s="297"/>
      <c r="AE414" s="297"/>
      <c r="AF414" s="297"/>
      <c r="AG414" s="297"/>
      <c r="AH414" s="297"/>
      <c r="AI414" s="297"/>
      <c r="AJ414" s="297"/>
      <c r="AK414" s="297"/>
      <c r="AL414" s="297"/>
      <c r="AM414" s="297"/>
      <c r="AN414" s="297"/>
      <c r="AO414" s="297"/>
      <c r="AP414" s="297"/>
      <c r="AQ414" s="297"/>
      <c r="AR414" s="297"/>
      <c r="AS414" s="297"/>
      <c r="AT414" s="297"/>
      <c r="AU414" s="297"/>
      <c r="AV414" s="297"/>
      <c r="AW414" s="297"/>
      <c r="AX414" s="297"/>
      <c r="AY414" s="297"/>
      <c r="AZ414" s="297"/>
      <c r="BA414" s="297"/>
      <c r="BB414" s="297"/>
    </row>
    <row r="415" spans="1:54" thickBot="1">
      <c r="A415" s="298"/>
      <c r="B415" s="298"/>
      <c r="C415" s="298"/>
      <c r="D415" s="298"/>
      <c r="E415" s="298"/>
      <c r="F415" s="282"/>
      <c r="G415" s="298"/>
      <c r="H415" s="298"/>
      <c r="I415" s="282"/>
      <c r="J415" s="298"/>
      <c r="K415" s="566"/>
      <c r="L415" s="282"/>
      <c r="M415" s="282"/>
      <c r="N415" s="298"/>
      <c r="O415" s="282"/>
      <c r="P415" s="282"/>
      <c r="Q415" s="298"/>
      <c r="R415" s="282"/>
      <c r="S415" s="282"/>
      <c r="T415" s="298"/>
      <c r="U415" s="282"/>
      <c r="V415" s="298"/>
      <c r="W415" s="298"/>
      <c r="X415" s="297"/>
      <c r="Y415" s="297"/>
      <c r="Z415" s="297"/>
      <c r="AA415" s="297"/>
      <c r="AB415" s="297"/>
      <c r="AC415" s="297"/>
      <c r="AD415" s="297"/>
      <c r="AE415" s="297"/>
      <c r="AF415" s="297"/>
      <c r="AG415" s="297"/>
      <c r="AH415" s="297"/>
      <c r="AI415" s="297"/>
      <c r="AJ415" s="297"/>
      <c r="AK415" s="297"/>
      <c r="AL415" s="297"/>
      <c r="AM415" s="297"/>
      <c r="AN415" s="297"/>
      <c r="AO415" s="297"/>
      <c r="AP415" s="297"/>
      <c r="AQ415" s="297"/>
      <c r="AR415" s="297"/>
      <c r="AS415" s="297"/>
      <c r="AT415" s="297"/>
      <c r="AU415" s="297"/>
      <c r="AV415" s="297"/>
      <c r="AW415" s="297"/>
      <c r="AX415" s="297"/>
      <c r="AY415" s="297"/>
      <c r="AZ415" s="297"/>
      <c r="BA415" s="297"/>
      <c r="BB415" s="297"/>
    </row>
    <row r="416" spans="1:54" thickBot="1">
      <c r="A416" s="298"/>
      <c r="B416" s="298"/>
      <c r="C416" s="298"/>
      <c r="D416" s="298"/>
      <c r="E416" s="298"/>
      <c r="F416" s="282"/>
      <c r="G416" s="298"/>
      <c r="H416" s="298"/>
      <c r="I416" s="282"/>
      <c r="J416" s="298"/>
      <c r="K416" s="566"/>
      <c r="L416" s="282"/>
      <c r="M416" s="282"/>
      <c r="N416" s="298"/>
      <c r="O416" s="282"/>
      <c r="P416" s="282"/>
      <c r="Q416" s="298"/>
      <c r="R416" s="282"/>
      <c r="S416" s="282"/>
      <c r="T416" s="298"/>
      <c r="U416" s="282"/>
      <c r="V416" s="298"/>
      <c r="W416" s="298"/>
      <c r="X416" s="297"/>
      <c r="Y416" s="297"/>
      <c r="Z416" s="297"/>
      <c r="AA416" s="297"/>
      <c r="AB416" s="297"/>
      <c r="AC416" s="297"/>
      <c r="AD416" s="297"/>
      <c r="AE416" s="297"/>
      <c r="AF416" s="297"/>
      <c r="AG416" s="297"/>
      <c r="AH416" s="297"/>
      <c r="AI416" s="297"/>
      <c r="AJ416" s="297"/>
      <c r="AK416" s="297"/>
      <c r="AL416" s="297"/>
      <c r="AM416" s="297"/>
      <c r="AN416" s="297"/>
      <c r="AO416" s="297"/>
      <c r="AP416" s="297"/>
      <c r="AQ416" s="297"/>
      <c r="AR416" s="297"/>
      <c r="AS416" s="297"/>
      <c r="AT416" s="297"/>
      <c r="AU416" s="297"/>
      <c r="AV416" s="297"/>
      <c r="AW416" s="297"/>
      <c r="AX416" s="297"/>
      <c r="AY416" s="297"/>
      <c r="AZ416" s="297"/>
      <c r="BA416" s="297"/>
      <c r="BB416" s="297"/>
    </row>
    <row r="417" spans="1:54" thickBot="1">
      <c r="A417" s="298"/>
      <c r="B417" s="298"/>
      <c r="C417" s="298"/>
      <c r="D417" s="298"/>
      <c r="E417" s="298"/>
      <c r="F417" s="282"/>
      <c r="G417" s="298"/>
      <c r="H417" s="298"/>
      <c r="I417" s="282"/>
      <c r="J417" s="298"/>
      <c r="K417" s="566"/>
      <c r="L417" s="282"/>
      <c r="M417" s="282"/>
      <c r="N417" s="298"/>
      <c r="O417" s="282"/>
      <c r="P417" s="282"/>
      <c r="Q417" s="298"/>
      <c r="R417" s="282"/>
      <c r="S417" s="282"/>
      <c r="T417" s="298"/>
      <c r="U417" s="282"/>
      <c r="V417" s="298"/>
      <c r="W417" s="298"/>
      <c r="X417" s="297"/>
      <c r="Y417" s="297"/>
      <c r="Z417" s="297"/>
      <c r="AA417" s="297"/>
      <c r="AB417" s="297"/>
      <c r="AC417" s="297"/>
      <c r="AD417" s="297"/>
      <c r="AE417" s="297"/>
      <c r="AF417" s="297"/>
      <c r="AG417" s="297"/>
      <c r="AH417" s="297"/>
      <c r="AI417" s="297"/>
      <c r="AJ417" s="297"/>
      <c r="AK417" s="297"/>
      <c r="AL417" s="297"/>
      <c r="AM417" s="297"/>
      <c r="AN417" s="297"/>
      <c r="AO417" s="297"/>
      <c r="AP417" s="297"/>
      <c r="AQ417" s="297"/>
      <c r="AR417" s="297"/>
      <c r="AS417" s="297"/>
      <c r="AT417" s="297"/>
      <c r="AU417" s="297"/>
      <c r="AV417" s="297"/>
      <c r="AW417" s="297"/>
      <c r="AX417" s="297"/>
      <c r="AY417" s="297"/>
      <c r="AZ417" s="297"/>
      <c r="BA417" s="297"/>
      <c r="BB417" s="297"/>
    </row>
    <row r="418" spans="1:54" thickBot="1">
      <c r="A418" s="298"/>
      <c r="B418" s="298"/>
      <c r="C418" s="298"/>
      <c r="D418" s="298"/>
      <c r="E418" s="298"/>
      <c r="F418" s="282"/>
      <c r="G418" s="298"/>
      <c r="H418" s="298"/>
      <c r="I418" s="282"/>
      <c r="J418" s="298"/>
      <c r="K418" s="566"/>
      <c r="L418" s="282"/>
      <c r="M418" s="282"/>
      <c r="N418" s="298"/>
      <c r="O418" s="282"/>
      <c r="P418" s="282"/>
      <c r="Q418" s="298"/>
      <c r="R418" s="282"/>
      <c r="S418" s="282"/>
      <c r="T418" s="298"/>
      <c r="U418" s="282"/>
      <c r="V418" s="298"/>
      <c r="W418" s="298"/>
      <c r="X418" s="297"/>
      <c r="Y418" s="297"/>
      <c r="Z418" s="297"/>
      <c r="AA418" s="297"/>
      <c r="AB418" s="297"/>
      <c r="AC418" s="297"/>
      <c r="AD418" s="297"/>
      <c r="AE418" s="297"/>
      <c r="AF418" s="297"/>
      <c r="AG418" s="297"/>
      <c r="AH418" s="297"/>
      <c r="AI418" s="297"/>
      <c r="AJ418" s="297"/>
      <c r="AK418" s="297"/>
      <c r="AL418" s="297"/>
      <c r="AM418" s="297"/>
      <c r="AN418" s="297"/>
      <c r="AO418" s="297"/>
      <c r="AP418" s="297"/>
      <c r="AQ418" s="297"/>
      <c r="AR418" s="297"/>
      <c r="AS418" s="297"/>
      <c r="AT418" s="297"/>
      <c r="AU418" s="297"/>
      <c r="AV418" s="297"/>
      <c r="AW418" s="297"/>
      <c r="AX418" s="297"/>
      <c r="AY418" s="297"/>
      <c r="AZ418" s="297"/>
      <c r="BA418" s="297"/>
      <c r="BB418" s="297"/>
    </row>
    <row r="419" spans="1:54" thickBot="1">
      <c r="A419" s="298"/>
      <c r="B419" s="298"/>
      <c r="C419" s="298"/>
      <c r="D419" s="298"/>
      <c r="E419" s="298"/>
      <c r="F419" s="282"/>
      <c r="G419" s="298"/>
      <c r="H419" s="298"/>
      <c r="I419" s="282"/>
      <c r="J419" s="298"/>
      <c r="K419" s="566"/>
      <c r="L419" s="282"/>
      <c r="M419" s="282"/>
      <c r="N419" s="298"/>
      <c r="O419" s="282"/>
      <c r="P419" s="282"/>
      <c r="Q419" s="298"/>
      <c r="R419" s="282"/>
      <c r="S419" s="282"/>
      <c r="T419" s="298"/>
      <c r="U419" s="282"/>
      <c r="V419" s="298"/>
      <c r="W419" s="298"/>
      <c r="X419" s="297"/>
      <c r="Y419" s="297"/>
      <c r="Z419" s="297"/>
      <c r="AA419" s="297"/>
      <c r="AB419" s="297"/>
      <c r="AC419" s="297"/>
      <c r="AD419" s="297"/>
      <c r="AE419" s="297"/>
      <c r="AF419" s="297"/>
      <c r="AG419" s="297"/>
      <c r="AH419" s="297"/>
      <c r="AI419" s="297"/>
      <c r="AJ419" s="297"/>
      <c r="AK419" s="297"/>
      <c r="AL419" s="297"/>
      <c r="AM419" s="297"/>
      <c r="AN419" s="297"/>
      <c r="AO419" s="297"/>
      <c r="AP419" s="297"/>
      <c r="AQ419" s="297"/>
      <c r="AR419" s="297"/>
      <c r="AS419" s="297"/>
      <c r="AT419" s="297"/>
      <c r="AU419" s="297"/>
      <c r="AV419" s="297"/>
      <c r="AW419" s="297"/>
      <c r="AX419" s="297"/>
      <c r="AY419" s="297"/>
      <c r="AZ419" s="297"/>
      <c r="BA419" s="297"/>
      <c r="BB419" s="297"/>
    </row>
    <row r="420" spans="1:54" thickBot="1">
      <c r="A420" s="298"/>
      <c r="B420" s="298"/>
      <c r="C420" s="298"/>
      <c r="D420" s="298"/>
      <c r="E420" s="298"/>
      <c r="F420" s="282"/>
      <c r="G420" s="298"/>
      <c r="H420" s="298"/>
      <c r="I420" s="282"/>
      <c r="J420" s="298"/>
      <c r="K420" s="566"/>
      <c r="L420" s="282"/>
      <c r="M420" s="282"/>
      <c r="N420" s="298"/>
      <c r="O420" s="282"/>
      <c r="P420" s="282"/>
      <c r="Q420" s="298"/>
      <c r="R420" s="282"/>
      <c r="S420" s="282"/>
      <c r="T420" s="298"/>
      <c r="U420" s="282"/>
      <c r="V420" s="298"/>
      <c r="W420" s="298"/>
      <c r="X420" s="297"/>
      <c r="Y420" s="297"/>
      <c r="Z420" s="297"/>
      <c r="AA420" s="297"/>
      <c r="AB420" s="297"/>
      <c r="AC420" s="297"/>
      <c r="AD420" s="297"/>
      <c r="AE420" s="297"/>
      <c r="AF420" s="297"/>
      <c r="AG420" s="297"/>
      <c r="AH420" s="297"/>
      <c r="AI420" s="297"/>
      <c r="AJ420" s="297"/>
      <c r="AK420" s="297"/>
      <c r="AL420" s="297"/>
      <c r="AM420" s="297"/>
      <c r="AN420" s="297"/>
      <c r="AO420" s="297"/>
      <c r="AP420" s="297"/>
      <c r="AQ420" s="297"/>
      <c r="AR420" s="297"/>
      <c r="AS420" s="297"/>
      <c r="AT420" s="297"/>
      <c r="AU420" s="297"/>
      <c r="AV420" s="297"/>
      <c r="AW420" s="297"/>
      <c r="AX420" s="297"/>
      <c r="AY420" s="297"/>
      <c r="AZ420" s="297"/>
      <c r="BA420" s="297"/>
      <c r="BB420" s="297"/>
    </row>
    <row r="421" spans="1:54" thickBot="1">
      <c r="A421" s="298"/>
      <c r="B421" s="298"/>
      <c r="C421" s="298"/>
      <c r="D421" s="298"/>
      <c r="E421" s="298"/>
      <c r="F421" s="282"/>
      <c r="G421" s="298"/>
      <c r="H421" s="298"/>
      <c r="I421" s="282"/>
      <c r="J421" s="298"/>
      <c r="K421" s="566"/>
      <c r="L421" s="282"/>
      <c r="M421" s="282"/>
      <c r="N421" s="298"/>
      <c r="O421" s="282"/>
      <c r="P421" s="282"/>
      <c r="Q421" s="298"/>
      <c r="R421" s="282"/>
      <c r="S421" s="282"/>
      <c r="T421" s="298"/>
      <c r="U421" s="282"/>
      <c r="V421" s="298"/>
      <c r="W421" s="298"/>
      <c r="X421" s="297"/>
      <c r="Y421" s="297"/>
      <c r="Z421" s="297"/>
      <c r="AA421" s="297"/>
      <c r="AB421" s="297"/>
      <c r="AC421" s="297"/>
      <c r="AD421" s="297"/>
      <c r="AE421" s="297"/>
      <c r="AF421" s="297"/>
      <c r="AG421" s="297"/>
      <c r="AH421" s="297"/>
      <c r="AI421" s="297"/>
      <c r="AJ421" s="297"/>
      <c r="AK421" s="297"/>
      <c r="AL421" s="297"/>
      <c r="AM421" s="297"/>
      <c r="AN421" s="297"/>
      <c r="AO421" s="297"/>
      <c r="AP421" s="297"/>
      <c r="AQ421" s="297"/>
      <c r="AR421" s="297"/>
      <c r="AS421" s="297"/>
      <c r="AT421" s="297"/>
      <c r="AU421" s="297"/>
      <c r="AV421" s="297"/>
      <c r="AW421" s="297"/>
      <c r="AX421" s="297"/>
      <c r="AY421" s="297"/>
      <c r="AZ421" s="297"/>
      <c r="BA421" s="297"/>
      <c r="BB421" s="297"/>
    </row>
    <row r="422" spans="1:54" thickBot="1">
      <c r="A422" s="298"/>
      <c r="B422" s="298"/>
      <c r="C422" s="298"/>
      <c r="D422" s="298"/>
      <c r="E422" s="298"/>
      <c r="F422" s="282"/>
      <c r="G422" s="298"/>
      <c r="H422" s="298"/>
      <c r="I422" s="282"/>
      <c r="J422" s="298"/>
      <c r="K422" s="566"/>
      <c r="L422" s="282"/>
      <c r="M422" s="282"/>
      <c r="N422" s="298"/>
      <c r="O422" s="282"/>
      <c r="P422" s="282"/>
      <c r="Q422" s="298"/>
      <c r="R422" s="282"/>
      <c r="S422" s="282"/>
      <c r="T422" s="298"/>
      <c r="U422" s="282"/>
      <c r="V422" s="298"/>
      <c r="W422" s="298"/>
      <c r="X422" s="297"/>
      <c r="Y422" s="297"/>
      <c r="Z422" s="297"/>
      <c r="AA422" s="297"/>
      <c r="AB422" s="297"/>
      <c r="AC422" s="297"/>
      <c r="AD422" s="297"/>
      <c r="AE422" s="297"/>
      <c r="AF422" s="297"/>
      <c r="AG422" s="297"/>
      <c r="AH422" s="297"/>
      <c r="AI422" s="297"/>
      <c r="AJ422" s="297"/>
      <c r="AK422" s="297"/>
      <c r="AL422" s="297"/>
      <c r="AM422" s="297"/>
      <c r="AN422" s="297"/>
      <c r="AO422" s="297"/>
      <c r="AP422" s="297"/>
      <c r="AQ422" s="297"/>
      <c r="AR422" s="297"/>
      <c r="AS422" s="297"/>
      <c r="AT422" s="297"/>
      <c r="AU422" s="297"/>
      <c r="AV422" s="297"/>
      <c r="AW422" s="297"/>
      <c r="AX422" s="297"/>
      <c r="AY422" s="297"/>
      <c r="AZ422" s="297"/>
      <c r="BA422" s="297"/>
      <c r="BB422" s="297"/>
    </row>
    <row r="423" spans="1:54" thickBot="1">
      <c r="A423" s="298"/>
      <c r="B423" s="298"/>
      <c r="C423" s="298"/>
      <c r="D423" s="298"/>
      <c r="E423" s="298"/>
      <c r="F423" s="282"/>
      <c r="G423" s="298"/>
      <c r="H423" s="298"/>
      <c r="I423" s="282"/>
      <c r="J423" s="298"/>
      <c r="K423" s="566"/>
      <c r="L423" s="282"/>
      <c r="M423" s="282"/>
      <c r="N423" s="298"/>
      <c r="O423" s="282"/>
      <c r="P423" s="282"/>
      <c r="Q423" s="298"/>
      <c r="R423" s="282"/>
      <c r="S423" s="282"/>
      <c r="T423" s="298"/>
      <c r="U423" s="282"/>
      <c r="V423" s="298"/>
      <c r="W423" s="298"/>
      <c r="X423" s="297"/>
      <c r="Y423" s="297"/>
      <c r="Z423" s="297"/>
      <c r="AA423" s="297"/>
      <c r="AB423" s="297"/>
      <c r="AC423" s="297"/>
      <c r="AD423" s="297"/>
      <c r="AE423" s="297"/>
      <c r="AF423" s="297"/>
      <c r="AG423" s="297"/>
      <c r="AH423" s="297"/>
      <c r="AI423" s="297"/>
      <c r="AJ423" s="297"/>
      <c r="AK423" s="297"/>
      <c r="AL423" s="297"/>
      <c r="AM423" s="297"/>
      <c r="AN423" s="297"/>
      <c r="AO423" s="297"/>
      <c r="AP423" s="297"/>
      <c r="AQ423" s="297"/>
      <c r="AR423" s="297"/>
      <c r="AS423" s="297"/>
      <c r="AT423" s="297"/>
      <c r="AU423" s="297"/>
      <c r="AV423" s="297"/>
      <c r="AW423" s="297"/>
      <c r="AX423" s="297"/>
      <c r="AY423" s="297"/>
      <c r="AZ423" s="297"/>
      <c r="BA423" s="297"/>
      <c r="BB423" s="297"/>
    </row>
    <row r="424" spans="1:54" thickBot="1">
      <c r="A424" s="298"/>
      <c r="B424" s="298"/>
      <c r="C424" s="298"/>
      <c r="D424" s="298"/>
      <c r="E424" s="298"/>
      <c r="F424" s="282"/>
      <c r="G424" s="298"/>
      <c r="H424" s="298"/>
      <c r="I424" s="282"/>
      <c r="J424" s="298"/>
      <c r="K424" s="566"/>
      <c r="L424" s="282"/>
      <c r="M424" s="282"/>
      <c r="N424" s="298"/>
      <c r="O424" s="282"/>
      <c r="P424" s="282"/>
      <c r="Q424" s="298"/>
      <c r="R424" s="282"/>
      <c r="S424" s="282"/>
      <c r="T424" s="298"/>
      <c r="U424" s="282"/>
      <c r="V424" s="298"/>
      <c r="W424" s="298"/>
      <c r="X424" s="297"/>
      <c r="Y424" s="297"/>
      <c r="Z424" s="297"/>
      <c r="AA424" s="297"/>
      <c r="AB424" s="297"/>
      <c r="AC424" s="297"/>
      <c r="AD424" s="297"/>
      <c r="AE424" s="297"/>
      <c r="AF424" s="297"/>
      <c r="AG424" s="297"/>
      <c r="AH424" s="297"/>
      <c r="AI424" s="297"/>
      <c r="AJ424" s="297"/>
      <c r="AK424" s="297"/>
      <c r="AL424" s="297"/>
      <c r="AM424" s="297"/>
      <c r="AN424" s="297"/>
      <c r="AO424" s="297"/>
      <c r="AP424" s="297"/>
      <c r="AQ424" s="297"/>
      <c r="AR424" s="297"/>
      <c r="AS424" s="297"/>
      <c r="AT424" s="297"/>
      <c r="AU424" s="297"/>
      <c r="AV424" s="297"/>
      <c r="AW424" s="297"/>
      <c r="AX424" s="297"/>
      <c r="AY424" s="297"/>
      <c r="AZ424" s="297"/>
      <c r="BA424" s="297"/>
      <c r="BB424" s="297"/>
    </row>
    <row r="425" spans="1:54" thickBot="1">
      <c r="A425" s="298"/>
      <c r="B425" s="298"/>
      <c r="C425" s="298"/>
      <c r="D425" s="298"/>
      <c r="E425" s="298"/>
      <c r="F425" s="282"/>
      <c r="G425" s="298"/>
      <c r="H425" s="298"/>
      <c r="I425" s="282"/>
      <c r="J425" s="298"/>
      <c r="K425" s="566"/>
      <c r="L425" s="282"/>
      <c r="M425" s="282"/>
      <c r="N425" s="298"/>
      <c r="O425" s="282"/>
      <c r="P425" s="282"/>
      <c r="Q425" s="298"/>
      <c r="R425" s="282"/>
      <c r="S425" s="282"/>
      <c r="T425" s="298"/>
      <c r="U425" s="282"/>
      <c r="V425" s="298"/>
      <c r="W425" s="298"/>
      <c r="X425" s="297"/>
      <c r="Y425" s="297"/>
      <c r="Z425" s="297"/>
      <c r="AA425" s="297"/>
      <c r="AB425" s="297"/>
      <c r="AC425" s="297"/>
      <c r="AD425" s="297"/>
      <c r="AE425" s="297"/>
      <c r="AF425" s="297"/>
      <c r="AG425" s="297"/>
      <c r="AH425" s="297"/>
      <c r="AI425" s="297"/>
      <c r="AJ425" s="297"/>
      <c r="AK425" s="297"/>
      <c r="AL425" s="297"/>
      <c r="AM425" s="297"/>
      <c r="AN425" s="297"/>
      <c r="AO425" s="297"/>
      <c r="AP425" s="297"/>
      <c r="AQ425" s="297"/>
      <c r="AR425" s="297"/>
      <c r="AS425" s="297"/>
      <c r="AT425" s="297"/>
      <c r="AU425" s="297"/>
      <c r="AV425" s="297"/>
      <c r="AW425" s="297"/>
      <c r="AX425" s="297"/>
      <c r="AY425" s="297"/>
      <c r="AZ425" s="297"/>
      <c r="BA425" s="297"/>
      <c r="BB425" s="297"/>
    </row>
    <row r="426" spans="1:54" thickBot="1">
      <c r="A426" s="298"/>
      <c r="B426" s="298"/>
      <c r="C426" s="298"/>
      <c r="D426" s="298"/>
      <c r="E426" s="298"/>
      <c r="F426" s="282"/>
      <c r="G426" s="298"/>
      <c r="H426" s="298"/>
      <c r="I426" s="282"/>
      <c r="J426" s="298"/>
      <c r="K426" s="566"/>
      <c r="L426" s="282"/>
      <c r="M426" s="282"/>
      <c r="N426" s="298"/>
      <c r="O426" s="282"/>
      <c r="P426" s="282"/>
      <c r="Q426" s="298"/>
      <c r="R426" s="282"/>
      <c r="S426" s="282"/>
      <c r="T426" s="298"/>
      <c r="U426" s="282"/>
      <c r="V426" s="298"/>
      <c r="W426" s="298"/>
      <c r="X426" s="297"/>
      <c r="Y426" s="297"/>
      <c r="Z426" s="297"/>
      <c r="AA426" s="297"/>
      <c r="AB426" s="297"/>
      <c r="AC426" s="297"/>
      <c r="AD426" s="297"/>
      <c r="AE426" s="297"/>
      <c r="AF426" s="297"/>
      <c r="AG426" s="297"/>
      <c r="AH426" s="297"/>
      <c r="AI426" s="297"/>
      <c r="AJ426" s="297"/>
      <c r="AK426" s="297"/>
      <c r="AL426" s="297"/>
      <c r="AM426" s="297"/>
      <c r="AN426" s="297"/>
      <c r="AO426" s="297"/>
      <c r="AP426" s="297"/>
      <c r="AQ426" s="297"/>
      <c r="AR426" s="297"/>
      <c r="AS426" s="297"/>
      <c r="AT426" s="297"/>
      <c r="AU426" s="297"/>
      <c r="AV426" s="297"/>
      <c r="AW426" s="297"/>
      <c r="AX426" s="297"/>
      <c r="AY426" s="297"/>
      <c r="AZ426" s="297"/>
      <c r="BA426" s="297"/>
      <c r="BB426" s="297"/>
    </row>
    <row r="427" spans="1:54" thickBot="1">
      <c r="A427" s="298"/>
      <c r="B427" s="298"/>
      <c r="C427" s="298"/>
      <c r="D427" s="298"/>
      <c r="E427" s="298"/>
      <c r="F427" s="282"/>
      <c r="G427" s="298"/>
      <c r="H427" s="298"/>
      <c r="I427" s="282"/>
      <c r="J427" s="298"/>
      <c r="K427" s="566"/>
      <c r="L427" s="282"/>
      <c r="M427" s="282"/>
      <c r="N427" s="298"/>
      <c r="O427" s="282"/>
      <c r="P427" s="282"/>
      <c r="Q427" s="298"/>
      <c r="R427" s="282"/>
      <c r="S427" s="282"/>
      <c r="T427" s="298"/>
      <c r="U427" s="282"/>
      <c r="V427" s="298"/>
      <c r="W427" s="298"/>
      <c r="X427" s="297"/>
      <c r="Y427" s="297"/>
      <c r="Z427" s="297"/>
      <c r="AA427" s="297"/>
      <c r="AB427" s="297"/>
      <c r="AC427" s="297"/>
      <c r="AD427" s="297"/>
      <c r="AE427" s="297"/>
      <c r="AF427" s="297"/>
      <c r="AG427" s="297"/>
      <c r="AH427" s="297"/>
      <c r="AI427" s="297"/>
      <c r="AJ427" s="297"/>
      <c r="AK427" s="297"/>
      <c r="AL427" s="297"/>
      <c r="AM427" s="297"/>
      <c r="AN427" s="297"/>
      <c r="AO427" s="297"/>
      <c r="AP427" s="297"/>
      <c r="AQ427" s="297"/>
      <c r="AR427" s="297"/>
      <c r="AS427" s="297"/>
      <c r="AT427" s="297"/>
      <c r="AU427" s="297"/>
      <c r="AV427" s="297"/>
      <c r="AW427" s="297"/>
      <c r="AX427" s="297"/>
      <c r="AY427" s="297"/>
      <c r="AZ427" s="297"/>
      <c r="BA427" s="297"/>
      <c r="BB427" s="297"/>
    </row>
    <row r="428" spans="1:54" thickBot="1">
      <c r="A428" s="298"/>
      <c r="B428" s="298"/>
      <c r="C428" s="298"/>
      <c r="D428" s="298"/>
      <c r="E428" s="298"/>
      <c r="F428" s="282"/>
      <c r="G428" s="298"/>
      <c r="H428" s="298"/>
      <c r="I428" s="282"/>
      <c r="J428" s="298"/>
      <c r="K428" s="566"/>
      <c r="L428" s="282"/>
      <c r="M428" s="282"/>
      <c r="N428" s="298"/>
      <c r="O428" s="282"/>
      <c r="P428" s="282"/>
      <c r="Q428" s="298"/>
      <c r="R428" s="282"/>
      <c r="S428" s="282"/>
      <c r="T428" s="298"/>
      <c r="U428" s="282"/>
      <c r="V428" s="298"/>
      <c r="W428" s="298"/>
      <c r="X428" s="297"/>
      <c r="Y428" s="297"/>
      <c r="Z428" s="297"/>
      <c r="AA428" s="297"/>
      <c r="AB428" s="297"/>
      <c r="AC428" s="297"/>
      <c r="AD428" s="297"/>
      <c r="AE428" s="297"/>
      <c r="AF428" s="297"/>
      <c r="AG428" s="297"/>
      <c r="AH428" s="297"/>
      <c r="AI428" s="297"/>
      <c r="AJ428" s="297"/>
      <c r="AK428" s="297"/>
      <c r="AL428" s="297"/>
      <c r="AM428" s="297"/>
      <c r="AN428" s="297"/>
      <c r="AO428" s="297"/>
      <c r="AP428" s="297"/>
      <c r="AQ428" s="297"/>
      <c r="AR428" s="297"/>
      <c r="AS428" s="297"/>
      <c r="AT428" s="297"/>
      <c r="AU428" s="297"/>
      <c r="AV428" s="297"/>
      <c r="AW428" s="297"/>
      <c r="AX428" s="297"/>
      <c r="AY428" s="297"/>
      <c r="AZ428" s="297"/>
      <c r="BA428" s="297"/>
      <c r="BB428" s="297"/>
    </row>
    <row r="429" spans="1:54" thickBot="1">
      <c r="A429" s="298"/>
      <c r="B429" s="298"/>
      <c r="C429" s="298"/>
      <c r="D429" s="298"/>
      <c r="E429" s="298"/>
      <c r="F429" s="282"/>
      <c r="G429" s="298"/>
      <c r="H429" s="298"/>
      <c r="I429" s="282"/>
      <c r="J429" s="298"/>
      <c r="K429" s="566"/>
      <c r="L429" s="282"/>
      <c r="M429" s="282"/>
      <c r="N429" s="298"/>
      <c r="O429" s="282"/>
      <c r="P429" s="282"/>
      <c r="Q429" s="298"/>
      <c r="R429" s="282"/>
      <c r="S429" s="282"/>
      <c r="T429" s="298"/>
      <c r="U429" s="282"/>
      <c r="V429" s="298"/>
      <c r="W429" s="298"/>
      <c r="X429" s="297"/>
      <c r="Y429" s="297"/>
      <c r="Z429" s="297"/>
      <c r="AA429" s="297"/>
      <c r="AB429" s="297"/>
      <c r="AC429" s="297"/>
      <c r="AD429" s="297"/>
      <c r="AE429" s="297"/>
      <c r="AF429" s="297"/>
      <c r="AG429" s="297"/>
      <c r="AH429" s="297"/>
      <c r="AI429" s="297"/>
      <c r="AJ429" s="297"/>
      <c r="AK429" s="297"/>
      <c r="AL429" s="297"/>
      <c r="AM429" s="297"/>
      <c r="AN429" s="297"/>
      <c r="AO429" s="297"/>
      <c r="AP429" s="297"/>
      <c r="AQ429" s="297"/>
      <c r="AR429" s="297"/>
      <c r="AS429" s="297"/>
      <c r="AT429" s="297"/>
      <c r="AU429" s="297"/>
      <c r="AV429" s="297"/>
      <c r="AW429" s="297"/>
      <c r="AX429" s="297"/>
      <c r="AY429" s="297"/>
      <c r="AZ429" s="297"/>
      <c r="BA429" s="297"/>
      <c r="BB429" s="297"/>
    </row>
    <row r="430" spans="1:54" thickBot="1">
      <c r="A430" s="298"/>
      <c r="B430" s="298"/>
      <c r="C430" s="298"/>
      <c r="D430" s="298"/>
      <c r="E430" s="298"/>
      <c r="F430" s="282"/>
      <c r="G430" s="298"/>
      <c r="H430" s="298"/>
      <c r="I430" s="282"/>
      <c r="J430" s="298"/>
      <c r="K430" s="566"/>
      <c r="L430" s="282"/>
      <c r="M430" s="282"/>
      <c r="N430" s="298"/>
      <c r="O430" s="282"/>
      <c r="P430" s="282"/>
      <c r="Q430" s="298"/>
      <c r="R430" s="282"/>
      <c r="S430" s="282"/>
      <c r="T430" s="298"/>
      <c r="U430" s="282"/>
      <c r="V430" s="298"/>
      <c r="W430" s="298"/>
      <c r="X430" s="297"/>
      <c r="Y430" s="297"/>
      <c r="Z430" s="297"/>
      <c r="AA430" s="297"/>
      <c r="AB430" s="297"/>
      <c r="AC430" s="297"/>
      <c r="AD430" s="297"/>
      <c r="AE430" s="297"/>
      <c r="AF430" s="297"/>
      <c r="AG430" s="297"/>
      <c r="AH430" s="297"/>
      <c r="AI430" s="297"/>
      <c r="AJ430" s="297"/>
      <c r="AK430" s="297"/>
      <c r="AL430" s="297"/>
      <c r="AM430" s="297"/>
      <c r="AN430" s="297"/>
      <c r="AO430" s="297"/>
      <c r="AP430" s="297"/>
      <c r="AQ430" s="297"/>
      <c r="AR430" s="297"/>
      <c r="AS430" s="297"/>
      <c r="AT430" s="297"/>
      <c r="AU430" s="297"/>
      <c r="AV430" s="297"/>
      <c r="AW430" s="297"/>
      <c r="AX430" s="297"/>
      <c r="AY430" s="297"/>
      <c r="AZ430" s="297"/>
      <c r="BA430" s="297"/>
      <c r="BB430" s="297"/>
    </row>
    <row r="431" spans="1:54" thickBot="1">
      <c r="A431" s="298"/>
      <c r="B431" s="298"/>
      <c r="C431" s="298"/>
      <c r="D431" s="298"/>
      <c r="E431" s="298"/>
      <c r="F431" s="282"/>
      <c r="G431" s="298"/>
      <c r="H431" s="298"/>
      <c r="I431" s="282"/>
      <c r="J431" s="298"/>
      <c r="K431" s="566"/>
      <c r="L431" s="282"/>
      <c r="M431" s="282"/>
      <c r="N431" s="298"/>
      <c r="O431" s="282"/>
      <c r="P431" s="282"/>
      <c r="Q431" s="298"/>
      <c r="R431" s="282"/>
      <c r="S431" s="282"/>
      <c r="T431" s="298"/>
      <c r="U431" s="282"/>
      <c r="V431" s="298"/>
      <c r="W431" s="298"/>
      <c r="X431" s="297"/>
      <c r="Y431" s="297"/>
      <c r="Z431" s="297"/>
      <c r="AA431" s="297"/>
      <c r="AB431" s="297"/>
      <c r="AC431" s="297"/>
      <c r="AD431" s="297"/>
      <c r="AE431" s="297"/>
      <c r="AF431" s="297"/>
      <c r="AG431" s="297"/>
      <c r="AH431" s="297"/>
      <c r="AI431" s="297"/>
      <c r="AJ431" s="297"/>
      <c r="AK431" s="297"/>
      <c r="AL431" s="297"/>
      <c r="AM431" s="297"/>
      <c r="AN431" s="297"/>
      <c r="AO431" s="297"/>
      <c r="AP431" s="297"/>
      <c r="AQ431" s="297"/>
      <c r="AR431" s="297"/>
      <c r="AS431" s="297"/>
      <c r="AT431" s="297"/>
      <c r="AU431" s="297"/>
      <c r="AV431" s="297"/>
      <c r="AW431" s="297"/>
      <c r="AX431" s="297"/>
      <c r="AY431" s="297"/>
      <c r="AZ431" s="297"/>
      <c r="BA431" s="297"/>
      <c r="BB431" s="297"/>
    </row>
    <row r="432" spans="1:54" thickBot="1">
      <c r="A432" s="298"/>
      <c r="B432" s="298"/>
      <c r="C432" s="298"/>
      <c r="D432" s="298"/>
      <c r="E432" s="298"/>
      <c r="F432" s="282"/>
      <c r="G432" s="298"/>
      <c r="H432" s="298"/>
      <c r="I432" s="282"/>
      <c r="J432" s="298"/>
      <c r="K432" s="566"/>
      <c r="L432" s="282"/>
      <c r="M432" s="282"/>
      <c r="N432" s="298"/>
      <c r="O432" s="282"/>
      <c r="P432" s="282"/>
      <c r="Q432" s="298"/>
      <c r="R432" s="282"/>
      <c r="S432" s="282"/>
      <c r="T432" s="298"/>
      <c r="U432" s="282"/>
      <c r="V432" s="298"/>
      <c r="W432" s="298"/>
      <c r="X432" s="297"/>
      <c r="Y432" s="297"/>
      <c r="Z432" s="297"/>
      <c r="AA432" s="297"/>
      <c r="AB432" s="297"/>
      <c r="AC432" s="297"/>
      <c r="AD432" s="297"/>
      <c r="AE432" s="297"/>
      <c r="AF432" s="297"/>
      <c r="AG432" s="297"/>
      <c r="AH432" s="297"/>
      <c r="AI432" s="297"/>
      <c r="AJ432" s="297"/>
      <c r="AK432" s="297"/>
      <c r="AL432" s="297"/>
      <c r="AM432" s="297"/>
      <c r="AN432" s="297"/>
      <c r="AO432" s="297"/>
      <c r="AP432" s="297"/>
      <c r="AQ432" s="297"/>
      <c r="AR432" s="297"/>
      <c r="AS432" s="297"/>
      <c r="AT432" s="297"/>
      <c r="AU432" s="297"/>
      <c r="AV432" s="297"/>
      <c r="AW432" s="297"/>
      <c r="AX432" s="297"/>
      <c r="AY432" s="297"/>
      <c r="AZ432" s="297"/>
      <c r="BA432" s="297"/>
      <c r="BB432" s="297"/>
    </row>
    <row r="433" spans="1:54" thickBot="1">
      <c r="A433" s="298"/>
      <c r="B433" s="298"/>
      <c r="C433" s="298"/>
      <c r="D433" s="298"/>
      <c r="E433" s="298"/>
      <c r="F433" s="282"/>
      <c r="G433" s="298"/>
      <c r="H433" s="298"/>
      <c r="I433" s="282"/>
      <c r="J433" s="298"/>
      <c r="K433" s="566"/>
      <c r="L433" s="282"/>
      <c r="M433" s="282"/>
      <c r="N433" s="298"/>
      <c r="O433" s="282"/>
      <c r="P433" s="282"/>
      <c r="Q433" s="298"/>
      <c r="R433" s="282"/>
      <c r="S433" s="282"/>
      <c r="T433" s="298"/>
      <c r="U433" s="282"/>
      <c r="V433" s="298"/>
      <c r="W433" s="298"/>
      <c r="X433" s="297"/>
      <c r="Y433" s="297"/>
      <c r="Z433" s="297"/>
      <c r="AA433" s="297"/>
      <c r="AB433" s="297"/>
      <c r="AC433" s="297"/>
      <c r="AD433" s="297"/>
      <c r="AE433" s="297"/>
      <c r="AF433" s="297"/>
      <c r="AG433" s="297"/>
      <c r="AH433" s="297"/>
      <c r="AI433" s="297"/>
      <c r="AJ433" s="297"/>
      <c r="AK433" s="297"/>
      <c r="AL433" s="297"/>
      <c r="AM433" s="297"/>
      <c r="AN433" s="297"/>
      <c r="AO433" s="297"/>
      <c r="AP433" s="297"/>
      <c r="AQ433" s="297"/>
      <c r="AR433" s="297"/>
      <c r="AS433" s="297"/>
      <c r="AT433" s="297"/>
      <c r="AU433" s="297"/>
      <c r="AV433" s="297"/>
      <c r="AW433" s="297"/>
      <c r="AX433" s="297"/>
      <c r="AY433" s="297"/>
      <c r="AZ433" s="297"/>
      <c r="BA433" s="297"/>
      <c r="BB433" s="297"/>
    </row>
    <row r="434" spans="1:54" thickBot="1">
      <c r="A434" s="298"/>
      <c r="B434" s="298"/>
      <c r="C434" s="298"/>
      <c r="D434" s="298"/>
      <c r="E434" s="298"/>
      <c r="F434" s="282"/>
      <c r="G434" s="298"/>
      <c r="H434" s="298"/>
      <c r="I434" s="282"/>
      <c r="J434" s="298"/>
      <c r="K434" s="566"/>
      <c r="L434" s="282"/>
      <c r="M434" s="282"/>
      <c r="N434" s="298"/>
      <c r="O434" s="282"/>
      <c r="P434" s="282"/>
      <c r="Q434" s="298"/>
      <c r="R434" s="282"/>
      <c r="S434" s="282"/>
      <c r="T434" s="298"/>
      <c r="U434" s="282"/>
      <c r="V434" s="298"/>
      <c r="W434" s="298"/>
      <c r="X434" s="297"/>
      <c r="Y434" s="297"/>
      <c r="Z434" s="297"/>
      <c r="AA434" s="297"/>
      <c r="AB434" s="297"/>
      <c r="AC434" s="297"/>
      <c r="AD434" s="297"/>
      <c r="AE434" s="297"/>
      <c r="AF434" s="297"/>
      <c r="AG434" s="297"/>
      <c r="AH434" s="297"/>
      <c r="AI434" s="297"/>
      <c r="AJ434" s="297"/>
      <c r="AK434" s="297"/>
      <c r="AL434" s="297"/>
      <c r="AM434" s="297"/>
      <c r="AN434" s="297"/>
      <c r="AO434" s="297"/>
      <c r="AP434" s="297"/>
      <c r="AQ434" s="297"/>
      <c r="AR434" s="297"/>
      <c r="AS434" s="297"/>
      <c r="AT434" s="297"/>
      <c r="AU434" s="297"/>
      <c r="AV434" s="297"/>
      <c r="AW434" s="297"/>
      <c r="AX434" s="297"/>
      <c r="AY434" s="297"/>
      <c r="AZ434" s="297"/>
      <c r="BA434" s="297"/>
      <c r="BB434" s="297"/>
    </row>
    <row r="435" spans="1:54" thickBot="1">
      <c r="A435" s="298"/>
      <c r="B435" s="298"/>
      <c r="C435" s="298"/>
      <c r="D435" s="298"/>
      <c r="E435" s="298"/>
      <c r="F435" s="282"/>
      <c r="G435" s="298"/>
      <c r="H435" s="298"/>
      <c r="I435" s="282"/>
      <c r="J435" s="298"/>
      <c r="K435" s="566"/>
      <c r="L435" s="282"/>
      <c r="M435" s="282"/>
      <c r="N435" s="298"/>
      <c r="O435" s="282"/>
      <c r="P435" s="282"/>
      <c r="Q435" s="298"/>
      <c r="R435" s="282"/>
      <c r="S435" s="282"/>
      <c r="T435" s="298"/>
      <c r="U435" s="282"/>
      <c r="V435" s="298"/>
      <c r="W435" s="298"/>
      <c r="X435" s="297"/>
      <c r="Y435" s="297"/>
      <c r="Z435" s="297"/>
      <c r="AA435" s="297"/>
      <c r="AB435" s="297"/>
      <c r="AC435" s="297"/>
      <c r="AD435" s="297"/>
      <c r="AE435" s="297"/>
      <c r="AF435" s="297"/>
      <c r="AG435" s="297"/>
      <c r="AH435" s="297"/>
      <c r="AI435" s="297"/>
      <c r="AJ435" s="297"/>
      <c r="AK435" s="297"/>
      <c r="AL435" s="297"/>
      <c r="AM435" s="297"/>
      <c r="AN435" s="297"/>
      <c r="AO435" s="297"/>
      <c r="AP435" s="297"/>
      <c r="AQ435" s="297"/>
      <c r="AR435" s="297"/>
      <c r="AS435" s="297"/>
      <c r="AT435" s="297"/>
      <c r="AU435" s="297"/>
      <c r="AV435" s="297"/>
      <c r="AW435" s="297"/>
      <c r="AX435" s="297"/>
      <c r="AY435" s="297"/>
      <c r="AZ435" s="297"/>
      <c r="BA435" s="297"/>
      <c r="BB435" s="297"/>
    </row>
    <row r="436" spans="1:54" thickBot="1">
      <c r="A436" s="298"/>
      <c r="B436" s="298"/>
      <c r="C436" s="298"/>
      <c r="D436" s="298"/>
      <c r="E436" s="298"/>
      <c r="F436" s="282"/>
      <c r="G436" s="298"/>
      <c r="H436" s="298"/>
      <c r="I436" s="282"/>
      <c r="J436" s="298"/>
      <c r="K436" s="566"/>
      <c r="L436" s="282"/>
      <c r="M436" s="282"/>
      <c r="N436" s="298"/>
      <c r="O436" s="282"/>
      <c r="P436" s="282"/>
      <c r="Q436" s="298"/>
      <c r="R436" s="282"/>
      <c r="S436" s="282"/>
      <c r="T436" s="298"/>
      <c r="U436" s="282"/>
      <c r="V436" s="298"/>
      <c r="W436" s="298"/>
      <c r="X436" s="297"/>
      <c r="Y436" s="297"/>
      <c r="Z436" s="297"/>
      <c r="AA436" s="297"/>
      <c r="AB436" s="297"/>
      <c r="AC436" s="297"/>
      <c r="AD436" s="297"/>
      <c r="AE436" s="297"/>
      <c r="AF436" s="297"/>
      <c r="AG436" s="297"/>
      <c r="AH436" s="297"/>
      <c r="AI436" s="297"/>
      <c r="AJ436" s="297"/>
      <c r="AK436" s="297"/>
      <c r="AL436" s="297"/>
      <c r="AM436" s="297"/>
      <c r="AN436" s="297"/>
      <c r="AO436" s="297"/>
      <c r="AP436" s="297"/>
      <c r="AQ436" s="297"/>
      <c r="AR436" s="297"/>
      <c r="AS436" s="297"/>
      <c r="AT436" s="297"/>
      <c r="AU436" s="297"/>
      <c r="AV436" s="297"/>
      <c r="AW436" s="297"/>
      <c r="AX436" s="297"/>
      <c r="AY436" s="297"/>
      <c r="AZ436" s="297"/>
      <c r="BA436" s="297"/>
      <c r="BB436" s="297"/>
    </row>
    <row r="437" spans="1:54" thickBot="1">
      <c r="A437" s="298"/>
      <c r="B437" s="298"/>
      <c r="C437" s="298"/>
      <c r="D437" s="298"/>
      <c r="E437" s="298"/>
      <c r="F437" s="282"/>
      <c r="G437" s="298"/>
      <c r="H437" s="298"/>
      <c r="I437" s="282"/>
      <c r="J437" s="298"/>
      <c r="K437" s="566"/>
      <c r="L437" s="282"/>
      <c r="M437" s="282"/>
      <c r="N437" s="298"/>
      <c r="O437" s="282"/>
      <c r="P437" s="282"/>
      <c r="Q437" s="298"/>
      <c r="R437" s="282"/>
      <c r="S437" s="282"/>
      <c r="T437" s="298"/>
      <c r="U437" s="282"/>
      <c r="V437" s="298"/>
      <c r="W437" s="298"/>
      <c r="X437" s="297"/>
      <c r="Y437" s="297"/>
      <c r="Z437" s="297"/>
      <c r="AA437" s="297"/>
      <c r="AB437" s="297"/>
      <c r="AC437" s="297"/>
      <c r="AD437" s="297"/>
      <c r="AE437" s="297"/>
      <c r="AF437" s="297"/>
      <c r="AG437" s="297"/>
      <c r="AH437" s="297"/>
      <c r="AI437" s="297"/>
      <c r="AJ437" s="297"/>
      <c r="AK437" s="297"/>
      <c r="AL437" s="297"/>
      <c r="AM437" s="297"/>
      <c r="AN437" s="297"/>
      <c r="AO437" s="297"/>
      <c r="AP437" s="297"/>
      <c r="AQ437" s="297"/>
      <c r="AR437" s="297"/>
      <c r="AS437" s="297"/>
      <c r="AT437" s="297"/>
      <c r="AU437" s="297"/>
      <c r="AV437" s="297"/>
      <c r="AW437" s="297"/>
      <c r="AX437" s="297"/>
      <c r="AY437" s="297"/>
      <c r="AZ437" s="297"/>
      <c r="BA437" s="297"/>
      <c r="BB437" s="297"/>
    </row>
    <row r="438" spans="1:54" thickBot="1">
      <c r="A438" s="298"/>
      <c r="B438" s="298"/>
      <c r="C438" s="298"/>
      <c r="D438" s="298"/>
      <c r="E438" s="298"/>
      <c r="F438" s="282"/>
      <c r="G438" s="298"/>
      <c r="H438" s="298"/>
      <c r="I438" s="282"/>
      <c r="J438" s="298"/>
      <c r="K438" s="566"/>
      <c r="L438" s="282"/>
      <c r="M438" s="282"/>
      <c r="N438" s="298"/>
      <c r="O438" s="282"/>
      <c r="P438" s="282"/>
      <c r="Q438" s="298"/>
      <c r="R438" s="282"/>
      <c r="S438" s="282"/>
      <c r="T438" s="298"/>
      <c r="U438" s="282"/>
      <c r="V438" s="298"/>
      <c r="W438" s="298"/>
      <c r="X438" s="297"/>
      <c r="Y438" s="297"/>
      <c r="Z438" s="297"/>
      <c r="AA438" s="297"/>
      <c r="AB438" s="297"/>
      <c r="AC438" s="297"/>
      <c r="AD438" s="297"/>
      <c r="AE438" s="297"/>
      <c r="AF438" s="297"/>
      <c r="AG438" s="297"/>
      <c r="AH438" s="297"/>
      <c r="AI438" s="297"/>
      <c r="AJ438" s="297"/>
      <c r="AK438" s="297"/>
      <c r="AL438" s="297"/>
      <c r="AM438" s="297"/>
      <c r="AN438" s="297"/>
      <c r="AO438" s="297"/>
      <c r="AP438" s="297"/>
      <c r="AQ438" s="297"/>
      <c r="AR438" s="297"/>
      <c r="AS438" s="297"/>
      <c r="AT438" s="297"/>
      <c r="AU438" s="297"/>
      <c r="AV438" s="297"/>
      <c r="AW438" s="297"/>
      <c r="AX438" s="297"/>
      <c r="AY438" s="297"/>
      <c r="AZ438" s="297"/>
      <c r="BA438" s="297"/>
      <c r="BB438" s="297"/>
    </row>
    <row r="439" spans="1:54" thickBot="1">
      <c r="A439" s="298"/>
      <c r="B439" s="298"/>
      <c r="C439" s="298"/>
      <c r="D439" s="298"/>
      <c r="E439" s="298"/>
      <c r="F439" s="282"/>
      <c r="G439" s="298"/>
      <c r="H439" s="298"/>
      <c r="I439" s="282"/>
      <c r="J439" s="298"/>
      <c r="K439" s="566"/>
      <c r="L439" s="282"/>
      <c r="M439" s="282"/>
      <c r="N439" s="298"/>
      <c r="O439" s="282"/>
      <c r="P439" s="282"/>
      <c r="Q439" s="298"/>
      <c r="R439" s="282"/>
      <c r="S439" s="282"/>
      <c r="T439" s="298"/>
      <c r="U439" s="282"/>
      <c r="V439" s="298"/>
      <c r="W439" s="298"/>
      <c r="X439" s="297"/>
      <c r="Y439" s="297"/>
      <c r="Z439" s="297"/>
      <c r="AA439" s="297"/>
      <c r="AB439" s="297"/>
      <c r="AC439" s="297"/>
      <c r="AD439" s="297"/>
      <c r="AE439" s="297"/>
      <c r="AF439" s="297"/>
      <c r="AG439" s="297"/>
      <c r="AH439" s="297"/>
      <c r="AI439" s="297"/>
      <c r="AJ439" s="297"/>
      <c r="AK439" s="297"/>
      <c r="AL439" s="297"/>
      <c r="AM439" s="297"/>
      <c r="AN439" s="297"/>
      <c r="AO439" s="297"/>
      <c r="AP439" s="297"/>
      <c r="AQ439" s="297"/>
      <c r="AR439" s="297"/>
      <c r="AS439" s="297"/>
      <c r="AT439" s="297"/>
      <c r="AU439" s="297"/>
      <c r="AV439" s="297"/>
      <c r="AW439" s="297"/>
      <c r="AX439" s="297"/>
      <c r="AY439" s="297"/>
      <c r="AZ439" s="297"/>
      <c r="BA439" s="297"/>
      <c r="BB439" s="297"/>
    </row>
    <row r="440" spans="1:54" thickBot="1">
      <c r="A440" s="298"/>
      <c r="B440" s="298"/>
      <c r="C440" s="298"/>
      <c r="D440" s="298"/>
      <c r="E440" s="298"/>
      <c r="F440" s="282"/>
      <c r="G440" s="298"/>
      <c r="H440" s="298"/>
      <c r="I440" s="282"/>
      <c r="J440" s="298"/>
      <c r="K440" s="566"/>
      <c r="L440" s="282"/>
      <c r="M440" s="282"/>
      <c r="N440" s="298"/>
      <c r="O440" s="282"/>
      <c r="P440" s="282"/>
      <c r="Q440" s="298"/>
      <c r="R440" s="282"/>
      <c r="S440" s="282"/>
      <c r="T440" s="298"/>
      <c r="U440" s="282"/>
      <c r="V440" s="298"/>
      <c r="W440" s="298"/>
      <c r="X440" s="297"/>
      <c r="Y440" s="297"/>
      <c r="Z440" s="297"/>
      <c r="AA440" s="297"/>
      <c r="AB440" s="297"/>
      <c r="AC440" s="297"/>
      <c r="AD440" s="297"/>
      <c r="AE440" s="297"/>
      <c r="AF440" s="297"/>
      <c r="AG440" s="297"/>
      <c r="AH440" s="297"/>
      <c r="AI440" s="297"/>
      <c r="AJ440" s="297"/>
      <c r="AK440" s="297"/>
      <c r="AL440" s="297"/>
      <c r="AM440" s="297"/>
      <c r="AN440" s="297"/>
      <c r="AO440" s="297"/>
      <c r="AP440" s="297"/>
      <c r="AQ440" s="297"/>
      <c r="AR440" s="297"/>
      <c r="AS440" s="297"/>
      <c r="AT440" s="297"/>
      <c r="AU440" s="297"/>
      <c r="AV440" s="297"/>
      <c r="AW440" s="297"/>
      <c r="AX440" s="297"/>
      <c r="AY440" s="297"/>
      <c r="AZ440" s="297"/>
      <c r="BA440" s="297"/>
      <c r="BB440" s="297"/>
    </row>
    <row r="441" spans="1:54" thickBot="1">
      <c r="A441" s="298"/>
      <c r="B441" s="298"/>
      <c r="C441" s="298"/>
      <c r="D441" s="298"/>
      <c r="E441" s="298"/>
      <c r="F441" s="282"/>
      <c r="G441" s="298"/>
      <c r="H441" s="298"/>
      <c r="I441" s="282"/>
      <c r="J441" s="298"/>
      <c r="K441" s="566"/>
      <c r="L441" s="282"/>
      <c r="M441" s="282"/>
      <c r="N441" s="298"/>
      <c r="O441" s="282"/>
      <c r="P441" s="282"/>
      <c r="Q441" s="298"/>
      <c r="R441" s="282"/>
      <c r="S441" s="282"/>
      <c r="T441" s="298"/>
      <c r="U441" s="282"/>
      <c r="V441" s="298"/>
      <c r="W441" s="298"/>
      <c r="X441" s="297"/>
      <c r="Y441" s="297"/>
      <c r="Z441" s="297"/>
      <c r="AA441" s="297"/>
      <c r="AB441" s="297"/>
      <c r="AC441" s="297"/>
      <c r="AD441" s="297"/>
      <c r="AE441" s="297"/>
      <c r="AF441" s="297"/>
      <c r="AG441" s="297"/>
      <c r="AH441" s="297"/>
      <c r="AI441" s="297"/>
      <c r="AJ441" s="297"/>
      <c r="AK441" s="297"/>
      <c r="AL441" s="297"/>
      <c r="AM441" s="297"/>
      <c r="AN441" s="297"/>
      <c r="AO441" s="297"/>
      <c r="AP441" s="297"/>
      <c r="AQ441" s="297"/>
      <c r="AR441" s="297"/>
      <c r="AS441" s="297"/>
      <c r="AT441" s="297"/>
      <c r="AU441" s="297"/>
      <c r="AV441" s="297"/>
      <c r="AW441" s="297"/>
      <c r="AX441" s="297"/>
      <c r="AY441" s="297"/>
      <c r="AZ441" s="297"/>
      <c r="BA441" s="297"/>
      <c r="BB441" s="297"/>
    </row>
    <row r="442" spans="1:54" thickBot="1">
      <c r="A442" s="298"/>
      <c r="B442" s="298"/>
      <c r="C442" s="298"/>
      <c r="D442" s="298"/>
      <c r="E442" s="298"/>
      <c r="F442" s="282"/>
      <c r="G442" s="298"/>
      <c r="H442" s="298"/>
      <c r="I442" s="282"/>
      <c r="J442" s="298"/>
      <c r="K442" s="566"/>
      <c r="L442" s="282"/>
      <c r="M442" s="282"/>
      <c r="N442" s="298"/>
      <c r="O442" s="282"/>
      <c r="P442" s="282"/>
      <c r="Q442" s="298"/>
      <c r="R442" s="282"/>
      <c r="S442" s="282"/>
      <c r="T442" s="298"/>
      <c r="U442" s="282"/>
      <c r="V442" s="298"/>
      <c r="W442" s="298"/>
      <c r="X442" s="297"/>
      <c r="Y442" s="297"/>
      <c r="Z442" s="297"/>
      <c r="AA442" s="297"/>
      <c r="AB442" s="297"/>
      <c r="AC442" s="297"/>
      <c r="AD442" s="297"/>
      <c r="AE442" s="297"/>
      <c r="AF442" s="297"/>
      <c r="AG442" s="297"/>
      <c r="AH442" s="297"/>
      <c r="AI442" s="297"/>
      <c r="AJ442" s="297"/>
      <c r="AK442" s="297"/>
      <c r="AL442" s="297"/>
      <c r="AM442" s="297"/>
      <c r="AN442" s="297"/>
      <c r="AO442" s="297"/>
      <c r="AP442" s="297"/>
      <c r="AQ442" s="297"/>
      <c r="AR442" s="297"/>
      <c r="AS442" s="297"/>
      <c r="AT442" s="297"/>
      <c r="AU442" s="297"/>
      <c r="AV442" s="297"/>
      <c r="AW442" s="297"/>
      <c r="AX442" s="297"/>
      <c r="AY442" s="297"/>
      <c r="AZ442" s="297"/>
      <c r="BA442" s="297"/>
      <c r="BB442" s="297"/>
    </row>
    <row r="443" spans="1:54" thickBot="1">
      <c r="A443" s="298"/>
      <c r="B443" s="298"/>
      <c r="C443" s="298"/>
      <c r="D443" s="298"/>
      <c r="E443" s="298"/>
      <c r="F443" s="282"/>
      <c r="G443" s="298"/>
      <c r="H443" s="298"/>
      <c r="I443" s="282"/>
      <c r="J443" s="298"/>
      <c r="K443" s="566"/>
      <c r="L443" s="282"/>
      <c r="M443" s="282"/>
      <c r="N443" s="298"/>
      <c r="O443" s="282"/>
      <c r="P443" s="282"/>
      <c r="Q443" s="298"/>
      <c r="R443" s="282"/>
      <c r="S443" s="282"/>
      <c r="T443" s="298"/>
      <c r="U443" s="282"/>
      <c r="V443" s="298"/>
      <c r="W443" s="298"/>
      <c r="X443" s="297"/>
      <c r="Y443" s="297"/>
      <c r="Z443" s="297"/>
      <c r="AA443" s="297"/>
      <c r="AB443" s="297"/>
      <c r="AC443" s="297"/>
      <c r="AD443" s="297"/>
      <c r="AE443" s="297"/>
      <c r="AF443" s="297"/>
      <c r="AG443" s="297"/>
      <c r="AH443" s="297"/>
      <c r="AI443" s="297"/>
      <c r="AJ443" s="297"/>
      <c r="AK443" s="297"/>
      <c r="AL443" s="297"/>
      <c r="AM443" s="297"/>
      <c r="AN443" s="297"/>
      <c r="AO443" s="297"/>
      <c r="AP443" s="297"/>
      <c r="AQ443" s="297"/>
      <c r="AR443" s="297"/>
      <c r="AS443" s="297"/>
      <c r="AT443" s="297"/>
      <c r="AU443" s="297"/>
      <c r="AV443" s="297"/>
      <c r="AW443" s="297"/>
      <c r="AX443" s="297"/>
      <c r="AY443" s="297"/>
      <c r="AZ443" s="297"/>
      <c r="BA443" s="297"/>
      <c r="BB443" s="297"/>
    </row>
    <row r="444" spans="1:54" thickBot="1">
      <c r="A444" s="298"/>
      <c r="B444" s="298"/>
      <c r="C444" s="298"/>
      <c r="D444" s="298"/>
      <c r="E444" s="298"/>
      <c r="F444" s="282"/>
      <c r="G444" s="298"/>
      <c r="H444" s="298"/>
      <c r="I444" s="282"/>
      <c r="J444" s="298"/>
      <c r="K444" s="566"/>
      <c r="L444" s="282"/>
      <c r="M444" s="282"/>
      <c r="N444" s="298"/>
      <c r="O444" s="282"/>
      <c r="P444" s="282"/>
      <c r="Q444" s="298"/>
      <c r="R444" s="282"/>
      <c r="S444" s="282"/>
      <c r="T444" s="298"/>
      <c r="U444" s="282"/>
      <c r="V444" s="298"/>
      <c r="W444" s="298"/>
      <c r="X444" s="297"/>
      <c r="Y444" s="297"/>
      <c r="Z444" s="297"/>
      <c r="AA444" s="297"/>
      <c r="AB444" s="297"/>
      <c r="AC444" s="297"/>
      <c r="AD444" s="297"/>
      <c r="AE444" s="297"/>
      <c r="AF444" s="297"/>
      <c r="AG444" s="297"/>
      <c r="AH444" s="297"/>
      <c r="AI444" s="297"/>
      <c r="AJ444" s="297"/>
      <c r="AK444" s="297"/>
      <c r="AL444" s="297"/>
      <c r="AM444" s="297"/>
      <c r="AN444" s="297"/>
      <c r="AO444" s="297"/>
      <c r="AP444" s="297"/>
      <c r="AQ444" s="297"/>
      <c r="AR444" s="297"/>
      <c r="AS444" s="297"/>
      <c r="AT444" s="297"/>
      <c r="AU444" s="297"/>
      <c r="AV444" s="297"/>
      <c r="AW444" s="297"/>
      <c r="AX444" s="297"/>
      <c r="AY444" s="297"/>
      <c r="AZ444" s="297"/>
      <c r="BA444" s="297"/>
      <c r="BB444" s="297"/>
    </row>
    <row r="445" spans="1:54" thickBot="1">
      <c r="A445" s="298"/>
      <c r="B445" s="298"/>
      <c r="C445" s="298"/>
      <c r="D445" s="298"/>
      <c r="E445" s="298"/>
      <c r="F445" s="282"/>
      <c r="G445" s="298"/>
      <c r="H445" s="298"/>
      <c r="I445" s="282"/>
      <c r="J445" s="298"/>
      <c r="K445" s="566"/>
      <c r="L445" s="282"/>
      <c r="M445" s="282"/>
      <c r="N445" s="298"/>
      <c r="O445" s="282"/>
      <c r="P445" s="282"/>
      <c r="Q445" s="298"/>
      <c r="R445" s="282"/>
      <c r="S445" s="282"/>
      <c r="T445" s="298"/>
      <c r="U445" s="282"/>
      <c r="V445" s="298"/>
      <c r="W445" s="298"/>
      <c r="X445" s="297"/>
      <c r="Y445" s="297"/>
      <c r="Z445" s="297"/>
      <c r="AA445" s="297"/>
      <c r="AB445" s="297"/>
      <c r="AC445" s="297"/>
      <c r="AD445" s="297"/>
      <c r="AE445" s="297"/>
      <c r="AF445" s="297"/>
      <c r="AG445" s="297"/>
      <c r="AH445" s="297"/>
      <c r="AI445" s="297"/>
      <c r="AJ445" s="297"/>
      <c r="AK445" s="297"/>
      <c r="AL445" s="297"/>
      <c r="AM445" s="297"/>
      <c r="AN445" s="297"/>
      <c r="AO445" s="297"/>
      <c r="AP445" s="297"/>
      <c r="AQ445" s="297"/>
      <c r="AR445" s="297"/>
      <c r="AS445" s="297"/>
      <c r="AT445" s="297"/>
      <c r="AU445" s="297"/>
      <c r="AV445" s="297"/>
      <c r="AW445" s="297"/>
      <c r="AX445" s="297"/>
      <c r="AY445" s="297"/>
      <c r="AZ445" s="297"/>
      <c r="BA445" s="297"/>
      <c r="BB445" s="297"/>
    </row>
    <row r="446" spans="1:54" thickBot="1">
      <c r="A446" s="298"/>
      <c r="B446" s="298"/>
      <c r="C446" s="298"/>
      <c r="D446" s="298"/>
      <c r="E446" s="298"/>
      <c r="F446" s="282"/>
      <c r="G446" s="298"/>
      <c r="H446" s="298"/>
      <c r="I446" s="282"/>
      <c r="J446" s="298"/>
      <c r="K446" s="566"/>
      <c r="L446" s="282"/>
      <c r="M446" s="282"/>
      <c r="N446" s="298"/>
      <c r="O446" s="282"/>
      <c r="P446" s="282"/>
      <c r="Q446" s="298"/>
      <c r="R446" s="282"/>
      <c r="S446" s="282"/>
      <c r="T446" s="298"/>
      <c r="U446" s="282"/>
      <c r="V446" s="298"/>
      <c r="W446" s="298"/>
      <c r="X446" s="297"/>
      <c r="Y446" s="297"/>
      <c r="Z446" s="297"/>
      <c r="AA446" s="297"/>
      <c r="AB446" s="297"/>
      <c r="AC446" s="297"/>
      <c r="AD446" s="297"/>
      <c r="AE446" s="297"/>
      <c r="AF446" s="297"/>
      <c r="AG446" s="297"/>
      <c r="AH446" s="297"/>
      <c r="AI446" s="297"/>
      <c r="AJ446" s="297"/>
      <c r="AK446" s="297"/>
      <c r="AL446" s="297"/>
      <c r="AM446" s="297"/>
      <c r="AN446" s="297"/>
      <c r="AO446" s="297"/>
      <c r="AP446" s="297"/>
      <c r="AQ446" s="297"/>
      <c r="AR446" s="297"/>
      <c r="AS446" s="297"/>
      <c r="AT446" s="297"/>
      <c r="AU446" s="297"/>
      <c r="AV446" s="297"/>
      <c r="AW446" s="297"/>
      <c r="AX446" s="297"/>
      <c r="AY446" s="297"/>
      <c r="AZ446" s="297"/>
      <c r="BA446" s="297"/>
      <c r="BB446" s="297"/>
    </row>
    <row r="447" spans="1:54" thickBot="1">
      <c r="A447" s="298"/>
      <c r="B447" s="298"/>
      <c r="C447" s="298"/>
      <c r="D447" s="298"/>
      <c r="E447" s="298"/>
      <c r="F447" s="282"/>
      <c r="G447" s="298"/>
      <c r="H447" s="298"/>
      <c r="I447" s="282"/>
      <c r="J447" s="298"/>
      <c r="K447" s="566"/>
      <c r="L447" s="282"/>
      <c r="M447" s="282"/>
      <c r="N447" s="298"/>
      <c r="O447" s="282"/>
      <c r="P447" s="282"/>
      <c r="Q447" s="298"/>
      <c r="R447" s="282"/>
      <c r="S447" s="282"/>
      <c r="T447" s="298"/>
      <c r="U447" s="282"/>
      <c r="V447" s="298"/>
      <c r="W447" s="298"/>
      <c r="X447" s="297"/>
      <c r="Y447" s="297"/>
      <c r="Z447" s="297"/>
      <c r="AA447" s="297"/>
      <c r="AB447" s="297"/>
      <c r="AC447" s="297"/>
      <c r="AD447" s="297"/>
      <c r="AE447" s="297"/>
      <c r="AF447" s="297"/>
      <c r="AG447" s="297"/>
      <c r="AH447" s="297"/>
      <c r="AI447" s="297"/>
      <c r="AJ447" s="297"/>
      <c r="AK447" s="297"/>
      <c r="AL447" s="297"/>
      <c r="AM447" s="297"/>
      <c r="AN447" s="297"/>
      <c r="AO447" s="297"/>
      <c r="AP447" s="297"/>
      <c r="AQ447" s="297"/>
      <c r="AR447" s="297"/>
      <c r="AS447" s="297"/>
      <c r="AT447" s="297"/>
      <c r="AU447" s="297"/>
      <c r="AV447" s="297"/>
      <c r="AW447" s="297"/>
      <c r="AX447" s="297"/>
      <c r="AY447" s="297"/>
      <c r="AZ447" s="297"/>
      <c r="BA447" s="297"/>
      <c r="BB447" s="297"/>
    </row>
    <row r="448" spans="1:54" thickBot="1">
      <c r="A448" s="298"/>
      <c r="B448" s="298"/>
      <c r="C448" s="298"/>
      <c r="D448" s="298"/>
      <c r="E448" s="298"/>
      <c r="F448" s="282"/>
      <c r="G448" s="298"/>
      <c r="H448" s="298"/>
      <c r="I448" s="282"/>
      <c r="J448" s="298"/>
      <c r="K448" s="566"/>
      <c r="L448" s="282"/>
      <c r="M448" s="282"/>
      <c r="N448" s="298"/>
      <c r="O448" s="282"/>
      <c r="P448" s="282"/>
      <c r="Q448" s="298"/>
      <c r="R448" s="282"/>
      <c r="S448" s="282"/>
      <c r="T448" s="298"/>
      <c r="U448" s="282"/>
      <c r="V448" s="298"/>
      <c r="W448" s="298"/>
      <c r="X448" s="297"/>
      <c r="Y448" s="297"/>
      <c r="Z448" s="297"/>
      <c r="AA448" s="297"/>
      <c r="AB448" s="297"/>
      <c r="AC448" s="297"/>
      <c r="AD448" s="297"/>
      <c r="AE448" s="297"/>
      <c r="AF448" s="297"/>
      <c r="AG448" s="297"/>
      <c r="AH448" s="297"/>
      <c r="AI448" s="297"/>
      <c r="AJ448" s="297"/>
      <c r="AK448" s="297"/>
      <c r="AL448" s="297"/>
      <c r="AM448" s="297"/>
      <c r="AN448" s="297"/>
      <c r="AO448" s="297"/>
      <c r="AP448" s="297"/>
      <c r="AQ448" s="297"/>
      <c r="AR448" s="297"/>
      <c r="AS448" s="297"/>
      <c r="AT448" s="297"/>
      <c r="AU448" s="297"/>
      <c r="AV448" s="297"/>
      <c r="AW448" s="297"/>
      <c r="AX448" s="297"/>
      <c r="AY448" s="297"/>
      <c r="AZ448" s="297"/>
      <c r="BA448" s="297"/>
      <c r="BB448" s="297"/>
    </row>
    <row r="449" spans="1:54" thickBot="1">
      <c r="A449" s="298"/>
      <c r="B449" s="298"/>
      <c r="C449" s="298"/>
      <c r="D449" s="298"/>
      <c r="E449" s="298"/>
      <c r="F449" s="282"/>
      <c r="G449" s="298"/>
      <c r="H449" s="298"/>
      <c r="I449" s="282"/>
      <c r="J449" s="298"/>
      <c r="K449" s="566"/>
      <c r="L449" s="282"/>
      <c r="M449" s="282"/>
      <c r="N449" s="298"/>
      <c r="O449" s="282"/>
      <c r="P449" s="282"/>
      <c r="Q449" s="298"/>
      <c r="R449" s="282"/>
      <c r="S449" s="282"/>
      <c r="T449" s="298"/>
      <c r="U449" s="282"/>
      <c r="V449" s="298"/>
      <c r="W449" s="298"/>
      <c r="X449" s="297"/>
      <c r="Y449" s="297"/>
      <c r="Z449" s="297"/>
      <c r="AA449" s="297"/>
      <c r="AB449" s="297"/>
      <c r="AC449" s="297"/>
      <c r="AD449" s="297"/>
      <c r="AE449" s="297"/>
      <c r="AF449" s="297"/>
      <c r="AG449" s="297"/>
      <c r="AH449" s="297"/>
      <c r="AI449" s="297"/>
      <c r="AJ449" s="297"/>
      <c r="AK449" s="297"/>
      <c r="AL449" s="297"/>
      <c r="AM449" s="297"/>
      <c r="AN449" s="297"/>
      <c r="AO449" s="297"/>
      <c r="AP449" s="297"/>
      <c r="AQ449" s="297"/>
      <c r="AR449" s="297"/>
      <c r="AS449" s="297"/>
      <c r="AT449" s="297"/>
      <c r="AU449" s="297"/>
      <c r="AV449" s="297"/>
      <c r="AW449" s="297"/>
      <c r="AX449" s="297"/>
      <c r="AY449" s="297"/>
      <c r="AZ449" s="297"/>
      <c r="BA449" s="297"/>
      <c r="BB449" s="297"/>
    </row>
    <row r="450" spans="1:54" thickBot="1">
      <c r="A450" s="298"/>
      <c r="B450" s="298"/>
      <c r="C450" s="298"/>
      <c r="D450" s="298"/>
      <c r="E450" s="298"/>
      <c r="F450" s="282"/>
      <c r="G450" s="298"/>
      <c r="H450" s="298"/>
      <c r="I450" s="282"/>
      <c r="J450" s="298"/>
      <c r="K450" s="566"/>
      <c r="L450" s="282"/>
      <c r="M450" s="282"/>
      <c r="N450" s="298"/>
      <c r="O450" s="282"/>
      <c r="P450" s="282"/>
      <c r="Q450" s="298"/>
      <c r="R450" s="282"/>
      <c r="S450" s="282"/>
      <c r="T450" s="298"/>
      <c r="U450" s="282"/>
      <c r="V450" s="298"/>
      <c r="W450" s="298"/>
      <c r="X450" s="297"/>
      <c r="Y450" s="297"/>
      <c r="Z450" s="297"/>
      <c r="AA450" s="297"/>
      <c r="AB450" s="297"/>
      <c r="AC450" s="297"/>
      <c r="AD450" s="297"/>
      <c r="AE450" s="297"/>
      <c r="AF450" s="297"/>
      <c r="AG450" s="297"/>
      <c r="AH450" s="297"/>
      <c r="AI450" s="297"/>
      <c r="AJ450" s="297"/>
      <c r="AK450" s="297"/>
      <c r="AL450" s="297"/>
      <c r="AM450" s="297"/>
      <c r="AN450" s="297"/>
      <c r="AO450" s="297"/>
      <c r="AP450" s="297"/>
      <c r="AQ450" s="297"/>
      <c r="AR450" s="297"/>
      <c r="AS450" s="297"/>
      <c r="AT450" s="297"/>
      <c r="AU450" s="297"/>
      <c r="AV450" s="297"/>
      <c r="AW450" s="297"/>
      <c r="AX450" s="297"/>
      <c r="AY450" s="297"/>
      <c r="AZ450" s="297"/>
      <c r="BA450" s="297"/>
      <c r="BB450" s="297"/>
    </row>
    <row r="451" spans="1:54" thickBot="1">
      <c r="A451" s="298"/>
      <c r="B451" s="298"/>
      <c r="C451" s="298"/>
      <c r="D451" s="298"/>
      <c r="E451" s="298"/>
      <c r="F451" s="282"/>
      <c r="G451" s="298"/>
      <c r="H451" s="298"/>
      <c r="I451" s="282"/>
      <c r="J451" s="298"/>
      <c r="K451" s="566"/>
      <c r="L451" s="282"/>
      <c r="M451" s="282"/>
      <c r="N451" s="298"/>
      <c r="O451" s="282"/>
      <c r="P451" s="282"/>
      <c r="Q451" s="298"/>
      <c r="R451" s="282"/>
      <c r="S451" s="282"/>
      <c r="T451" s="298"/>
      <c r="U451" s="282"/>
      <c r="V451" s="298"/>
      <c r="W451" s="298"/>
      <c r="X451" s="297"/>
      <c r="Y451" s="297"/>
      <c r="Z451" s="297"/>
      <c r="AA451" s="297"/>
      <c r="AB451" s="297"/>
      <c r="AC451" s="297"/>
      <c r="AD451" s="297"/>
      <c r="AE451" s="297"/>
      <c r="AF451" s="297"/>
      <c r="AG451" s="297"/>
      <c r="AH451" s="297"/>
      <c r="AI451" s="297"/>
      <c r="AJ451" s="297"/>
      <c r="AK451" s="297"/>
      <c r="AL451" s="297"/>
      <c r="AM451" s="297"/>
      <c r="AN451" s="297"/>
      <c r="AO451" s="297"/>
      <c r="AP451" s="297"/>
      <c r="AQ451" s="297"/>
      <c r="AR451" s="297"/>
      <c r="AS451" s="297"/>
      <c r="AT451" s="297"/>
      <c r="AU451" s="297"/>
      <c r="AV451" s="297"/>
      <c r="AW451" s="297"/>
      <c r="AX451" s="297"/>
      <c r="AY451" s="297"/>
      <c r="AZ451" s="297"/>
      <c r="BA451" s="297"/>
      <c r="BB451" s="297"/>
    </row>
    <row r="452" spans="1:54" thickBot="1">
      <c r="A452" s="298"/>
      <c r="B452" s="298"/>
      <c r="C452" s="298"/>
      <c r="D452" s="298"/>
      <c r="E452" s="298"/>
      <c r="F452" s="282"/>
      <c r="G452" s="298"/>
      <c r="H452" s="298"/>
      <c r="I452" s="282"/>
      <c r="J452" s="298"/>
      <c r="K452" s="566"/>
      <c r="L452" s="282"/>
      <c r="M452" s="282"/>
      <c r="N452" s="298"/>
      <c r="O452" s="282"/>
      <c r="P452" s="282"/>
      <c r="Q452" s="298"/>
      <c r="R452" s="282"/>
      <c r="S452" s="282"/>
      <c r="T452" s="298"/>
      <c r="U452" s="282"/>
      <c r="V452" s="298"/>
      <c r="W452" s="298"/>
      <c r="X452" s="297"/>
      <c r="Y452" s="297"/>
      <c r="Z452" s="297"/>
      <c r="AA452" s="297"/>
      <c r="AB452" s="297"/>
      <c r="AC452" s="297"/>
      <c r="AD452" s="297"/>
      <c r="AE452" s="297"/>
      <c r="AF452" s="297"/>
      <c r="AG452" s="297"/>
      <c r="AH452" s="297"/>
      <c r="AI452" s="297"/>
      <c r="AJ452" s="297"/>
      <c r="AK452" s="297"/>
      <c r="AL452" s="297"/>
      <c r="AM452" s="297"/>
      <c r="AN452" s="297"/>
      <c r="AO452" s="297"/>
      <c r="AP452" s="297"/>
      <c r="AQ452" s="297"/>
      <c r="AR452" s="297"/>
      <c r="AS452" s="297"/>
      <c r="AT452" s="297"/>
      <c r="AU452" s="297"/>
      <c r="AV452" s="297"/>
      <c r="AW452" s="297"/>
      <c r="AX452" s="297"/>
      <c r="AY452" s="297"/>
      <c r="AZ452" s="297"/>
      <c r="BA452" s="297"/>
      <c r="BB452" s="297"/>
    </row>
    <row r="453" spans="1:54" thickBot="1">
      <c r="A453" s="298"/>
      <c r="B453" s="298"/>
      <c r="C453" s="298"/>
      <c r="D453" s="298"/>
      <c r="E453" s="298"/>
      <c r="F453" s="282"/>
      <c r="G453" s="298"/>
      <c r="H453" s="298"/>
      <c r="I453" s="282"/>
      <c r="J453" s="298"/>
      <c r="K453" s="566"/>
      <c r="L453" s="282"/>
      <c r="M453" s="282"/>
      <c r="N453" s="298"/>
      <c r="O453" s="282"/>
      <c r="P453" s="282"/>
      <c r="Q453" s="298"/>
      <c r="R453" s="282"/>
      <c r="S453" s="282"/>
      <c r="T453" s="298"/>
      <c r="U453" s="282"/>
      <c r="V453" s="298"/>
      <c r="W453" s="298"/>
      <c r="X453" s="297"/>
      <c r="Y453" s="297"/>
      <c r="Z453" s="297"/>
      <c r="AA453" s="297"/>
      <c r="AB453" s="297"/>
      <c r="AC453" s="297"/>
      <c r="AD453" s="297"/>
      <c r="AE453" s="297"/>
      <c r="AF453" s="297"/>
      <c r="AG453" s="297"/>
      <c r="AH453" s="297"/>
      <c r="AI453" s="297"/>
      <c r="AJ453" s="297"/>
      <c r="AK453" s="297"/>
      <c r="AL453" s="297"/>
      <c r="AM453" s="297"/>
      <c r="AN453" s="297"/>
      <c r="AO453" s="297"/>
      <c r="AP453" s="297"/>
      <c r="AQ453" s="297"/>
      <c r="AR453" s="297"/>
      <c r="AS453" s="297"/>
      <c r="AT453" s="297"/>
      <c r="AU453" s="297"/>
      <c r="AV453" s="297"/>
      <c r="AW453" s="297"/>
      <c r="AX453" s="297"/>
      <c r="AY453" s="297"/>
      <c r="AZ453" s="297"/>
      <c r="BA453" s="297"/>
      <c r="BB453" s="297"/>
    </row>
    <row r="454" spans="1:54" thickBot="1">
      <c r="A454" s="298"/>
      <c r="B454" s="298"/>
      <c r="C454" s="298"/>
      <c r="D454" s="298"/>
      <c r="E454" s="298"/>
      <c r="F454" s="282"/>
      <c r="G454" s="298"/>
      <c r="H454" s="298"/>
      <c r="I454" s="282"/>
      <c r="J454" s="298"/>
      <c r="K454" s="566"/>
      <c r="L454" s="282"/>
      <c r="M454" s="282"/>
      <c r="N454" s="298"/>
      <c r="O454" s="282"/>
      <c r="P454" s="282"/>
      <c r="Q454" s="298"/>
      <c r="R454" s="282"/>
      <c r="S454" s="282"/>
      <c r="T454" s="298"/>
      <c r="U454" s="282"/>
      <c r="V454" s="298"/>
      <c r="W454" s="298"/>
      <c r="X454" s="297"/>
      <c r="Y454" s="297"/>
      <c r="Z454" s="297"/>
      <c r="AA454" s="297"/>
      <c r="AB454" s="297"/>
      <c r="AC454" s="297"/>
      <c r="AD454" s="297"/>
      <c r="AE454" s="297"/>
      <c r="AF454" s="297"/>
      <c r="AG454" s="297"/>
      <c r="AH454" s="297"/>
      <c r="AI454" s="297"/>
      <c r="AJ454" s="297"/>
      <c r="AK454" s="297"/>
      <c r="AL454" s="297"/>
      <c r="AM454" s="297"/>
      <c r="AN454" s="297"/>
      <c r="AO454" s="297"/>
      <c r="AP454" s="297"/>
      <c r="AQ454" s="297"/>
      <c r="AR454" s="297"/>
      <c r="AS454" s="297"/>
      <c r="AT454" s="297"/>
      <c r="AU454" s="297"/>
      <c r="AV454" s="297"/>
      <c r="AW454" s="297"/>
      <c r="AX454" s="297"/>
      <c r="AY454" s="297"/>
      <c r="AZ454" s="297"/>
      <c r="BA454" s="297"/>
      <c r="BB454" s="297"/>
    </row>
    <row r="455" spans="1:54" thickBot="1">
      <c r="A455" s="298"/>
      <c r="B455" s="298"/>
      <c r="C455" s="298"/>
      <c r="D455" s="298"/>
      <c r="E455" s="298"/>
      <c r="F455" s="282"/>
      <c r="G455" s="298"/>
      <c r="H455" s="298"/>
      <c r="I455" s="282"/>
      <c r="J455" s="298"/>
      <c r="K455" s="566"/>
      <c r="L455" s="282"/>
      <c r="M455" s="282"/>
      <c r="N455" s="298"/>
      <c r="O455" s="282"/>
      <c r="P455" s="282"/>
      <c r="Q455" s="298"/>
      <c r="R455" s="282"/>
      <c r="S455" s="282"/>
      <c r="T455" s="298"/>
      <c r="U455" s="282"/>
      <c r="V455" s="298"/>
      <c r="W455" s="298"/>
      <c r="X455" s="297"/>
      <c r="Y455" s="297"/>
      <c r="Z455" s="297"/>
      <c r="AA455" s="297"/>
      <c r="AB455" s="297"/>
      <c r="AC455" s="297"/>
      <c r="AD455" s="297"/>
      <c r="AE455" s="297"/>
      <c r="AF455" s="297"/>
      <c r="AG455" s="297"/>
      <c r="AH455" s="297"/>
      <c r="AI455" s="297"/>
      <c r="AJ455" s="297"/>
      <c r="AK455" s="297"/>
      <c r="AL455" s="297"/>
      <c r="AM455" s="297"/>
      <c r="AN455" s="297"/>
      <c r="AO455" s="297"/>
      <c r="AP455" s="297"/>
      <c r="AQ455" s="297"/>
      <c r="AR455" s="297"/>
      <c r="AS455" s="297"/>
      <c r="AT455" s="297"/>
      <c r="AU455" s="297"/>
      <c r="AV455" s="297"/>
      <c r="AW455" s="297"/>
      <c r="AX455" s="297"/>
      <c r="AY455" s="297"/>
      <c r="AZ455" s="297"/>
      <c r="BA455" s="297"/>
      <c r="BB455" s="297"/>
    </row>
    <row r="456" spans="1:54" thickBot="1">
      <c r="A456" s="298"/>
      <c r="B456" s="298"/>
      <c r="C456" s="298"/>
      <c r="D456" s="298"/>
      <c r="E456" s="298"/>
      <c r="F456" s="282"/>
      <c r="G456" s="298"/>
      <c r="H456" s="298"/>
      <c r="I456" s="282"/>
      <c r="J456" s="298"/>
      <c r="K456" s="566"/>
      <c r="L456" s="282"/>
      <c r="M456" s="282"/>
      <c r="N456" s="298"/>
      <c r="O456" s="282"/>
      <c r="P456" s="282"/>
      <c r="Q456" s="298"/>
      <c r="R456" s="282"/>
      <c r="S456" s="282"/>
      <c r="T456" s="298"/>
      <c r="U456" s="282"/>
      <c r="V456" s="298"/>
      <c r="W456" s="298"/>
      <c r="X456" s="297"/>
      <c r="Y456" s="297"/>
      <c r="Z456" s="297"/>
      <c r="AA456" s="297"/>
      <c r="AB456" s="297"/>
      <c r="AC456" s="297"/>
      <c r="AD456" s="297"/>
      <c r="AE456" s="297"/>
      <c r="AF456" s="297"/>
      <c r="AG456" s="297"/>
      <c r="AH456" s="297"/>
      <c r="AI456" s="297"/>
      <c r="AJ456" s="297"/>
      <c r="AK456" s="297"/>
      <c r="AL456" s="297"/>
      <c r="AM456" s="297"/>
      <c r="AN456" s="297"/>
      <c r="AO456" s="297"/>
      <c r="AP456" s="297"/>
      <c r="AQ456" s="297"/>
      <c r="AR456" s="297"/>
      <c r="AS456" s="297"/>
      <c r="AT456" s="297"/>
      <c r="AU456" s="297"/>
      <c r="AV456" s="297"/>
      <c r="AW456" s="297"/>
      <c r="AX456" s="297"/>
      <c r="AY456" s="297"/>
      <c r="AZ456" s="297"/>
      <c r="BA456" s="297"/>
      <c r="BB456" s="297"/>
    </row>
    <row r="457" spans="1:54" thickBot="1">
      <c r="A457" s="298"/>
      <c r="B457" s="298"/>
      <c r="C457" s="298"/>
      <c r="D457" s="298"/>
      <c r="E457" s="298"/>
      <c r="F457" s="282"/>
      <c r="G457" s="298"/>
      <c r="H457" s="298"/>
      <c r="I457" s="282"/>
      <c r="J457" s="298"/>
      <c r="K457" s="566"/>
      <c r="L457" s="282"/>
      <c r="M457" s="282"/>
      <c r="N457" s="298"/>
      <c r="O457" s="282"/>
      <c r="P457" s="282"/>
      <c r="Q457" s="298"/>
      <c r="R457" s="282"/>
      <c r="S457" s="282"/>
      <c r="T457" s="298"/>
      <c r="U457" s="282"/>
      <c r="V457" s="298"/>
      <c r="W457" s="298"/>
      <c r="X457" s="297"/>
      <c r="Y457" s="297"/>
      <c r="Z457" s="297"/>
      <c r="AA457" s="297"/>
      <c r="AB457" s="297"/>
      <c r="AC457" s="297"/>
      <c r="AD457" s="297"/>
      <c r="AE457" s="297"/>
      <c r="AF457" s="297"/>
      <c r="AG457" s="297"/>
      <c r="AH457" s="297"/>
      <c r="AI457" s="297"/>
      <c r="AJ457" s="297"/>
      <c r="AK457" s="297"/>
      <c r="AL457" s="297"/>
      <c r="AM457" s="297"/>
      <c r="AN457" s="297"/>
      <c r="AO457" s="297"/>
      <c r="AP457" s="297"/>
      <c r="AQ457" s="297"/>
      <c r="AR457" s="297"/>
      <c r="AS457" s="297"/>
      <c r="AT457" s="297"/>
      <c r="AU457" s="297"/>
      <c r="AV457" s="297"/>
      <c r="AW457" s="297"/>
      <c r="AX457" s="297"/>
      <c r="AY457" s="297"/>
      <c r="AZ457" s="297"/>
      <c r="BA457" s="297"/>
      <c r="BB457" s="297"/>
    </row>
    <row r="458" spans="1:54" thickBot="1">
      <c r="A458" s="298"/>
      <c r="B458" s="298"/>
      <c r="C458" s="298"/>
      <c r="D458" s="298"/>
      <c r="E458" s="298"/>
      <c r="F458" s="282"/>
      <c r="G458" s="298"/>
      <c r="H458" s="298"/>
      <c r="I458" s="282"/>
      <c r="J458" s="298"/>
      <c r="K458" s="566"/>
      <c r="L458" s="282"/>
      <c r="M458" s="282"/>
      <c r="N458" s="298"/>
      <c r="O458" s="282"/>
      <c r="P458" s="282"/>
      <c r="Q458" s="298"/>
      <c r="R458" s="282"/>
      <c r="S458" s="282"/>
      <c r="T458" s="298"/>
      <c r="U458" s="282"/>
      <c r="V458" s="298"/>
      <c r="W458" s="298"/>
      <c r="X458" s="297"/>
      <c r="Y458" s="297"/>
      <c r="Z458" s="297"/>
      <c r="AA458" s="297"/>
      <c r="AB458" s="297"/>
      <c r="AC458" s="297"/>
      <c r="AD458" s="297"/>
      <c r="AE458" s="297"/>
      <c r="AF458" s="297"/>
      <c r="AG458" s="297"/>
      <c r="AH458" s="297"/>
      <c r="AI458" s="297"/>
      <c r="AJ458" s="297"/>
      <c r="AK458" s="297"/>
      <c r="AL458" s="297"/>
      <c r="AM458" s="297"/>
      <c r="AN458" s="297"/>
      <c r="AO458" s="297"/>
      <c r="AP458" s="297"/>
      <c r="AQ458" s="297"/>
      <c r="AR458" s="297"/>
      <c r="AS458" s="297"/>
      <c r="AT458" s="297"/>
      <c r="AU458" s="297"/>
      <c r="AV458" s="297"/>
      <c r="AW458" s="297"/>
      <c r="AX458" s="297"/>
      <c r="AY458" s="297"/>
      <c r="AZ458" s="297"/>
      <c r="BA458" s="297"/>
      <c r="BB458" s="297"/>
    </row>
    <row r="459" spans="1:54" thickBot="1">
      <c r="A459" s="298"/>
      <c r="B459" s="298"/>
      <c r="C459" s="298"/>
      <c r="D459" s="298"/>
      <c r="E459" s="298"/>
      <c r="F459" s="282"/>
      <c r="G459" s="298"/>
      <c r="H459" s="298"/>
      <c r="I459" s="282"/>
      <c r="J459" s="298"/>
      <c r="K459" s="566"/>
      <c r="L459" s="282"/>
      <c r="M459" s="282"/>
      <c r="N459" s="298"/>
      <c r="O459" s="282"/>
      <c r="P459" s="282"/>
      <c r="Q459" s="298"/>
      <c r="R459" s="282"/>
      <c r="S459" s="282"/>
      <c r="T459" s="298"/>
      <c r="U459" s="282"/>
      <c r="V459" s="298"/>
      <c r="W459" s="298"/>
      <c r="X459" s="297"/>
      <c r="Y459" s="297"/>
      <c r="Z459" s="297"/>
      <c r="AA459" s="297"/>
      <c r="AB459" s="297"/>
      <c r="AC459" s="297"/>
      <c r="AD459" s="297"/>
      <c r="AE459" s="297"/>
      <c r="AF459" s="297"/>
      <c r="AG459" s="297"/>
      <c r="AH459" s="297"/>
      <c r="AI459" s="297"/>
      <c r="AJ459" s="297"/>
      <c r="AK459" s="297"/>
      <c r="AL459" s="297"/>
      <c r="AM459" s="297"/>
      <c r="AN459" s="297"/>
      <c r="AO459" s="297"/>
      <c r="AP459" s="297"/>
      <c r="AQ459" s="297"/>
      <c r="AR459" s="297"/>
      <c r="AS459" s="297"/>
      <c r="AT459" s="297"/>
      <c r="AU459" s="297"/>
      <c r="AV459" s="297"/>
      <c r="AW459" s="297"/>
      <c r="AX459" s="297"/>
      <c r="AY459" s="297"/>
      <c r="AZ459" s="297"/>
      <c r="BA459" s="297"/>
      <c r="BB459" s="297"/>
    </row>
    <row r="460" spans="1:54" thickBot="1">
      <c r="A460" s="298"/>
      <c r="B460" s="298"/>
      <c r="C460" s="298"/>
      <c r="D460" s="298"/>
      <c r="E460" s="298"/>
      <c r="F460" s="282"/>
      <c r="G460" s="298"/>
      <c r="H460" s="298"/>
      <c r="I460" s="282"/>
      <c r="J460" s="298"/>
      <c r="K460" s="566"/>
      <c r="L460" s="282"/>
      <c r="M460" s="282"/>
      <c r="N460" s="298"/>
      <c r="O460" s="282"/>
      <c r="P460" s="282"/>
      <c r="Q460" s="298"/>
      <c r="R460" s="282"/>
      <c r="S460" s="282"/>
      <c r="T460" s="298"/>
      <c r="U460" s="282"/>
      <c r="V460" s="298"/>
      <c r="W460" s="298"/>
      <c r="X460" s="297"/>
      <c r="Y460" s="297"/>
      <c r="Z460" s="297"/>
      <c r="AA460" s="297"/>
      <c r="AB460" s="297"/>
      <c r="AC460" s="297"/>
      <c r="AD460" s="297"/>
      <c r="AE460" s="297"/>
      <c r="AF460" s="297"/>
      <c r="AG460" s="297"/>
      <c r="AH460" s="297"/>
      <c r="AI460" s="297"/>
      <c r="AJ460" s="297"/>
      <c r="AK460" s="297"/>
      <c r="AL460" s="297"/>
      <c r="AM460" s="297"/>
      <c r="AN460" s="297"/>
      <c r="AO460" s="297"/>
      <c r="AP460" s="297"/>
      <c r="AQ460" s="297"/>
      <c r="AR460" s="297"/>
      <c r="AS460" s="297"/>
      <c r="AT460" s="297"/>
      <c r="AU460" s="297"/>
      <c r="AV460" s="297"/>
      <c r="AW460" s="297"/>
      <c r="AX460" s="297"/>
      <c r="AY460" s="297"/>
      <c r="AZ460" s="297"/>
      <c r="BA460" s="297"/>
      <c r="BB460" s="297"/>
    </row>
    <row r="461" spans="1:54" thickBot="1">
      <c r="A461" s="298"/>
      <c r="B461" s="298"/>
      <c r="C461" s="298"/>
      <c r="D461" s="298"/>
      <c r="E461" s="298"/>
      <c r="F461" s="282"/>
      <c r="G461" s="298"/>
      <c r="H461" s="298"/>
      <c r="I461" s="282"/>
      <c r="J461" s="298"/>
      <c r="K461" s="566"/>
      <c r="L461" s="282"/>
      <c r="M461" s="282"/>
      <c r="N461" s="298"/>
      <c r="O461" s="282"/>
      <c r="P461" s="282"/>
      <c r="Q461" s="298"/>
      <c r="R461" s="282"/>
      <c r="S461" s="282"/>
      <c r="T461" s="298"/>
      <c r="U461" s="282"/>
      <c r="V461" s="298"/>
      <c r="W461" s="298"/>
      <c r="X461" s="297"/>
      <c r="Y461" s="297"/>
      <c r="Z461" s="297"/>
      <c r="AA461" s="297"/>
      <c r="AB461" s="297"/>
      <c r="AC461" s="297"/>
      <c r="AD461" s="297"/>
      <c r="AE461" s="297"/>
      <c r="AF461" s="297"/>
      <c r="AG461" s="297"/>
      <c r="AH461" s="297"/>
      <c r="AI461" s="297"/>
      <c r="AJ461" s="297"/>
      <c r="AK461" s="297"/>
      <c r="AL461" s="297"/>
      <c r="AM461" s="297"/>
      <c r="AN461" s="297"/>
      <c r="AO461" s="297"/>
      <c r="AP461" s="297"/>
      <c r="AQ461" s="297"/>
      <c r="AR461" s="297"/>
      <c r="AS461" s="297"/>
      <c r="AT461" s="297"/>
      <c r="AU461" s="297"/>
      <c r="AV461" s="297"/>
      <c r="AW461" s="297"/>
      <c r="AX461" s="297"/>
      <c r="AY461" s="297"/>
      <c r="AZ461" s="297"/>
      <c r="BA461" s="297"/>
      <c r="BB461" s="297"/>
    </row>
    <row r="462" spans="1:54" thickBot="1">
      <c r="A462" s="298"/>
      <c r="B462" s="298"/>
      <c r="C462" s="298"/>
      <c r="D462" s="298"/>
      <c r="E462" s="298"/>
      <c r="F462" s="282"/>
      <c r="G462" s="298"/>
      <c r="H462" s="298"/>
      <c r="I462" s="282"/>
      <c r="J462" s="298"/>
      <c r="K462" s="566"/>
      <c r="L462" s="282"/>
      <c r="M462" s="282"/>
      <c r="N462" s="298"/>
      <c r="O462" s="282"/>
      <c r="P462" s="282"/>
      <c r="Q462" s="298"/>
      <c r="R462" s="282"/>
      <c r="S462" s="282"/>
      <c r="T462" s="298"/>
      <c r="U462" s="282"/>
      <c r="V462" s="298"/>
      <c r="W462" s="298"/>
      <c r="X462" s="297"/>
      <c r="Y462" s="297"/>
      <c r="Z462" s="297"/>
      <c r="AA462" s="297"/>
      <c r="AB462" s="297"/>
      <c r="AC462" s="297"/>
      <c r="AD462" s="297"/>
      <c r="AE462" s="297"/>
      <c r="AF462" s="297"/>
      <c r="AG462" s="297"/>
      <c r="AH462" s="297"/>
      <c r="AI462" s="297"/>
      <c r="AJ462" s="297"/>
      <c r="AK462" s="297"/>
      <c r="AL462" s="297"/>
      <c r="AM462" s="297"/>
      <c r="AN462" s="297"/>
      <c r="AO462" s="297"/>
      <c r="AP462" s="297"/>
      <c r="AQ462" s="297"/>
      <c r="AR462" s="297"/>
      <c r="AS462" s="297"/>
      <c r="AT462" s="297"/>
      <c r="AU462" s="297"/>
      <c r="AV462" s="297"/>
      <c r="AW462" s="297"/>
      <c r="AX462" s="297"/>
      <c r="AY462" s="297"/>
      <c r="AZ462" s="297"/>
      <c r="BA462" s="297"/>
      <c r="BB462" s="297"/>
    </row>
    <row r="463" spans="1:54" thickBot="1">
      <c r="A463" s="298"/>
      <c r="B463" s="298"/>
      <c r="C463" s="298"/>
      <c r="D463" s="298"/>
      <c r="E463" s="298"/>
      <c r="F463" s="282"/>
      <c r="G463" s="298"/>
      <c r="H463" s="298"/>
      <c r="I463" s="282"/>
      <c r="J463" s="298"/>
      <c r="K463" s="566"/>
      <c r="L463" s="282"/>
      <c r="M463" s="282"/>
      <c r="N463" s="298"/>
      <c r="O463" s="282"/>
      <c r="P463" s="282"/>
      <c r="Q463" s="298"/>
      <c r="R463" s="282"/>
      <c r="S463" s="282"/>
      <c r="T463" s="298"/>
      <c r="U463" s="282"/>
      <c r="V463" s="298"/>
      <c r="W463" s="298"/>
      <c r="X463" s="297"/>
      <c r="Y463" s="297"/>
      <c r="Z463" s="297"/>
      <c r="AA463" s="297"/>
      <c r="AB463" s="297"/>
      <c r="AC463" s="297"/>
      <c r="AD463" s="297"/>
      <c r="AE463" s="297"/>
      <c r="AF463" s="297"/>
      <c r="AG463" s="297"/>
      <c r="AH463" s="297"/>
      <c r="AI463" s="297"/>
      <c r="AJ463" s="297"/>
      <c r="AK463" s="297"/>
      <c r="AL463" s="297"/>
      <c r="AM463" s="297"/>
      <c r="AN463" s="297"/>
      <c r="AO463" s="297"/>
      <c r="AP463" s="297"/>
      <c r="AQ463" s="297"/>
      <c r="AR463" s="297"/>
      <c r="AS463" s="297"/>
      <c r="AT463" s="297"/>
      <c r="AU463" s="297"/>
      <c r="AV463" s="297"/>
      <c r="AW463" s="297"/>
      <c r="AX463" s="297"/>
      <c r="AY463" s="297"/>
      <c r="AZ463" s="297"/>
      <c r="BA463" s="297"/>
      <c r="BB463" s="297"/>
    </row>
    <row r="464" spans="1:54" thickBot="1">
      <c r="A464" s="298"/>
      <c r="B464" s="298"/>
      <c r="C464" s="298"/>
      <c r="D464" s="298"/>
      <c r="E464" s="298"/>
      <c r="F464" s="282"/>
      <c r="G464" s="298"/>
      <c r="H464" s="298"/>
      <c r="I464" s="282"/>
      <c r="J464" s="298"/>
      <c r="K464" s="566"/>
      <c r="L464" s="282"/>
      <c r="M464" s="282"/>
      <c r="N464" s="298"/>
      <c r="O464" s="282"/>
      <c r="P464" s="282"/>
      <c r="Q464" s="298"/>
      <c r="R464" s="282"/>
      <c r="S464" s="282"/>
      <c r="T464" s="298"/>
      <c r="U464" s="282"/>
      <c r="V464" s="298"/>
      <c r="W464" s="298"/>
      <c r="X464" s="297"/>
      <c r="Y464" s="297"/>
      <c r="Z464" s="297"/>
      <c r="AA464" s="297"/>
      <c r="AB464" s="297"/>
      <c r="AC464" s="297"/>
      <c r="AD464" s="297"/>
      <c r="AE464" s="297"/>
      <c r="AF464" s="297"/>
      <c r="AG464" s="297"/>
      <c r="AH464" s="297"/>
      <c r="AI464" s="297"/>
      <c r="AJ464" s="297"/>
      <c r="AK464" s="297"/>
      <c r="AL464" s="297"/>
      <c r="AM464" s="297"/>
      <c r="AN464" s="297"/>
      <c r="AO464" s="297"/>
      <c r="AP464" s="297"/>
      <c r="AQ464" s="297"/>
      <c r="AR464" s="297"/>
      <c r="AS464" s="297"/>
      <c r="AT464" s="297"/>
      <c r="AU464" s="297"/>
      <c r="AV464" s="297"/>
      <c r="AW464" s="297"/>
      <c r="AX464" s="297"/>
      <c r="AY464" s="297"/>
      <c r="AZ464" s="297"/>
      <c r="BA464" s="297"/>
      <c r="BB464" s="297"/>
    </row>
    <row r="465" spans="1:54" thickBot="1">
      <c r="A465" s="298"/>
      <c r="B465" s="298"/>
      <c r="C465" s="298"/>
      <c r="D465" s="298"/>
      <c r="E465" s="298"/>
      <c r="F465" s="282"/>
      <c r="G465" s="298"/>
      <c r="H465" s="298"/>
      <c r="I465" s="282"/>
      <c r="J465" s="298"/>
      <c r="K465" s="566"/>
      <c r="L465" s="282"/>
      <c r="M465" s="282"/>
      <c r="N465" s="298"/>
      <c r="O465" s="282"/>
      <c r="P465" s="282"/>
      <c r="Q465" s="298"/>
      <c r="R465" s="282"/>
      <c r="S465" s="282"/>
      <c r="T465" s="298"/>
      <c r="U465" s="282"/>
      <c r="V465" s="298"/>
      <c r="W465" s="298"/>
      <c r="X465" s="297"/>
      <c r="Y465" s="297"/>
      <c r="Z465" s="297"/>
      <c r="AA465" s="297"/>
      <c r="AB465" s="297"/>
      <c r="AC465" s="297"/>
      <c r="AD465" s="297"/>
      <c r="AE465" s="297"/>
      <c r="AF465" s="297"/>
      <c r="AG465" s="297"/>
      <c r="AH465" s="297"/>
      <c r="AI465" s="297"/>
      <c r="AJ465" s="297"/>
      <c r="AK465" s="297"/>
      <c r="AL465" s="297"/>
      <c r="AM465" s="297"/>
      <c r="AN465" s="297"/>
      <c r="AO465" s="297"/>
      <c r="AP465" s="297"/>
      <c r="AQ465" s="297"/>
      <c r="AR465" s="297"/>
      <c r="AS465" s="297"/>
      <c r="AT465" s="297"/>
      <c r="AU465" s="297"/>
      <c r="AV465" s="297"/>
      <c r="AW465" s="297"/>
      <c r="AX465" s="297"/>
      <c r="AY465" s="297"/>
      <c r="AZ465" s="297"/>
      <c r="BA465" s="297"/>
      <c r="BB465" s="297"/>
    </row>
    <row r="466" spans="1:54" thickBot="1">
      <c r="A466" s="298"/>
      <c r="B466" s="298"/>
      <c r="C466" s="298"/>
      <c r="D466" s="298"/>
      <c r="E466" s="298"/>
      <c r="F466" s="282"/>
      <c r="G466" s="298"/>
      <c r="H466" s="298"/>
      <c r="I466" s="282"/>
      <c r="J466" s="298"/>
      <c r="K466" s="566"/>
      <c r="L466" s="282"/>
      <c r="M466" s="282"/>
      <c r="N466" s="298"/>
      <c r="O466" s="282"/>
      <c r="P466" s="282"/>
      <c r="Q466" s="298"/>
      <c r="R466" s="282"/>
      <c r="S466" s="282"/>
      <c r="T466" s="298"/>
      <c r="U466" s="282"/>
      <c r="V466" s="298"/>
      <c r="W466" s="298"/>
      <c r="X466" s="297"/>
      <c r="Y466" s="297"/>
      <c r="Z466" s="297"/>
      <c r="AA466" s="297"/>
      <c r="AB466" s="297"/>
      <c r="AC466" s="297"/>
      <c r="AD466" s="297"/>
      <c r="AE466" s="297"/>
      <c r="AF466" s="297"/>
      <c r="AG466" s="297"/>
      <c r="AH466" s="297"/>
      <c r="AI466" s="297"/>
      <c r="AJ466" s="297"/>
      <c r="AK466" s="297"/>
      <c r="AL466" s="297"/>
      <c r="AM466" s="297"/>
      <c r="AN466" s="297"/>
      <c r="AO466" s="297"/>
      <c r="AP466" s="297"/>
      <c r="AQ466" s="297"/>
      <c r="AR466" s="297"/>
      <c r="AS466" s="297"/>
      <c r="AT466" s="297"/>
      <c r="AU466" s="297"/>
      <c r="AV466" s="297"/>
      <c r="AW466" s="297"/>
      <c r="AX466" s="297"/>
      <c r="AY466" s="297"/>
      <c r="AZ466" s="297"/>
      <c r="BA466" s="297"/>
      <c r="BB466" s="297"/>
    </row>
    <row r="467" spans="1:54" thickBot="1">
      <c r="A467" s="298"/>
      <c r="B467" s="298"/>
      <c r="C467" s="298"/>
      <c r="D467" s="298"/>
      <c r="E467" s="298"/>
      <c r="F467" s="282"/>
      <c r="G467" s="298"/>
      <c r="H467" s="298"/>
      <c r="I467" s="282"/>
      <c r="J467" s="298"/>
      <c r="K467" s="566"/>
      <c r="L467" s="282"/>
      <c r="M467" s="282"/>
      <c r="N467" s="298"/>
      <c r="O467" s="282"/>
      <c r="P467" s="282"/>
      <c r="Q467" s="298"/>
      <c r="R467" s="282"/>
      <c r="S467" s="282"/>
      <c r="T467" s="298"/>
      <c r="U467" s="282"/>
      <c r="V467" s="298"/>
      <c r="W467" s="298"/>
      <c r="X467" s="297"/>
      <c r="Y467" s="297"/>
      <c r="Z467" s="297"/>
      <c r="AA467" s="297"/>
      <c r="AB467" s="297"/>
      <c r="AC467" s="297"/>
      <c r="AD467" s="297"/>
      <c r="AE467" s="297"/>
      <c r="AF467" s="297"/>
      <c r="AG467" s="297"/>
      <c r="AH467" s="297"/>
      <c r="AI467" s="297"/>
      <c r="AJ467" s="297"/>
      <c r="AK467" s="297"/>
      <c r="AL467" s="297"/>
      <c r="AM467" s="297"/>
      <c r="AN467" s="297"/>
      <c r="AO467" s="297"/>
      <c r="AP467" s="297"/>
      <c r="AQ467" s="297"/>
      <c r="AR467" s="297"/>
      <c r="AS467" s="297"/>
      <c r="AT467" s="297"/>
      <c r="AU467" s="297"/>
      <c r="AV467" s="297"/>
      <c r="AW467" s="297"/>
      <c r="AX467" s="297"/>
      <c r="AY467" s="297"/>
      <c r="AZ467" s="297"/>
      <c r="BA467" s="297"/>
      <c r="BB467" s="297"/>
    </row>
    <row r="468" spans="1:54" thickBot="1">
      <c r="A468" s="298"/>
      <c r="B468" s="298"/>
      <c r="C468" s="298"/>
      <c r="D468" s="298"/>
      <c r="E468" s="298"/>
      <c r="F468" s="282"/>
      <c r="G468" s="298"/>
      <c r="H468" s="298"/>
      <c r="I468" s="282"/>
      <c r="J468" s="298"/>
      <c r="K468" s="566"/>
      <c r="L468" s="282"/>
      <c r="M468" s="282"/>
      <c r="N468" s="298"/>
      <c r="O468" s="282"/>
      <c r="P468" s="282"/>
      <c r="Q468" s="298"/>
      <c r="R468" s="282"/>
      <c r="S468" s="282"/>
      <c r="T468" s="298"/>
      <c r="U468" s="282"/>
      <c r="V468" s="298"/>
      <c r="W468" s="298"/>
      <c r="X468" s="297"/>
      <c r="Y468" s="297"/>
      <c r="Z468" s="297"/>
      <c r="AA468" s="297"/>
      <c r="AB468" s="297"/>
      <c r="AC468" s="297"/>
      <c r="AD468" s="297"/>
      <c r="AE468" s="297"/>
      <c r="AF468" s="297"/>
      <c r="AG468" s="297"/>
      <c r="AH468" s="297"/>
      <c r="AI468" s="297"/>
      <c r="AJ468" s="297"/>
      <c r="AK468" s="297"/>
      <c r="AL468" s="297"/>
      <c r="AM468" s="297"/>
      <c r="AN468" s="297"/>
      <c r="AO468" s="297"/>
      <c r="AP468" s="297"/>
      <c r="AQ468" s="297"/>
      <c r="AR468" s="297"/>
      <c r="AS468" s="297"/>
      <c r="AT468" s="297"/>
      <c r="AU468" s="297"/>
      <c r="AV468" s="297"/>
      <c r="AW468" s="297"/>
      <c r="AX468" s="297"/>
      <c r="AY468" s="297"/>
      <c r="AZ468" s="297"/>
      <c r="BA468" s="297"/>
      <c r="BB468" s="297"/>
    </row>
    <row r="469" spans="1:54" thickBot="1">
      <c r="A469" s="298"/>
      <c r="B469" s="298"/>
      <c r="C469" s="298"/>
      <c r="D469" s="298"/>
      <c r="E469" s="298"/>
      <c r="F469" s="282"/>
      <c r="G469" s="298"/>
      <c r="H469" s="298"/>
      <c r="I469" s="282"/>
      <c r="J469" s="298"/>
      <c r="K469" s="566"/>
      <c r="L469" s="282"/>
      <c r="M469" s="282"/>
      <c r="N469" s="298"/>
      <c r="O469" s="282"/>
      <c r="P469" s="282"/>
      <c r="Q469" s="298"/>
      <c r="R469" s="282"/>
      <c r="S469" s="282"/>
      <c r="T469" s="298"/>
      <c r="U469" s="282"/>
      <c r="V469" s="298"/>
      <c r="W469" s="298"/>
      <c r="X469" s="297"/>
      <c r="Y469" s="297"/>
      <c r="Z469" s="297"/>
      <c r="AA469" s="297"/>
      <c r="AB469" s="297"/>
      <c r="AC469" s="297"/>
      <c r="AD469" s="297"/>
      <c r="AE469" s="297"/>
      <c r="AF469" s="297"/>
      <c r="AG469" s="297"/>
      <c r="AH469" s="297"/>
      <c r="AI469" s="297"/>
      <c r="AJ469" s="297"/>
      <c r="AK469" s="297"/>
      <c r="AL469" s="297"/>
      <c r="AM469" s="297"/>
      <c r="AN469" s="297"/>
      <c r="AO469" s="297"/>
      <c r="AP469" s="297"/>
      <c r="AQ469" s="297"/>
      <c r="AR469" s="297"/>
      <c r="AS469" s="297"/>
      <c r="AT469" s="297"/>
      <c r="AU469" s="297"/>
      <c r="AV469" s="297"/>
      <c r="AW469" s="297"/>
      <c r="AX469" s="297"/>
      <c r="AY469" s="297"/>
      <c r="AZ469" s="297"/>
      <c r="BA469" s="297"/>
      <c r="BB469" s="297"/>
    </row>
    <row r="470" spans="1:54" thickBot="1">
      <c r="A470" s="298"/>
      <c r="B470" s="298"/>
      <c r="C470" s="298"/>
      <c r="D470" s="298"/>
      <c r="E470" s="298"/>
      <c r="F470" s="282"/>
      <c r="G470" s="298"/>
      <c r="H470" s="298"/>
      <c r="I470" s="282"/>
      <c r="J470" s="298"/>
      <c r="K470" s="566"/>
      <c r="L470" s="282"/>
      <c r="M470" s="282"/>
      <c r="N470" s="298"/>
      <c r="O470" s="282"/>
      <c r="P470" s="282"/>
      <c r="Q470" s="298"/>
      <c r="R470" s="282"/>
      <c r="S470" s="282"/>
      <c r="T470" s="298"/>
      <c r="U470" s="282"/>
      <c r="V470" s="298"/>
      <c r="W470" s="298"/>
      <c r="X470" s="297"/>
      <c r="Y470" s="297"/>
      <c r="Z470" s="297"/>
      <c r="AA470" s="297"/>
      <c r="AB470" s="297"/>
      <c r="AC470" s="297"/>
      <c r="AD470" s="297"/>
      <c r="AE470" s="297"/>
      <c r="AF470" s="297"/>
      <c r="AG470" s="297"/>
      <c r="AH470" s="297"/>
      <c r="AI470" s="297"/>
      <c r="AJ470" s="297"/>
      <c r="AK470" s="297"/>
      <c r="AL470" s="297"/>
      <c r="AM470" s="297"/>
      <c r="AN470" s="297"/>
      <c r="AO470" s="297"/>
      <c r="AP470" s="297"/>
      <c r="AQ470" s="297"/>
      <c r="AR470" s="297"/>
      <c r="AS470" s="297"/>
      <c r="AT470" s="297"/>
      <c r="AU470" s="297"/>
      <c r="AV470" s="297"/>
      <c r="AW470" s="297"/>
      <c r="AX470" s="297"/>
      <c r="AY470" s="297"/>
      <c r="AZ470" s="297"/>
      <c r="BA470" s="297"/>
      <c r="BB470" s="297"/>
    </row>
    <row r="471" spans="1:54" thickBot="1">
      <c r="A471" s="298"/>
      <c r="B471" s="298"/>
      <c r="C471" s="298"/>
      <c r="D471" s="298"/>
      <c r="E471" s="298"/>
      <c r="F471" s="282"/>
      <c r="G471" s="298"/>
      <c r="H471" s="298"/>
      <c r="I471" s="282"/>
      <c r="J471" s="298"/>
      <c r="K471" s="566"/>
      <c r="L471" s="282"/>
      <c r="M471" s="282"/>
      <c r="N471" s="298"/>
      <c r="O471" s="282"/>
      <c r="P471" s="282"/>
      <c r="Q471" s="298"/>
      <c r="R471" s="282"/>
      <c r="S471" s="282"/>
      <c r="T471" s="298"/>
      <c r="U471" s="282"/>
      <c r="V471" s="298"/>
      <c r="W471" s="298"/>
      <c r="X471" s="297"/>
      <c r="Y471" s="297"/>
      <c r="Z471" s="297"/>
      <c r="AA471" s="297"/>
      <c r="AB471" s="297"/>
      <c r="AC471" s="297"/>
      <c r="AD471" s="297"/>
      <c r="AE471" s="297"/>
      <c r="AF471" s="297"/>
      <c r="AG471" s="297"/>
      <c r="AH471" s="297"/>
      <c r="AI471" s="297"/>
      <c r="AJ471" s="297"/>
      <c r="AK471" s="297"/>
      <c r="AL471" s="297"/>
      <c r="AM471" s="297"/>
      <c r="AN471" s="297"/>
      <c r="AO471" s="297"/>
      <c r="AP471" s="297"/>
      <c r="AQ471" s="297"/>
      <c r="AR471" s="297"/>
      <c r="AS471" s="297"/>
      <c r="AT471" s="297"/>
      <c r="AU471" s="297"/>
      <c r="AV471" s="297"/>
      <c r="AW471" s="297"/>
      <c r="AX471" s="297"/>
      <c r="AY471" s="297"/>
      <c r="AZ471" s="297"/>
      <c r="BA471" s="297"/>
      <c r="BB471" s="297"/>
    </row>
    <row r="472" spans="1:54" thickBot="1">
      <c r="A472" s="298"/>
      <c r="B472" s="298"/>
      <c r="C472" s="298"/>
      <c r="D472" s="298"/>
      <c r="E472" s="298"/>
      <c r="F472" s="282"/>
      <c r="G472" s="298"/>
      <c r="H472" s="298"/>
      <c r="I472" s="282"/>
      <c r="J472" s="298"/>
      <c r="K472" s="566"/>
      <c r="L472" s="282"/>
      <c r="M472" s="282"/>
      <c r="N472" s="298"/>
      <c r="O472" s="282"/>
      <c r="P472" s="282"/>
      <c r="Q472" s="298"/>
      <c r="R472" s="282"/>
      <c r="S472" s="282"/>
      <c r="T472" s="298"/>
      <c r="U472" s="282"/>
      <c r="V472" s="298"/>
      <c r="W472" s="298"/>
      <c r="X472" s="297"/>
      <c r="Y472" s="297"/>
      <c r="Z472" s="297"/>
      <c r="AA472" s="297"/>
      <c r="AB472" s="297"/>
      <c r="AC472" s="297"/>
      <c r="AD472" s="297"/>
      <c r="AE472" s="297"/>
      <c r="AF472" s="297"/>
      <c r="AG472" s="297"/>
      <c r="AH472" s="297"/>
      <c r="AI472" s="297"/>
      <c r="AJ472" s="297"/>
      <c r="AK472" s="297"/>
      <c r="AL472" s="297"/>
      <c r="AM472" s="297"/>
      <c r="AN472" s="297"/>
      <c r="AO472" s="297"/>
      <c r="AP472" s="297"/>
      <c r="AQ472" s="297"/>
      <c r="AR472" s="297"/>
      <c r="AS472" s="297"/>
      <c r="AT472" s="297"/>
      <c r="AU472" s="297"/>
      <c r="AV472" s="297"/>
      <c r="AW472" s="297"/>
      <c r="AX472" s="297"/>
      <c r="AY472" s="297"/>
      <c r="AZ472" s="297"/>
      <c r="BA472" s="297"/>
      <c r="BB472" s="297"/>
    </row>
    <row r="473" spans="1:54" thickBot="1">
      <c r="A473" s="298"/>
      <c r="B473" s="298"/>
      <c r="C473" s="298"/>
      <c r="D473" s="298"/>
      <c r="E473" s="298"/>
      <c r="F473" s="282"/>
      <c r="G473" s="298"/>
      <c r="H473" s="298"/>
      <c r="I473" s="282"/>
      <c r="J473" s="298"/>
      <c r="K473" s="566"/>
      <c r="L473" s="282"/>
      <c r="M473" s="282"/>
      <c r="N473" s="298"/>
      <c r="O473" s="282"/>
      <c r="P473" s="282"/>
      <c r="Q473" s="298"/>
      <c r="R473" s="282"/>
      <c r="S473" s="282"/>
      <c r="T473" s="298"/>
      <c r="U473" s="282"/>
      <c r="V473" s="298"/>
      <c r="W473" s="298"/>
      <c r="X473" s="297"/>
      <c r="Y473" s="297"/>
      <c r="Z473" s="297"/>
      <c r="AA473" s="297"/>
      <c r="AB473" s="297"/>
      <c r="AC473" s="297"/>
      <c r="AD473" s="297"/>
      <c r="AE473" s="297"/>
      <c r="AF473" s="297"/>
      <c r="AG473" s="297"/>
      <c r="AH473" s="297"/>
      <c r="AI473" s="297"/>
      <c r="AJ473" s="297"/>
      <c r="AK473" s="297"/>
      <c r="AL473" s="297"/>
      <c r="AM473" s="297"/>
      <c r="AN473" s="297"/>
      <c r="AO473" s="297"/>
      <c r="AP473" s="297"/>
      <c r="AQ473" s="297"/>
      <c r="AR473" s="297"/>
      <c r="AS473" s="297"/>
      <c r="AT473" s="297"/>
      <c r="AU473" s="297"/>
      <c r="AV473" s="297"/>
      <c r="AW473" s="297"/>
      <c r="AX473" s="297"/>
      <c r="AY473" s="297"/>
      <c r="AZ473" s="297"/>
      <c r="BA473" s="297"/>
      <c r="BB473" s="297"/>
    </row>
    <row r="474" spans="1:54" thickBot="1">
      <c r="A474" s="298"/>
      <c r="B474" s="298"/>
      <c r="C474" s="298"/>
      <c r="D474" s="298"/>
      <c r="E474" s="298"/>
      <c r="F474" s="282"/>
      <c r="G474" s="298"/>
      <c r="H474" s="298"/>
      <c r="I474" s="282"/>
      <c r="J474" s="298"/>
      <c r="K474" s="566"/>
      <c r="L474" s="282"/>
      <c r="M474" s="282"/>
      <c r="N474" s="298"/>
      <c r="O474" s="282"/>
      <c r="P474" s="282"/>
      <c r="Q474" s="298"/>
      <c r="R474" s="282"/>
      <c r="S474" s="282"/>
      <c r="T474" s="298"/>
      <c r="U474" s="282"/>
      <c r="V474" s="298"/>
      <c r="W474" s="298"/>
      <c r="X474" s="297"/>
      <c r="Y474" s="297"/>
      <c r="Z474" s="297"/>
      <c r="AA474" s="297"/>
      <c r="AB474" s="297"/>
      <c r="AC474" s="297"/>
      <c r="AD474" s="297"/>
      <c r="AE474" s="297"/>
      <c r="AF474" s="297"/>
      <c r="AG474" s="297"/>
      <c r="AH474" s="297"/>
      <c r="AI474" s="297"/>
      <c r="AJ474" s="297"/>
      <c r="AK474" s="297"/>
      <c r="AL474" s="297"/>
      <c r="AM474" s="297"/>
      <c r="AN474" s="297"/>
      <c r="AO474" s="297"/>
      <c r="AP474" s="297"/>
      <c r="AQ474" s="297"/>
      <c r="AR474" s="297"/>
      <c r="AS474" s="297"/>
      <c r="AT474" s="297"/>
      <c r="AU474" s="297"/>
      <c r="AV474" s="297"/>
      <c r="AW474" s="297"/>
      <c r="AX474" s="297"/>
      <c r="AY474" s="297"/>
      <c r="AZ474" s="297"/>
      <c r="BA474" s="297"/>
      <c r="BB474" s="297"/>
    </row>
    <row r="475" spans="1:54" thickBot="1">
      <c r="A475" s="298"/>
      <c r="B475" s="298"/>
      <c r="C475" s="298"/>
      <c r="D475" s="298"/>
      <c r="E475" s="298"/>
      <c r="F475" s="282"/>
      <c r="G475" s="298"/>
      <c r="H475" s="298"/>
      <c r="I475" s="282"/>
      <c r="J475" s="298"/>
      <c r="K475" s="566"/>
      <c r="L475" s="282"/>
      <c r="M475" s="282"/>
      <c r="N475" s="298"/>
      <c r="O475" s="282"/>
      <c r="P475" s="282"/>
      <c r="Q475" s="298"/>
      <c r="R475" s="282"/>
      <c r="S475" s="282"/>
      <c r="T475" s="298"/>
      <c r="U475" s="282"/>
      <c r="V475" s="298"/>
      <c r="W475" s="298"/>
      <c r="X475" s="297"/>
      <c r="Y475" s="297"/>
      <c r="Z475" s="297"/>
      <c r="AA475" s="297"/>
      <c r="AB475" s="297"/>
      <c r="AC475" s="297"/>
      <c r="AD475" s="297"/>
      <c r="AE475" s="297"/>
      <c r="AF475" s="297"/>
      <c r="AG475" s="297"/>
      <c r="AH475" s="297"/>
      <c r="AI475" s="297"/>
      <c r="AJ475" s="297"/>
      <c r="AK475" s="297"/>
      <c r="AL475" s="297"/>
      <c r="AM475" s="297"/>
      <c r="AN475" s="297"/>
      <c r="AO475" s="297"/>
      <c r="AP475" s="297"/>
      <c r="AQ475" s="297"/>
      <c r="AR475" s="297"/>
      <c r="AS475" s="297"/>
      <c r="AT475" s="297"/>
      <c r="AU475" s="297"/>
      <c r="AV475" s="297"/>
      <c r="AW475" s="297"/>
      <c r="AX475" s="297"/>
      <c r="AY475" s="297"/>
      <c r="AZ475" s="297"/>
      <c r="BA475" s="297"/>
      <c r="BB475" s="297"/>
    </row>
    <row r="476" spans="1:54" thickBot="1">
      <c r="A476" s="298"/>
      <c r="B476" s="298"/>
      <c r="C476" s="298"/>
      <c r="D476" s="298"/>
      <c r="E476" s="298"/>
      <c r="F476" s="282"/>
      <c r="G476" s="298"/>
      <c r="H476" s="298"/>
      <c r="I476" s="282"/>
      <c r="J476" s="298"/>
      <c r="K476" s="566"/>
      <c r="L476" s="282"/>
      <c r="M476" s="282"/>
      <c r="N476" s="298"/>
      <c r="O476" s="282"/>
      <c r="P476" s="282"/>
      <c r="Q476" s="298"/>
      <c r="R476" s="282"/>
      <c r="S476" s="282"/>
      <c r="T476" s="298"/>
      <c r="U476" s="282"/>
      <c r="V476" s="298"/>
      <c r="W476" s="298"/>
      <c r="X476" s="297"/>
      <c r="Y476" s="297"/>
      <c r="Z476" s="297"/>
      <c r="AA476" s="297"/>
      <c r="AB476" s="297"/>
      <c r="AC476" s="297"/>
      <c r="AD476" s="297"/>
      <c r="AE476" s="297"/>
      <c r="AF476" s="297"/>
      <c r="AG476" s="297"/>
      <c r="AH476" s="297"/>
      <c r="AI476" s="297"/>
      <c r="AJ476" s="297"/>
      <c r="AK476" s="297"/>
      <c r="AL476" s="297"/>
      <c r="AM476" s="297"/>
      <c r="AN476" s="297"/>
      <c r="AO476" s="297"/>
      <c r="AP476" s="297"/>
      <c r="AQ476" s="297"/>
      <c r="AR476" s="297"/>
      <c r="AS476" s="297"/>
      <c r="AT476" s="297"/>
      <c r="AU476" s="297"/>
      <c r="AV476" s="297"/>
      <c r="AW476" s="297"/>
      <c r="AX476" s="297"/>
      <c r="AY476" s="297"/>
      <c r="AZ476" s="297"/>
      <c r="BA476" s="297"/>
      <c r="BB476" s="297"/>
    </row>
    <row r="477" spans="1:54" thickBot="1">
      <c r="A477" s="298"/>
      <c r="B477" s="298"/>
      <c r="C477" s="298"/>
      <c r="D477" s="298"/>
      <c r="E477" s="298"/>
      <c r="F477" s="282"/>
      <c r="G477" s="298"/>
      <c r="H477" s="298"/>
      <c r="I477" s="282"/>
      <c r="J477" s="298"/>
      <c r="K477" s="566"/>
      <c r="L477" s="282"/>
      <c r="M477" s="282"/>
      <c r="N477" s="298"/>
      <c r="O477" s="282"/>
      <c r="P477" s="282"/>
      <c r="Q477" s="298"/>
      <c r="R477" s="282"/>
      <c r="S477" s="282"/>
      <c r="T477" s="298"/>
      <c r="U477" s="282"/>
      <c r="V477" s="298"/>
      <c r="W477" s="298"/>
      <c r="X477" s="297"/>
      <c r="Y477" s="297"/>
      <c r="Z477" s="297"/>
      <c r="AA477" s="297"/>
      <c r="AB477" s="297"/>
      <c r="AC477" s="297"/>
      <c r="AD477" s="297"/>
      <c r="AE477" s="297"/>
      <c r="AF477" s="297"/>
      <c r="AG477" s="297"/>
      <c r="AH477" s="297"/>
      <c r="AI477" s="297"/>
      <c r="AJ477" s="297"/>
      <c r="AK477" s="297"/>
      <c r="AL477" s="297"/>
      <c r="AM477" s="297"/>
      <c r="AN477" s="297"/>
      <c r="AO477" s="297"/>
      <c r="AP477" s="297"/>
      <c r="AQ477" s="297"/>
      <c r="AR477" s="297"/>
      <c r="AS477" s="297"/>
      <c r="AT477" s="297"/>
      <c r="AU477" s="297"/>
      <c r="AV477" s="297"/>
      <c r="AW477" s="297"/>
      <c r="AX477" s="297"/>
      <c r="AY477" s="297"/>
      <c r="AZ477" s="297"/>
      <c r="BA477" s="297"/>
      <c r="BB477" s="297"/>
    </row>
    <row r="478" spans="1:54" thickBot="1">
      <c r="A478" s="298"/>
      <c r="B478" s="298"/>
      <c r="C478" s="298"/>
      <c r="D478" s="298"/>
      <c r="E478" s="298"/>
      <c r="F478" s="282"/>
      <c r="G478" s="298"/>
      <c r="H478" s="298"/>
      <c r="I478" s="282"/>
      <c r="J478" s="298"/>
      <c r="K478" s="566"/>
      <c r="L478" s="282"/>
      <c r="M478" s="282"/>
      <c r="N478" s="298"/>
      <c r="O478" s="282"/>
      <c r="P478" s="282"/>
      <c r="Q478" s="298"/>
      <c r="R478" s="282"/>
      <c r="S478" s="282"/>
      <c r="T478" s="298"/>
      <c r="U478" s="282"/>
      <c r="V478" s="298"/>
      <c r="W478" s="298"/>
      <c r="X478" s="297"/>
      <c r="Y478" s="297"/>
      <c r="Z478" s="297"/>
      <c r="AA478" s="297"/>
      <c r="AB478" s="297"/>
      <c r="AC478" s="297"/>
      <c r="AD478" s="297"/>
      <c r="AE478" s="297"/>
      <c r="AF478" s="297"/>
      <c r="AG478" s="297"/>
      <c r="AH478" s="297"/>
      <c r="AI478" s="297"/>
      <c r="AJ478" s="297"/>
      <c r="AK478" s="297"/>
      <c r="AL478" s="297"/>
      <c r="AM478" s="297"/>
      <c r="AN478" s="297"/>
      <c r="AO478" s="297"/>
      <c r="AP478" s="297"/>
      <c r="AQ478" s="297"/>
      <c r="AR478" s="297"/>
      <c r="AS478" s="297"/>
      <c r="AT478" s="297"/>
      <c r="AU478" s="297"/>
      <c r="AV478" s="297"/>
      <c r="AW478" s="297"/>
      <c r="AX478" s="297"/>
      <c r="AY478" s="297"/>
      <c r="AZ478" s="297"/>
      <c r="BA478" s="297"/>
      <c r="BB478" s="297"/>
    </row>
    <row r="479" spans="1:54" thickBot="1">
      <c r="A479" s="298"/>
      <c r="B479" s="298"/>
      <c r="C479" s="298"/>
      <c r="D479" s="298"/>
      <c r="E479" s="298"/>
      <c r="F479" s="282"/>
      <c r="G479" s="298"/>
      <c r="H479" s="298"/>
      <c r="I479" s="282"/>
      <c r="J479" s="298"/>
      <c r="K479" s="566"/>
      <c r="L479" s="282"/>
      <c r="M479" s="282"/>
      <c r="N479" s="298"/>
      <c r="O479" s="282"/>
      <c r="P479" s="282"/>
      <c r="Q479" s="298"/>
      <c r="R479" s="282"/>
      <c r="S479" s="282"/>
      <c r="T479" s="298"/>
      <c r="U479" s="282"/>
      <c r="V479" s="298"/>
      <c r="W479" s="298"/>
      <c r="X479" s="297"/>
      <c r="Y479" s="297"/>
      <c r="Z479" s="297"/>
      <c r="AA479" s="297"/>
      <c r="AB479" s="297"/>
      <c r="AC479" s="297"/>
      <c r="AD479" s="297"/>
      <c r="AE479" s="297"/>
      <c r="AF479" s="297"/>
      <c r="AG479" s="297"/>
      <c r="AH479" s="297"/>
      <c r="AI479" s="297"/>
      <c r="AJ479" s="297"/>
      <c r="AK479" s="297"/>
      <c r="AL479" s="297"/>
      <c r="AM479" s="297"/>
      <c r="AN479" s="297"/>
      <c r="AO479" s="297"/>
      <c r="AP479" s="297"/>
      <c r="AQ479" s="297"/>
      <c r="AR479" s="297"/>
      <c r="AS479" s="297"/>
      <c r="AT479" s="297"/>
      <c r="AU479" s="297"/>
      <c r="AV479" s="297"/>
      <c r="AW479" s="297"/>
      <c r="AX479" s="297"/>
      <c r="AY479" s="297"/>
      <c r="AZ479" s="297"/>
      <c r="BA479" s="297"/>
      <c r="BB479" s="297"/>
    </row>
    <row r="480" spans="1:54" thickBot="1">
      <c r="A480" s="298"/>
      <c r="B480" s="298"/>
      <c r="C480" s="298"/>
      <c r="D480" s="298"/>
      <c r="E480" s="298"/>
      <c r="F480" s="282"/>
      <c r="G480" s="298"/>
      <c r="H480" s="298"/>
      <c r="I480" s="282"/>
      <c r="J480" s="298"/>
      <c r="K480" s="566"/>
      <c r="L480" s="282"/>
      <c r="M480" s="282"/>
      <c r="N480" s="298"/>
      <c r="O480" s="282"/>
      <c r="P480" s="282"/>
      <c r="Q480" s="298"/>
      <c r="R480" s="282"/>
      <c r="S480" s="282"/>
      <c r="T480" s="298"/>
      <c r="U480" s="282"/>
      <c r="V480" s="298"/>
      <c r="W480" s="298"/>
      <c r="X480" s="297"/>
      <c r="Y480" s="297"/>
      <c r="Z480" s="297"/>
      <c r="AA480" s="297"/>
      <c r="AB480" s="297"/>
      <c r="AC480" s="297"/>
      <c r="AD480" s="297"/>
      <c r="AE480" s="297"/>
      <c r="AF480" s="297"/>
      <c r="AG480" s="297"/>
      <c r="AH480" s="297"/>
      <c r="AI480" s="297"/>
      <c r="AJ480" s="297"/>
      <c r="AK480" s="297"/>
      <c r="AL480" s="297"/>
      <c r="AM480" s="297"/>
      <c r="AN480" s="297"/>
      <c r="AO480" s="297"/>
      <c r="AP480" s="297"/>
      <c r="AQ480" s="297"/>
      <c r="AR480" s="297"/>
      <c r="AS480" s="297"/>
      <c r="AT480" s="297"/>
      <c r="AU480" s="297"/>
      <c r="AV480" s="297"/>
      <c r="AW480" s="297"/>
      <c r="AX480" s="297"/>
      <c r="AY480" s="297"/>
      <c r="AZ480" s="297"/>
      <c r="BA480" s="297"/>
      <c r="BB480" s="297"/>
    </row>
    <row r="481" spans="1:54" thickBot="1">
      <c r="A481" s="298"/>
      <c r="B481" s="298"/>
      <c r="C481" s="298"/>
      <c r="D481" s="298"/>
      <c r="E481" s="298"/>
      <c r="F481" s="282"/>
      <c r="G481" s="298"/>
      <c r="H481" s="298"/>
      <c r="I481" s="282"/>
      <c r="J481" s="298"/>
      <c r="K481" s="566"/>
      <c r="L481" s="282"/>
      <c r="M481" s="282"/>
      <c r="N481" s="298"/>
      <c r="O481" s="282"/>
      <c r="P481" s="282"/>
      <c r="Q481" s="298"/>
      <c r="R481" s="282"/>
      <c r="S481" s="282"/>
      <c r="T481" s="298"/>
      <c r="U481" s="282"/>
      <c r="V481" s="298"/>
      <c r="W481" s="298"/>
      <c r="X481" s="297"/>
      <c r="Y481" s="297"/>
      <c r="Z481" s="297"/>
      <c r="AA481" s="297"/>
      <c r="AB481" s="297"/>
      <c r="AC481" s="297"/>
      <c r="AD481" s="297"/>
      <c r="AE481" s="297"/>
      <c r="AF481" s="297"/>
      <c r="AG481" s="297"/>
      <c r="AH481" s="297"/>
      <c r="AI481" s="297"/>
      <c r="AJ481" s="297"/>
      <c r="AK481" s="297"/>
      <c r="AL481" s="297"/>
      <c r="AM481" s="297"/>
      <c r="AN481" s="297"/>
      <c r="AO481" s="297"/>
      <c r="AP481" s="297"/>
      <c r="AQ481" s="297"/>
      <c r="AR481" s="297"/>
      <c r="AS481" s="297"/>
      <c r="AT481" s="297"/>
      <c r="AU481" s="297"/>
      <c r="AV481" s="297"/>
      <c r="AW481" s="297"/>
      <c r="AX481" s="297"/>
      <c r="AY481" s="297"/>
      <c r="AZ481" s="297"/>
      <c r="BA481" s="297"/>
      <c r="BB481" s="297"/>
    </row>
    <row r="482" spans="1:54" thickBot="1">
      <c r="A482" s="298"/>
      <c r="B482" s="298"/>
      <c r="C482" s="298"/>
      <c r="D482" s="298"/>
      <c r="E482" s="298"/>
      <c r="F482" s="282"/>
      <c r="G482" s="298"/>
      <c r="H482" s="298"/>
      <c r="I482" s="282"/>
      <c r="J482" s="298"/>
      <c r="K482" s="566"/>
      <c r="L482" s="282"/>
      <c r="M482" s="282"/>
      <c r="N482" s="298"/>
      <c r="O482" s="282"/>
      <c r="P482" s="282"/>
      <c r="Q482" s="298"/>
      <c r="R482" s="282"/>
      <c r="S482" s="282"/>
      <c r="T482" s="298"/>
      <c r="U482" s="282"/>
      <c r="V482" s="298"/>
      <c r="W482" s="298"/>
      <c r="X482" s="297"/>
      <c r="Y482" s="297"/>
      <c r="Z482" s="297"/>
      <c r="AA482" s="297"/>
      <c r="AB482" s="297"/>
      <c r="AC482" s="297"/>
      <c r="AD482" s="297"/>
      <c r="AE482" s="297"/>
      <c r="AF482" s="297"/>
      <c r="AG482" s="297"/>
      <c r="AH482" s="297"/>
      <c r="AI482" s="297"/>
      <c r="AJ482" s="297"/>
      <c r="AK482" s="297"/>
      <c r="AL482" s="297"/>
      <c r="AM482" s="297"/>
      <c r="AN482" s="297"/>
      <c r="AO482" s="297"/>
      <c r="AP482" s="297"/>
      <c r="AQ482" s="297"/>
      <c r="AR482" s="297"/>
      <c r="AS482" s="297"/>
      <c r="AT482" s="297"/>
      <c r="AU482" s="297"/>
      <c r="AV482" s="297"/>
      <c r="AW482" s="297"/>
      <c r="AX482" s="297"/>
      <c r="AY482" s="297"/>
      <c r="AZ482" s="297"/>
      <c r="BA482" s="297"/>
      <c r="BB482" s="297"/>
    </row>
    <row r="483" spans="1:54" thickBot="1">
      <c r="A483" s="298"/>
      <c r="B483" s="298"/>
      <c r="C483" s="298"/>
      <c r="D483" s="298"/>
      <c r="E483" s="298"/>
      <c r="F483" s="282"/>
      <c r="G483" s="298"/>
      <c r="H483" s="298"/>
      <c r="I483" s="282"/>
      <c r="J483" s="298"/>
      <c r="K483" s="566"/>
      <c r="L483" s="282"/>
      <c r="M483" s="282"/>
      <c r="N483" s="298"/>
      <c r="O483" s="282"/>
      <c r="P483" s="282"/>
      <c r="Q483" s="298"/>
      <c r="R483" s="282"/>
      <c r="S483" s="282"/>
      <c r="T483" s="298"/>
      <c r="U483" s="282"/>
      <c r="V483" s="298"/>
      <c r="W483" s="298"/>
      <c r="X483" s="297"/>
      <c r="Y483" s="297"/>
      <c r="Z483" s="297"/>
      <c r="AA483" s="297"/>
      <c r="AB483" s="297"/>
      <c r="AC483" s="297"/>
      <c r="AD483" s="297"/>
      <c r="AE483" s="297"/>
      <c r="AF483" s="297"/>
      <c r="AG483" s="297"/>
      <c r="AH483" s="297"/>
      <c r="AI483" s="297"/>
      <c r="AJ483" s="297"/>
      <c r="AK483" s="297"/>
      <c r="AL483" s="297"/>
      <c r="AM483" s="297"/>
      <c r="AN483" s="297"/>
      <c r="AO483" s="297"/>
      <c r="AP483" s="297"/>
      <c r="AQ483" s="297"/>
      <c r="AR483" s="297"/>
      <c r="AS483" s="297"/>
      <c r="AT483" s="297"/>
      <c r="AU483" s="297"/>
      <c r="AV483" s="297"/>
      <c r="AW483" s="297"/>
      <c r="AX483" s="297"/>
      <c r="AY483" s="297"/>
      <c r="AZ483" s="297"/>
      <c r="BA483" s="297"/>
      <c r="BB483" s="297"/>
    </row>
    <row r="484" spans="1:54" thickBot="1">
      <c r="A484" s="298"/>
      <c r="B484" s="298"/>
      <c r="C484" s="298"/>
      <c r="D484" s="298"/>
      <c r="E484" s="298"/>
      <c r="F484" s="282"/>
      <c r="G484" s="298"/>
      <c r="H484" s="298"/>
      <c r="I484" s="282"/>
      <c r="J484" s="298"/>
      <c r="K484" s="566"/>
      <c r="L484" s="282"/>
      <c r="M484" s="282"/>
      <c r="N484" s="298"/>
      <c r="O484" s="282"/>
      <c r="P484" s="282"/>
      <c r="Q484" s="298"/>
      <c r="R484" s="282"/>
      <c r="S484" s="282"/>
      <c r="T484" s="298"/>
      <c r="U484" s="282"/>
      <c r="V484" s="298"/>
      <c r="W484" s="298"/>
      <c r="X484" s="297"/>
      <c r="Y484" s="297"/>
      <c r="Z484" s="297"/>
      <c r="AA484" s="297"/>
      <c r="AB484" s="297"/>
      <c r="AC484" s="297"/>
      <c r="AD484" s="297"/>
      <c r="AE484" s="297"/>
      <c r="AF484" s="297"/>
      <c r="AG484" s="297"/>
      <c r="AH484" s="297"/>
      <c r="AI484" s="297"/>
      <c r="AJ484" s="297"/>
      <c r="AK484" s="297"/>
      <c r="AL484" s="297"/>
      <c r="AM484" s="297"/>
      <c r="AN484" s="297"/>
      <c r="AO484" s="297"/>
      <c r="AP484" s="297"/>
      <c r="AQ484" s="297"/>
      <c r="AR484" s="297"/>
      <c r="AS484" s="297"/>
      <c r="AT484" s="297"/>
      <c r="AU484" s="297"/>
      <c r="AV484" s="297"/>
      <c r="AW484" s="297"/>
      <c r="AX484" s="297"/>
      <c r="AY484" s="297"/>
      <c r="AZ484" s="297"/>
      <c r="BA484" s="297"/>
      <c r="BB484" s="297"/>
    </row>
    <row r="485" spans="1:54" thickBot="1">
      <c r="A485" s="298"/>
      <c r="B485" s="298"/>
      <c r="C485" s="298"/>
      <c r="D485" s="298"/>
      <c r="E485" s="298"/>
      <c r="F485" s="282"/>
      <c r="G485" s="298"/>
      <c r="H485" s="298"/>
      <c r="I485" s="282"/>
      <c r="J485" s="298"/>
      <c r="K485" s="566"/>
      <c r="L485" s="282"/>
      <c r="M485" s="282"/>
      <c r="N485" s="298"/>
      <c r="O485" s="282"/>
      <c r="P485" s="282"/>
      <c r="Q485" s="298"/>
      <c r="R485" s="282"/>
      <c r="S485" s="282"/>
      <c r="T485" s="298"/>
      <c r="U485" s="282"/>
      <c r="V485" s="298"/>
      <c r="W485" s="298"/>
      <c r="X485" s="297"/>
      <c r="Y485" s="297"/>
      <c r="Z485" s="297"/>
      <c r="AA485" s="297"/>
      <c r="AB485" s="297"/>
      <c r="AC485" s="297"/>
      <c r="AD485" s="297"/>
      <c r="AE485" s="297"/>
      <c r="AF485" s="297"/>
      <c r="AG485" s="297"/>
      <c r="AH485" s="297"/>
      <c r="AI485" s="297"/>
      <c r="AJ485" s="297"/>
      <c r="AK485" s="297"/>
      <c r="AL485" s="297"/>
      <c r="AM485" s="297"/>
      <c r="AN485" s="297"/>
      <c r="AO485" s="297"/>
      <c r="AP485" s="297"/>
      <c r="AQ485" s="297"/>
      <c r="AR485" s="297"/>
      <c r="AS485" s="297"/>
      <c r="AT485" s="297"/>
      <c r="AU485" s="297"/>
      <c r="AV485" s="297"/>
      <c r="AW485" s="297"/>
      <c r="AX485" s="297"/>
      <c r="AY485" s="297"/>
      <c r="AZ485" s="297"/>
      <c r="BA485" s="297"/>
      <c r="BB485" s="297"/>
    </row>
    <row r="486" spans="1:54" thickBot="1">
      <c r="A486" s="298"/>
      <c r="B486" s="298"/>
      <c r="C486" s="298"/>
      <c r="D486" s="298"/>
      <c r="E486" s="298"/>
      <c r="F486" s="282"/>
      <c r="G486" s="298"/>
      <c r="H486" s="298"/>
      <c r="I486" s="282"/>
      <c r="J486" s="298"/>
      <c r="K486" s="566"/>
      <c r="L486" s="282"/>
      <c r="M486" s="282"/>
      <c r="N486" s="298"/>
      <c r="O486" s="282"/>
      <c r="P486" s="282"/>
      <c r="Q486" s="298"/>
      <c r="R486" s="282"/>
      <c r="S486" s="282"/>
      <c r="T486" s="298"/>
      <c r="U486" s="282"/>
      <c r="V486" s="298"/>
      <c r="W486" s="298"/>
      <c r="X486" s="297"/>
      <c r="Y486" s="297"/>
      <c r="Z486" s="297"/>
      <c r="AA486" s="297"/>
      <c r="AB486" s="297"/>
      <c r="AC486" s="297"/>
      <c r="AD486" s="297"/>
      <c r="AE486" s="297"/>
      <c r="AF486" s="297"/>
      <c r="AG486" s="297"/>
      <c r="AH486" s="297"/>
      <c r="AI486" s="297"/>
      <c r="AJ486" s="297"/>
      <c r="AK486" s="297"/>
      <c r="AL486" s="297"/>
      <c r="AM486" s="297"/>
      <c r="AN486" s="297"/>
      <c r="AO486" s="297"/>
      <c r="AP486" s="297"/>
      <c r="AQ486" s="297"/>
      <c r="AR486" s="297"/>
      <c r="AS486" s="297"/>
      <c r="AT486" s="297"/>
      <c r="AU486" s="297"/>
      <c r="AV486" s="297"/>
      <c r="AW486" s="297"/>
      <c r="AX486" s="297"/>
      <c r="AY486" s="297"/>
      <c r="AZ486" s="297"/>
      <c r="BA486" s="297"/>
      <c r="BB486" s="297"/>
    </row>
    <row r="487" spans="1:54" thickBot="1">
      <c r="A487" s="298"/>
      <c r="B487" s="298"/>
      <c r="C487" s="298"/>
      <c r="D487" s="298"/>
      <c r="E487" s="298"/>
      <c r="F487" s="282"/>
      <c r="G487" s="298"/>
      <c r="H487" s="298"/>
      <c r="I487" s="282"/>
      <c r="J487" s="298"/>
      <c r="K487" s="566"/>
      <c r="L487" s="282"/>
      <c r="M487" s="282"/>
      <c r="N487" s="298"/>
      <c r="O487" s="282"/>
      <c r="P487" s="282"/>
      <c r="Q487" s="298"/>
      <c r="R487" s="282"/>
      <c r="S487" s="282"/>
      <c r="T487" s="298"/>
      <c r="U487" s="282"/>
      <c r="V487" s="298"/>
      <c r="W487" s="298"/>
      <c r="X487" s="297"/>
      <c r="Y487" s="297"/>
      <c r="Z487" s="297"/>
      <c r="AA487" s="297"/>
      <c r="AB487" s="297"/>
      <c r="AC487" s="297"/>
      <c r="AD487" s="297"/>
      <c r="AE487" s="297"/>
      <c r="AF487" s="297"/>
      <c r="AG487" s="297"/>
      <c r="AH487" s="297"/>
      <c r="AI487" s="297"/>
      <c r="AJ487" s="297"/>
      <c r="AK487" s="297"/>
      <c r="AL487" s="297"/>
      <c r="AM487" s="297"/>
      <c r="AN487" s="297"/>
      <c r="AO487" s="297"/>
      <c r="AP487" s="297"/>
      <c r="AQ487" s="297"/>
      <c r="AR487" s="297"/>
      <c r="AS487" s="297"/>
      <c r="AT487" s="297"/>
      <c r="AU487" s="297"/>
      <c r="AV487" s="297"/>
      <c r="AW487" s="297"/>
      <c r="AX487" s="297"/>
      <c r="AY487" s="297"/>
      <c r="AZ487" s="297"/>
      <c r="BA487" s="297"/>
      <c r="BB487" s="297"/>
    </row>
    <row r="488" spans="1:54" thickBot="1">
      <c r="A488" s="298"/>
      <c r="B488" s="298"/>
      <c r="C488" s="298"/>
      <c r="D488" s="298"/>
      <c r="E488" s="298"/>
      <c r="F488" s="282"/>
      <c r="G488" s="298"/>
      <c r="H488" s="298"/>
      <c r="I488" s="282"/>
      <c r="J488" s="298"/>
      <c r="K488" s="566"/>
      <c r="L488" s="282"/>
      <c r="M488" s="282"/>
      <c r="N488" s="298"/>
      <c r="O488" s="282"/>
      <c r="P488" s="282"/>
      <c r="Q488" s="298"/>
      <c r="R488" s="282"/>
      <c r="S488" s="282"/>
      <c r="T488" s="298"/>
      <c r="U488" s="282"/>
      <c r="V488" s="298"/>
      <c r="W488" s="298"/>
      <c r="X488" s="297"/>
      <c r="Y488" s="297"/>
      <c r="Z488" s="297"/>
      <c r="AA488" s="297"/>
      <c r="AB488" s="297"/>
      <c r="AC488" s="297"/>
      <c r="AD488" s="297"/>
      <c r="AE488" s="297"/>
      <c r="AF488" s="297"/>
      <c r="AG488" s="297"/>
      <c r="AH488" s="297"/>
      <c r="AI488" s="297"/>
      <c r="AJ488" s="297"/>
      <c r="AK488" s="297"/>
      <c r="AL488" s="297"/>
      <c r="AM488" s="297"/>
      <c r="AN488" s="297"/>
      <c r="AO488" s="297"/>
      <c r="AP488" s="297"/>
      <c r="AQ488" s="297"/>
      <c r="AR488" s="297"/>
      <c r="AS488" s="297"/>
      <c r="AT488" s="297"/>
      <c r="AU488" s="297"/>
      <c r="AV488" s="297"/>
      <c r="AW488" s="297"/>
      <c r="AX488" s="297"/>
      <c r="AY488" s="297"/>
      <c r="AZ488" s="297"/>
      <c r="BA488" s="297"/>
      <c r="BB488" s="297"/>
    </row>
    <row r="489" spans="1:54" thickBot="1">
      <c r="A489" s="298"/>
      <c r="B489" s="298"/>
      <c r="C489" s="298"/>
      <c r="D489" s="298"/>
      <c r="E489" s="298"/>
      <c r="F489" s="282"/>
      <c r="G489" s="298"/>
      <c r="H489" s="298"/>
      <c r="I489" s="282"/>
      <c r="J489" s="298"/>
      <c r="K489" s="566"/>
      <c r="L489" s="282"/>
      <c r="M489" s="282"/>
      <c r="N489" s="298"/>
      <c r="O489" s="282"/>
      <c r="P489" s="282"/>
      <c r="Q489" s="298"/>
      <c r="R489" s="282"/>
      <c r="S489" s="282"/>
      <c r="T489" s="298"/>
      <c r="U489" s="282"/>
      <c r="V489" s="298"/>
      <c r="W489" s="298"/>
      <c r="X489" s="297"/>
      <c r="Y489" s="297"/>
      <c r="Z489" s="297"/>
      <c r="AA489" s="297"/>
      <c r="AB489" s="297"/>
      <c r="AC489" s="297"/>
      <c r="AD489" s="297"/>
      <c r="AE489" s="297"/>
      <c r="AF489" s="297"/>
      <c r="AG489" s="297"/>
      <c r="AH489" s="297"/>
      <c r="AI489" s="297"/>
      <c r="AJ489" s="297"/>
      <c r="AK489" s="297"/>
      <c r="AL489" s="297"/>
      <c r="AM489" s="297"/>
      <c r="AN489" s="297"/>
      <c r="AO489" s="297"/>
      <c r="AP489" s="297"/>
      <c r="AQ489" s="297"/>
      <c r="AR489" s="297"/>
      <c r="AS489" s="297"/>
      <c r="AT489" s="297"/>
      <c r="AU489" s="297"/>
      <c r="AV489" s="297"/>
      <c r="AW489" s="297"/>
      <c r="AX489" s="297"/>
      <c r="AY489" s="297"/>
      <c r="AZ489" s="297"/>
      <c r="BA489" s="297"/>
      <c r="BB489" s="297"/>
    </row>
    <row r="490" spans="1:54" thickBot="1">
      <c r="A490" s="298"/>
      <c r="B490" s="298"/>
      <c r="C490" s="298"/>
      <c r="D490" s="298"/>
      <c r="E490" s="298"/>
      <c r="F490" s="282"/>
      <c r="G490" s="298"/>
      <c r="H490" s="298"/>
      <c r="I490" s="282"/>
      <c r="J490" s="298"/>
      <c r="K490" s="566"/>
      <c r="L490" s="282"/>
      <c r="M490" s="282"/>
      <c r="N490" s="298"/>
      <c r="O490" s="282"/>
      <c r="P490" s="282"/>
      <c r="Q490" s="298"/>
      <c r="R490" s="282"/>
      <c r="S490" s="282"/>
      <c r="T490" s="298"/>
      <c r="U490" s="282"/>
      <c r="V490" s="298"/>
      <c r="W490" s="298"/>
      <c r="X490" s="297"/>
      <c r="Y490" s="297"/>
      <c r="Z490" s="297"/>
      <c r="AA490" s="297"/>
      <c r="AB490" s="297"/>
      <c r="AC490" s="297"/>
      <c r="AD490" s="297"/>
      <c r="AE490" s="297"/>
      <c r="AF490" s="297"/>
      <c r="AG490" s="297"/>
      <c r="AH490" s="297"/>
      <c r="AI490" s="297"/>
      <c r="AJ490" s="297"/>
      <c r="AK490" s="297"/>
      <c r="AL490" s="297"/>
      <c r="AM490" s="297"/>
      <c r="AN490" s="297"/>
      <c r="AO490" s="297"/>
      <c r="AP490" s="297"/>
      <c r="AQ490" s="297"/>
      <c r="AR490" s="297"/>
      <c r="AS490" s="297"/>
      <c r="AT490" s="297"/>
      <c r="AU490" s="297"/>
      <c r="AV490" s="297"/>
      <c r="AW490" s="297"/>
      <c r="AX490" s="297"/>
      <c r="AY490" s="297"/>
      <c r="AZ490" s="297"/>
      <c r="BA490" s="297"/>
      <c r="BB490" s="297"/>
    </row>
    <row r="491" spans="1:54" thickBot="1">
      <c r="A491" s="298"/>
      <c r="B491" s="298"/>
      <c r="C491" s="298"/>
      <c r="D491" s="298"/>
      <c r="E491" s="298"/>
      <c r="F491" s="282"/>
      <c r="G491" s="298"/>
      <c r="H491" s="298"/>
      <c r="I491" s="282"/>
      <c r="J491" s="298"/>
      <c r="K491" s="566"/>
      <c r="L491" s="282"/>
      <c r="M491" s="282"/>
      <c r="N491" s="298"/>
      <c r="O491" s="282"/>
      <c r="P491" s="282"/>
      <c r="Q491" s="298"/>
      <c r="R491" s="282"/>
      <c r="S491" s="282"/>
      <c r="T491" s="298"/>
      <c r="U491" s="282"/>
      <c r="V491" s="298"/>
      <c r="W491" s="298"/>
      <c r="X491" s="297"/>
      <c r="Y491" s="297"/>
      <c r="Z491" s="297"/>
      <c r="AA491" s="297"/>
      <c r="AB491" s="297"/>
      <c r="AC491" s="297"/>
      <c r="AD491" s="297"/>
      <c r="AE491" s="297"/>
      <c r="AF491" s="297"/>
      <c r="AG491" s="297"/>
      <c r="AH491" s="297"/>
      <c r="AI491" s="297"/>
      <c r="AJ491" s="297"/>
      <c r="AK491" s="297"/>
      <c r="AL491" s="297"/>
      <c r="AM491" s="297"/>
      <c r="AN491" s="297"/>
      <c r="AO491" s="297"/>
      <c r="AP491" s="297"/>
      <c r="AQ491" s="297"/>
      <c r="AR491" s="297"/>
      <c r="AS491" s="297"/>
      <c r="AT491" s="297"/>
      <c r="AU491" s="297"/>
      <c r="AV491" s="297"/>
      <c r="AW491" s="297"/>
      <c r="AX491" s="297"/>
      <c r="AY491" s="297"/>
      <c r="AZ491" s="297"/>
      <c r="BA491" s="297"/>
      <c r="BB491" s="297"/>
    </row>
    <row r="492" spans="1:54" thickBot="1">
      <c r="A492" s="298"/>
      <c r="B492" s="298"/>
      <c r="C492" s="298"/>
      <c r="D492" s="298"/>
      <c r="E492" s="298"/>
      <c r="F492" s="282"/>
      <c r="G492" s="298"/>
      <c r="H492" s="298"/>
      <c r="I492" s="282"/>
      <c r="J492" s="298"/>
      <c r="K492" s="566"/>
      <c r="L492" s="282"/>
      <c r="M492" s="282"/>
      <c r="N492" s="298"/>
      <c r="O492" s="282"/>
      <c r="P492" s="282"/>
      <c r="Q492" s="298"/>
      <c r="R492" s="282"/>
      <c r="S492" s="282"/>
      <c r="T492" s="298"/>
      <c r="U492" s="282"/>
      <c r="V492" s="298"/>
      <c r="W492" s="298"/>
      <c r="X492" s="297"/>
      <c r="Y492" s="297"/>
      <c r="Z492" s="297"/>
      <c r="AA492" s="297"/>
      <c r="AB492" s="297"/>
      <c r="AC492" s="297"/>
      <c r="AD492" s="297"/>
      <c r="AE492" s="297"/>
      <c r="AF492" s="297"/>
      <c r="AG492" s="297"/>
      <c r="AH492" s="297"/>
      <c r="AI492" s="297"/>
      <c r="AJ492" s="297"/>
      <c r="AK492" s="297"/>
      <c r="AL492" s="297"/>
      <c r="AM492" s="297"/>
      <c r="AN492" s="297"/>
      <c r="AO492" s="297"/>
      <c r="AP492" s="297"/>
      <c r="AQ492" s="297"/>
      <c r="AR492" s="297"/>
      <c r="AS492" s="297"/>
      <c r="AT492" s="297"/>
      <c r="AU492" s="297"/>
      <c r="AV492" s="297"/>
      <c r="AW492" s="297"/>
      <c r="AX492" s="297"/>
      <c r="AY492" s="297"/>
      <c r="AZ492" s="297"/>
      <c r="BA492" s="297"/>
      <c r="BB492" s="297"/>
    </row>
    <row r="493" spans="1:54" thickBot="1">
      <c r="A493" s="298"/>
      <c r="B493" s="298"/>
      <c r="C493" s="298"/>
      <c r="D493" s="298"/>
      <c r="E493" s="298"/>
      <c r="F493" s="282"/>
      <c r="G493" s="298"/>
      <c r="H493" s="298"/>
      <c r="I493" s="282"/>
      <c r="J493" s="298"/>
      <c r="K493" s="566"/>
      <c r="L493" s="282"/>
      <c r="M493" s="282"/>
      <c r="N493" s="298"/>
      <c r="O493" s="282"/>
      <c r="P493" s="282"/>
      <c r="Q493" s="298"/>
      <c r="R493" s="282"/>
      <c r="S493" s="282"/>
      <c r="T493" s="298"/>
      <c r="U493" s="282"/>
      <c r="V493" s="298"/>
      <c r="W493" s="298"/>
      <c r="X493" s="297"/>
      <c r="Y493" s="297"/>
      <c r="Z493" s="297"/>
      <c r="AA493" s="297"/>
      <c r="AB493" s="297"/>
      <c r="AC493" s="297"/>
      <c r="AD493" s="297"/>
      <c r="AE493" s="297"/>
      <c r="AF493" s="297"/>
      <c r="AG493" s="297"/>
      <c r="AH493" s="297"/>
      <c r="AI493" s="297"/>
      <c r="AJ493" s="297"/>
      <c r="AK493" s="297"/>
      <c r="AL493" s="297"/>
      <c r="AM493" s="297"/>
      <c r="AN493" s="297"/>
      <c r="AO493" s="297"/>
      <c r="AP493" s="297"/>
      <c r="AQ493" s="297"/>
      <c r="AR493" s="297"/>
      <c r="AS493" s="297"/>
      <c r="AT493" s="297"/>
      <c r="AU493" s="297"/>
      <c r="AV493" s="297"/>
      <c r="AW493" s="297"/>
      <c r="AX493" s="297"/>
      <c r="AY493" s="297"/>
      <c r="AZ493" s="297"/>
      <c r="BA493" s="297"/>
      <c r="BB493" s="297"/>
    </row>
    <row r="494" spans="1:54" thickBot="1">
      <c r="A494" s="298"/>
      <c r="B494" s="298"/>
      <c r="C494" s="298"/>
      <c r="D494" s="298"/>
      <c r="E494" s="298"/>
      <c r="F494" s="282"/>
      <c r="G494" s="298"/>
      <c r="H494" s="298"/>
      <c r="I494" s="282"/>
      <c r="J494" s="298"/>
      <c r="K494" s="566"/>
      <c r="L494" s="282"/>
      <c r="M494" s="282"/>
      <c r="N494" s="298"/>
      <c r="O494" s="282"/>
      <c r="P494" s="282"/>
      <c r="Q494" s="298"/>
      <c r="R494" s="282"/>
      <c r="S494" s="282"/>
      <c r="T494" s="298"/>
      <c r="U494" s="282"/>
      <c r="V494" s="298"/>
      <c r="W494" s="298"/>
      <c r="X494" s="297"/>
      <c r="Y494" s="297"/>
      <c r="Z494" s="297"/>
      <c r="AA494" s="297"/>
      <c r="AB494" s="297"/>
      <c r="AC494" s="297"/>
      <c r="AD494" s="297"/>
      <c r="AE494" s="297"/>
      <c r="AF494" s="297"/>
      <c r="AG494" s="297"/>
      <c r="AH494" s="297"/>
      <c r="AI494" s="297"/>
      <c r="AJ494" s="297"/>
      <c r="AK494" s="297"/>
      <c r="AL494" s="297"/>
      <c r="AM494" s="297"/>
      <c r="AN494" s="297"/>
      <c r="AO494" s="297"/>
      <c r="AP494" s="297"/>
      <c r="AQ494" s="297"/>
      <c r="AR494" s="297"/>
      <c r="AS494" s="297"/>
      <c r="AT494" s="297"/>
      <c r="AU494" s="297"/>
      <c r="AV494" s="297"/>
      <c r="AW494" s="297"/>
      <c r="AX494" s="297"/>
      <c r="AY494" s="297"/>
      <c r="AZ494" s="297"/>
      <c r="BA494" s="297"/>
      <c r="BB494" s="297"/>
    </row>
    <row r="495" spans="1:54" thickBot="1">
      <c r="A495" s="298"/>
      <c r="B495" s="298"/>
      <c r="C495" s="298"/>
      <c r="D495" s="298"/>
      <c r="E495" s="298"/>
      <c r="F495" s="282"/>
      <c r="G495" s="298"/>
      <c r="H495" s="298"/>
      <c r="I495" s="282"/>
      <c r="J495" s="298"/>
      <c r="K495" s="566"/>
      <c r="L495" s="282"/>
      <c r="M495" s="282"/>
      <c r="N495" s="298"/>
      <c r="O495" s="282"/>
      <c r="P495" s="282"/>
      <c r="Q495" s="298"/>
      <c r="R495" s="282"/>
      <c r="S495" s="282"/>
      <c r="T495" s="298"/>
      <c r="U495" s="282"/>
      <c r="V495" s="298"/>
      <c r="W495" s="298"/>
      <c r="X495" s="297"/>
      <c r="Y495" s="297"/>
      <c r="Z495" s="297"/>
      <c r="AA495" s="297"/>
      <c r="AB495" s="297"/>
      <c r="AC495" s="297"/>
      <c r="AD495" s="297"/>
      <c r="AE495" s="297"/>
      <c r="AF495" s="297"/>
      <c r="AG495" s="297"/>
      <c r="AH495" s="297"/>
      <c r="AI495" s="297"/>
      <c r="AJ495" s="297"/>
      <c r="AK495" s="297"/>
      <c r="AL495" s="297"/>
      <c r="AM495" s="297"/>
      <c r="AN495" s="297"/>
      <c r="AO495" s="297"/>
      <c r="AP495" s="297"/>
      <c r="AQ495" s="297"/>
      <c r="AR495" s="297"/>
      <c r="AS495" s="297"/>
      <c r="AT495" s="297"/>
      <c r="AU495" s="297"/>
      <c r="AV495" s="297"/>
      <c r="AW495" s="297"/>
      <c r="AX495" s="297"/>
      <c r="AY495" s="297"/>
      <c r="AZ495" s="297"/>
      <c r="BA495" s="297"/>
      <c r="BB495" s="297"/>
    </row>
    <row r="496" spans="1:54" thickBot="1">
      <c r="A496" s="298"/>
      <c r="B496" s="298"/>
      <c r="C496" s="298"/>
      <c r="D496" s="298"/>
      <c r="E496" s="298"/>
      <c r="F496" s="282"/>
      <c r="G496" s="298"/>
      <c r="H496" s="298"/>
      <c r="I496" s="282"/>
      <c r="J496" s="298"/>
      <c r="K496" s="566"/>
      <c r="L496" s="282"/>
      <c r="M496" s="282"/>
      <c r="N496" s="298"/>
      <c r="O496" s="282"/>
      <c r="P496" s="282"/>
      <c r="Q496" s="298"/>
      <c r="R496" s="282"/>
      <c r="S496" s="282"/>
      <c r="T496" s="298"/>
      <c r="U496" s="282"/>
      <c r="V496" s="298"/>
      <c r="W496" s="298"/>
      <c r="X496" s="297"/>
      <c r="Y496" s="297"/>
      <c r="Z496" s="297"/>
      <c r="AA496" s="297"/>
      <c r="AB496" s="297"/>
      <c r="AC496" s="297"/>
      <c r="AD496" s="297"/>
      <c r="AE496" s="297"/>
      <c r="AF496" s="297"/>
      <c r="AG496" s="297"/>
      <c r="AH496" s="297"/>
      <c r="AI496" s="297"/>
      <c r="AJ496" s="297"/>
      <c r="AK496" s="297"/>
      <c r="AL496" s="297"/>
      <c r="AM496" s="297"/>
      <c r="AN496" s="297"/>
      <c r="AO496" s="297"/>
      <c r="AP496" s="297"/>
      <c r="AQ496" s="297"/>
      <c r="AR496" s="297"/>
      <c r="AS496" s="297"/>
      <c r="AT496" s="297"/>
      <c r="AU496" s="297"/>
      <c r="AV496" s="297"/>
      <c r="AW496" s="297"/>
      <c r="AX496" s="297"/>
      <c r="AY496" s="297"/>
      <c r="AZ496" s="297"/>
      <c r="BA496" s="297"/>
      <c r="BB496" s="297"/>
    </row>
    <row r="497" spans="1:54" thickBot="1">
      <c r="A497" s="298"/>
      <c r="B497" s="298"/>
      <c r="C497" s="298"/>
      <c r="D497" s="298"/>
      <c r="E497" s="298"/>
      <c r="F497" s="282"/>
      <c r="G497" s="298"/>
      <c r="H497" s="298"/>
      <c r="I497" s="282"/>
      <c r="J497" s="298"/>
      <c r="K497" s="566"/>
      <c r="L497" s="282"/>
      <c r="M497" s="282"/>
      <c r="N497" s="298"/>
      <c r="O497" s="282"/>
      <c r="P497" s="282"/>
      <c r="Q497" s="298"/>
      <c r="R497" s="282"/>
      <c r="S497" s="282"/>
      <c r="T497" s="298"/>
      <c r="U497" s="282"/>
      <c r="V497" s="298"/>
      <c r="W497" s="298"/>
      <c r="X497" s="297"/>
      <c r="Y497" s="297"/>
      <c r="Z497" s="297"/>
      <c r="AA497" s="297"/>
      <c r="AB497" s="297"/>
      <c r="AC497" s="297"/>
      <c r="AD497" s="297"/>
      <c r="AE497" s="297"/>
      <c r="AF497" s="297"/>
      <c r="AG497" s="297"/>
      <c r="AH497" s="297"/>
      <c r="AI497" s="297"/>
      <c r="AJ497" s="297"/>
      <c r="AK497" s="297"/>
      <c r="AL497" s="297"/>
      <c r="AM497" s="297"/>
      <c r="AN497" s="297"/>
      <c r="AO497" s="297"/>
      <c r="AP497" s="297"/>
      <c r="AQ497" s="297"/>
      <c r="AR497" s="297"/>
      <c r="AS497" s="297"/>
      <c r="AT497" s="297"/>
      <c r="AU497" s="297"/>
      <c r="AV497" s="297"/>
      <c r="AW497" s="297"/>
      <c r="AX497" s="297"/>
      <c r="AY497" s="297"/>
      <c r="AZ497" s="297"/>
      <c r="BA497" s="297"/>
      <c r="BB497" s="297"/>
    </row>
    <row r="498" spans="1:54" thickBot="1">
      <c r="A498" s="298"/>
      <c r="B498" s="298"/>
      <c r="C498" s="298"/>
      <c r="D498" s="298"/>
      <c r="E498" s="298"/>
      <c r="F498" s="282"/>
      <c r="G498" s="298"/>
      <c r="H498" s="298"/>
      <c r="I498" s="282"/>
      <c r="J498" s="298"/>
      <c r="K498" s="566"/>
      <c r="L498" s="282"/>
      <c r="M498" s="282"/>
      <c r="N498" s="298"/>
      <c r="O498" s="282"/>
      <c r="P498" s="282"/>
      <c r="Q498" s="298"/>
      <c r="R498" s="282"/>
      <c r="S498" s="282"/>
      <c r="T498" s="298"/>
      <c r="U498" s="282"/>
      <c r="V498" s="298"/>
      <c r="W498" s="298"/>
      <c r="X498" s="297"/>
      <c r="Y498" s="297"/>
      <c r="Z498" s="297"/>
      <c r="AA498" s="297"/>
      <c r="AB498" s="297"/>
      <c r="AC498" s="297"/>
      <c r="AD498" s="297"/>
      <c r="AE498" s="297"/>
      <c r="AF498" s="297"/>
      <c r="AG498" s="297"/>
      <c r="AH498" s="297"/>
      <c r="AI498" s="297"/>
      <c r="AJ498" s="297"/>
      <c r="AK498" s="297"/>
      <c r="AL498" s="297"/>
      <c r="AM498" s="297"/>
      <c r="AN498" s="297"/>
      <c r="AO498" s="297"/>
      <c r="AP498" s="297"/>
      <c r="AQ498" s="297"/>
      <c r="AR498" s="297"/>
      <c r="AS498" s="297"/>
      <c r="AT498" s="297"/>
      <c r="AU498" s="297"/>
      <c r="AV498" s="297"/>
      <c r="AW498" s="297"/>
      <c r="AX498" s="297"/>
      <c r="AY498" s="297"/>
      <c r="AZ498" s="297"/>
      <c r="BA498" s="297"/>
      <c r="BB498" s="297"/>
    </row>
    <row r="499" spans="1:54" thickBot="1">
      <c r="A499" s="298"/>
      <c r="B499" s="298"/>
      <c r="C499" s="298"/>
      <c r="D499" s="298"/>
      <c r="E499" s="298"/>
      <c r="F499" s="282"/>
      <c r="G499" s="298"/>
      <c r="H499" s="298"/>
      <c r="I499" s="282"/>
      <c r="J499" s="298"/>
      <c r="K499" s="566"/>
      <c r="L499" s="282"/>
      <c r="M499" s="282"/>
      <c r="N499" s="298"/>
      <c r="O499" s="282"/>
      <c r="P499" s="282"/>
      <c r="Q499" s="298"/>
      <c r="R499" s="282"/>
      <c r="S499" s="282"/>
      <c r="T499" s="298"/>
      <c r="U499" s="282"/>
      <c r="V499" s="298"/>
      <c r="W499" s="298"/>
      <c r="X499" s="297"/>
      <c r="Y499" s="297"/>
      <c r="Z499" s="297"/>
      <c r="AA499" s="297"/>
      <c r="AB499" s="297"/>
      <c r="AC499" s="297"/>
      <c r="AD499" s="297"/>
      <c r="AE499" s="297"/>
      <c r="AF499" s="297"/>
      <c r="AG499" s="297"/>
      <c r="AH499" s="297"/>
      <c r="AI499" s="297"/>
      <c r="AJ499" s="297"/>
      <c r="AK499" s="297"/>
      <c r="AL499" s="297"/>
      <c r="AM499" s="297"/>
      <c r="AN499" s="297"/>
      <c r="AO499" s="297"/>
      <c r="AP499" s="297"/>
      <c r="AQ499" s="297"/>
      <c r="AR499" s="297"/>
      <c r="AS499" s="297"/>
      <c r="AT499" s="297"/>
      <c r="AU499" s="297"/>
      <c r="AV499" s="297"/>
      <c r="AW499" s="297"/>
      <c r="AX499" s="297"/>
      <c r="AY499" s="297"/>
      <c r="AZ499" s="297"/>
      <c r="BA499" s="297"/>
      <c r="BB499" s="297"/>
    </row>
    <row r="500" spans="1:54" thickBot="1">
      <c r="A500" s="298"/>
      <c r="B500" s="298"/>
      <c r="C500" s="298"/>
      <c r="D500" s="298"/>
      <c r="E500" s="298"/>
      <c r="F500" s="282"/>
      <c r="G500" s="298"/>
      <c r="H500" s="298"/>
      <c r="I500" s="282"/>
      <c r="J500" s="298"/>
      <c r="K500" s="566"/>
      <c r="L500" s="282"/>
      <c r="M500" s="282"/>
      <c r="N500" s="298"/>
      <c r="O500" s="282"/>
      <c r="P500" s="282"/>
      <c r="Q500" s="298"/>
      <c r="R500" s="282"/>
      <c r="S500" s="282"/>
      <c r="T500" s="298"/>
      <c r="U500" s="282"/>
      <c r="V500" s="298"/>
      <c r="W500" s="298"/>
      <c r="X500" s="297"/>
      <c r="Y500" s="297"/>
      <c r="Z500" s="297"/>
      <c r="AA500" s="297"/>
      <c r="AB500" s="297"/>
      <c r="AC500" s="297"/>
      <c r="AD500" s="297"/>
      <c r="AE500" s="297"/>
      <c r="AF500" s="297"/>
      <c r="AG500" s="297"/>
      <c r="AH500" s="297"/>
      <c r="AI500" s="297"/>
      <c r="AJ500" s="297"/>
      <c r="AK500" s="297"/>
      <c r="AL500" s="297"/>
      <c r="AM500" s="297"/>
      <c r="AN500" s="297"/>
      <c r="AO500" s="297"/>
      <c r="AP500" s="297"/>
      <c r="AQ500" s="297"/>
      <c r="AR500" s="297"/>
      <c r="AS500" s="297"/>
      <c r="AT500" s="297"/>
      <c r="AU500" s="297"/>
      <c r="AV500" s="297"/>
      <c r="AW500" s="297"/>
      <c r="AX500" s="297"/>
      <c r="AY500" s="297"/>
      <c r="AZ500" s="297"/>
      <c r="BA500" s="297"/>
      <c r="BB500" s="297"/>
    </row>
    <row r="501" spans="1:54" thickBot="1">
      <c r="A501" s="298"/>
      <c r="B501" s="298"/>
      <c r="C501" s="298"/>
      <c r="D501" s="298"/>
      <c r="E501" s="298"/>
      <c r="F501" s="282"/>
      <c r="G501" s="298"/>
      <c r="H501" s="298"/>
      <c r="I501" s="282"/>
      <c r="J501" s="298"/>
      <c r="K501" s="566"/>
      <c r="L501" s="282"/>
      <c r="M501" s="282"/>
      <c r="N501" s="298"/>
      <c r="O501" s="282"/>
      <c r="P501" s="282"/>
      <c r="Q501" s="298"/>
      <c r="R501" s="282"/>
      <c r="S501" s="282"/>
      <c r="T501" s="298"/>
      <c r="U501" s="282"/>
      <c r="V501" s="298"/>
      <c r="W501" s="298"/>
      <c r="X501" s="297"/>
      <c r="Y501" s="297"/>
      <c r="Z501" s="297"/>
      <c r="AA501" s="297"/>
      <c r="AB501" s="297"/>
      <c r="AC501" s="297"/>
      <c r="AD501" s="297"/>
      <c r="AE501" s="297"/>
      <c r="AF501" s="297"/>
      <c r="AG501" s="297"/>
      <c r="AH501" s="297"/>
      <c r="AI501" s="297"/>
      <c r="AJ501" s="297"/>
      <c r="AK501" s="297"/>
      <c r="AL501" s="297"/>
      <c r="AM501" s="297"/>
      <c r="AN501" s="297"/>
      <c r="AO501" s="297"/>
      <c r="AP501" s="297"/>
      <c r="AQ501" s="297"/>
      <c r="AR501" s="297"/>
      <c r="AS501" s="297"/>
      <c r="AT501" s="297"/>
      <c r="AU501" s="297"/>
      <c r="AV501" s="297"/>
      <c r="AW501" s="297"/>
      <c r="AX501" s="297"/>
      <c r="AY501" s="297"/>
      <c r="AZ501" s="297"/>
      <c r="BA501" s="297"/>
      <c r="BB501" s="297"/>
    </row>
    <row r="502" spans="1:54" thickBot="1">
      <c r="A502" s="298"/>
      <c r="B502" s="298"/>
      <c r="C502" s="298"/>
      <c r="D502" s="298"/>
      <c r="E502" s="298"/>
      <c r="F502" s="282"/>
      <c r="G502" s="298"/>
      <c r="H502" s="298"/>
      <c r="I502" s="282"/>
      <c r="J502" s="298"/>
      <c r="K502" s="566"/>
      <c r="L502" s="282"/>
      <c r="M502" s="282"/>
      <c r="N502" s="298"/>
      <c r="O502" s="282"/>
      <c r="P502" s="282"/>
      <c r="Q502" s="298"/>
      <c r="R502" s="282"/>
      <c r="S502" s="282"/>
      <c r="T502" s="298"/>
      <c r="U502" s="282"/>
      <c r="V502" s="298"/>
      <c r="W502" s="298"/>
      <c r="X502" s="297"/>
      <c r="Y502" s="297"/>
      <c r="Z502" s="297"/>
      <c r="AA502" s="297"/>
      <c r="AB502" s="297"/>
      <c r="AC502" s="297"/>
      <c r="AD502" s="297"/>
      <c r="AE502" s="297"/>
      <c r="AF502" s="297"/>
      <c r="AG502" s="297"/>
      <c r="AH502" s="297"/>
      <c r="AI502" s="297"/>
      <c r="AJ502" s="297"/>
      <c r="AK502" s="297"/>
      <c r="AL502" s="297"/>
      <c r="AM502" s="297"/>
      <c r="AN502" s="297"/>
      <c r="AO502" s="297"/>
      <c r="AP502" s="297"/>
      <c r="AQ502" s="297"/>
      <c r="AR502" s="297"/>
      <c r="AS502" s="297"/>
      <c r="AT502" s="297"/>
      <c r="AU502" s="297"/>
      <c r="AV502" s="297"/>
      <c r="AW502" s="297"/>
      <c r="AX502" s="297"/>
      <c r="AY502" s="297"/>
      <c r="AZ502" s="297"/>
      <c r="BA502" s="297"/>
      <c r="BB502" s="297"/>
    </row>
    <row r="503" spans="1:54" thickBot="1">
      <c r="A503" s="298"/>
      <c r="B503" s="298"/>
      <c r="C503" s="298"/>
      <c r="D503" s="298"/>
      <c r="E503" s="298"/>
      <c r="F503" s="282"/>
      <c r="G503" s="298"/>
      <c r="H503" s="298"/>
      <c r="I503" s="282"/>
      <c r="J503" s="298"/>
      <c r="K503" s="566"/>
      <c r="L503" s="282"/>
      <c r="M503" s="282"/>
      <c r="N503" s="298"/>
      <c r="O503" s="282"/>
      <c r="P503" s="282"/>
      <c r="Q503" s="298"/>
      <c r="R503" s="282"/>
      <c r="S503" s="282"/>
      <c r="T503" s="298"/>
      <c r="U503" s="282"/>
      <c r="V503" s="298"/>
      <c r="W503" s="298"/>
      <c r="X503" s="297"/>
      <c r="Y503" s="297"/>
      <c r="Z503" s="297"/>
      <c r="AA503" s="297"/>
      <c r="AB503" s="297"/>
      <c r="AC503" s="297"/>
      <c r="AD503" s="297"/>
      <c r="AE503" s="297"/>
      <c r="AF503" s="297"/>
      <c r="AG503" s="297"/>
      <c r="AH503" s="297"/>
      <c r="AI503" s="297"/>
      <c r="AJ503" s="297"/>
      <c r="AK503" s="297"/>
      <c r="AL503" s="297"/>
      <c r="AM503" s="297"/>
      <c r="AN503" s="297"/>
      <c r="AO503" s="297"/>
      <c r="AP503" s="297"/>
      <c r="AQ503" s="297"/>
      <c r="AR503" s="297"/>
      <c r="AS503" s="297"/>
      <c r="AT503" s="297"/>
      <c r="AU503" s="297"/>
      <c r="AV503" s="297"/>
      <c r="AW503" s="297"/>
      <c r="AX503" s="297"/>
      <c r="AY503" s="297"/>
      <c r="AZ503" s="297"/>
      <c r="BA503" s="297"/>
      <c r="BB503" s="297"/>
    </row>
    <row r="504" spans="1:54" thickBot="1">
      <c r="A504" s="298"/>
      <c r="B504" s="298"/>
      <c r="C504" s="298"/>
      <c r="D504" s="298"/>
      <c r="E504" s="298"/>
      <c r="F504" s="282"/>
      <c r="G504" s="298"/>
      <c r="H504" s="298"/>
      <c r="I504" s="282"/>
      <c r="J504" s="298"/>
      <c r="K504" s="566"/>
      <c r="L504" s="282"/>
      <c r="M504" s="282"/>
      <c r="N504" s="298"/>
      <c r="O504" s="282"/>
      <c r="P504" s="282"/>
      <c r="Q504" s="298"/>
      <c r="R504" s="282"/>
      <c r="S504" s="282"/>
      <c r="T504" s="298"/>
      <c r="U504" s="282"/>
      <c r="V504" s="298"/>
      <c r="W504" s="298"/>
      <c r="X504" s="297"/>
      <c r="Y504" s="297"/>
      <c r="Z504" s="297"/>
      <c r="AA504" s="297"/>
      <c r="AB504" s="297"/>
      <c r="AC504" s="297"/>
      <c r="AD504" s="297"/>
      <c r="AE504" s="297"/>
      <c r="AF504" s="297"/>
      <c r="AG504" s="297"/>
      <c r="AH504" s="297"/>
      <c r="AI504" s="297"/>
      <c r="AJ504" s="297"/>
      <c r="AK504" s="297"/>
      <c r="AL504" s="297"/>
      <c r="AM504" s="297"/>
      <c r="AN504" s="297"/>
      <c r="AO504" s="297"/>
      <c r="AP504" s="297"/>
      <c r="AQ504" s="297"/>
      <c r="AR504" s="297"/>
      <c r="AS504" s="297"/>
      <c r="AT504" s="297"/>
      <c r="AU504" s="297"/>
      <c r="AV504" s="297"/>
      <c r="AW504" s="297"/>
      <c r="AX504" s="297"/>
      <c r="AY504" s="297"/>
      <c r="AZ504" s="297"/>
      <c r="BA504" s="297"/>
      <c r="BB504" s="297"/>
    </row>
    <row r="505" spans="1:54" thickBot="1">
      <c r="A505" s="298"/>
      <c r="B505" s="298"/>
      <c r="C505" s="298"/>
      <c r="D505" s="298"/>
      <c r="E505" s="298"/>
      <c r="F505" s="282"/>
      <c r="G505" s="298"/>
      <c r="H505" s="298"/>
      <c r="I505" s="282"/>
      <c r="J505" s="298"/>
      <c r="K505" s="566"/>
      <c r="L505" s="282"/>
      <c r="M505" s="282"/>
      <c r="N505" s="298"/>
      <c r="O505" s="282"/>
      <c r="P505" s="282"/>
      <c r="Q505" s="298"/>
      <c r="R505" s="282"/>
      <c r="S505" s="282"/>
      <c r="T505" s="298"/>
      <c r="U505" s="282"/>
      <c r="V505" s="298"/>
      <c r="W505" s="298"/>
      <c r="X505" s="297"/>
      <c r="Y505" s="297"/>
      <c r="Z505" s="297"/>
      <c r="AA505" s="297"/>
      <c r="AB505" s="297"/>
      <c r="AC505" s="297"/>
      <c r="AD505" s="297"/>
      <c r="AE505" s="297"/>
      <c r="AF505" s="297"/>
      <c r="AG505" s="297"/>
      <c r="AH505" s="297"/>
      <c r="AI505" s="297"/>
      <c r="AJ505" s="297"/>
      <c r="AK505" s="297"/>
      <c r="AL505" s="297"/>
      <c r="AM505" s="297"/>
      <c r="AN505" s="297"/>
      <c r="AO505" s="297"/>
      <c r="AP505" s="297"/>
      <c r="AQ505" s="297"/>
      <c r="AR505" s="297"/>
      <c r="AS505" s="297"/>
      <c r="AT505" s="297"/>
      <c r="AU505" s="297"/>
      <c r="AV505" s="297"/>
      <c r="AW505" s="297"/>
      <c r="AX505" s="297"/>
      <c r="AY505" s="297"/>
      <c r="AZ505" s="297"/>
      <c r="BA505" s="297"/>
      <c r="BB505" s="297"/>
    </row>
    <row r="506" spans="1:54" thickBot="1">
      <c r="A506" s="298"/>
      <c r="B506" s="298"/>
      <c r="C506" s="298"/>
      <c r="D506" s="298"/>
      <c r="E506" s="298"/>
      <c r="F506" s="282"/>
      <c r="G506" s="298"/>
      <c r="H506" s="298"/>
      <c r="I506" s="282"/>
      <c r="J506" s="298"/>
      <c r="K506" s="566"/>
      <c r="L506" s="282"/>
      <c r="M506" s="282"/>
      <c r="N506" s="298"/>
      <c r="O506" s="282"/>
      <c r="P506" s="282"/>
      <c r="Q506" s="298"/>
      <c r="R506" s="282"/>
      <c r="S506" s="282"/>
      <c r="T506" s="298"/>
      <c r="U506" s="282"/>
      <c r="V506" s="298"/>
      <c r="W506" s="298"/>
      <c r="X506" s="297"/>
      <c r="Y506" s="297"/>
      <c r="Z506" s="297"/>
      <c r="AA506" s="297"/>
      <c r="AB506" s="297"/>
      <c r="AC506" s="297"/>
      <c r="AD506" s="297"/>
      <c r="AE506" s="297"/>
      <c r="AF506" s="297"/>
      <c r="AG506" s="297"/>
      <c r="AH506" s="297"/>
      <c r="AI506" s="297"/>
      <c r="AJ506" s="297"/>
      <c r="AK506" s="297"/>
      <c r="AL506" s="297"/>
      <c r="AM506" s="297"/>
      <c r="AN506" s="297"/>
      <c r="AO506" s="297"/>
      <c r="AP506" s="297"/>
      <c r="AQ506" s="297"/>
      <c r="AR506" s="297"/>
      <c r="AS506" s="297"/>
      <c r="AT506" s="297"/>
      <c r="AU506" s="297"/>
      <c r="AV506" s="297"/>
      <c r="AW506" s="297"/>
      <c r="AX506" s="297"/>
      <c r="AY506" s="297"/>
      <c r="AZ506" s="297"/>
      <c r="BA506" s="297"/>
      <c r="BB506" s="297"/>
    </row>
    <row r="507" spans="1:54" thickBot="1">
      <c r="A507" s="298"/>
      <c r="B507" s="298"/>
      <c r="C507" s="298"/>
      <c r="D507" s="298"/>
      <c r="E507" s="298"/>
      <c r="F507" s="282"/>
      <c r="G507" s="298"/>
      <c r="H507" s="298"/>
      <c r="I507" s="282"/>
      <c r="J507" s="298"/>
      <c r="K507" s="566"/>
      <c r="L507" s="282"/>
      <c r="M507" s="282"/>
      <c r="N507" s="298"/>
      <c r="O507" s="282"/>
      <c r="P507" s="282"/>
      <c r="Q507" s="298"/>
      <c r="R507" s="282"/>
      <c r="S507" s="282"/>
      <c r="T507" s="298"/>
      <c r="U507" s="282"/>
      <c r="V507" s="298"/>
      <c r="W507" s="298"/>
      <c r="X507" s="297"/>
      <c r="Y507" s="297"/>
      <c r="Z507" s="297"/>
      <c r="AA507" s="297"/>
      <c r="AB507" s="297"/>
      <c r="AC507" s="297"/>
      <c r="AD507" s="297"/>
      <c r="AE507" s="297"/>
      <c r="AF507" s="297"/>
      <c r="AG507" s="297"/>
      <c r="AH507" s="297"/>
      <c r="AI507" s="297"/>
      <c r="AJ507" s="297"/>
      <c r="AK507" s="297"/>
      <c r="AL507" s="297"/>
      <c r="AM507" s="297"/>
      <c r="AN507" s="297"/>
      <c r="AO507" s="297"/>
      <c r="AP507" s="297"/>
      <c r="AQ507" s="297"/>
      <c r="AR507" s="297"/>
      <c r="AS507" s="297"/>
      <c r="AT507" s="297"/>
      <c r="AU507" s="297"/>
      <c r="AV507" s="297"/>
      <c r="AW507" s="297"/>
      <c r="AX507" s="297"/>
      <c r="AY507" s="297"/>
      <c r="AZ507" s="297"/>
      <c r="BA507" s="297"/>
      <c r="BB507" s="297"/>
    </row>
    <row r="508" spans="1:54" thickBot="1">
      <c r="A508" s="298"/>
      <c r="B508" s="298"/>
      <c r="C508" s="298"/>
      <c r="D508" s="298"/>
      <c r="E508" s="298"/>
      <c r="F508" s="282"/>
      <c r="G508" s="298"/>
      <c r="H508" s="298"/>
      <c r="I508" s="282"/>
      <c r="J508" s="298"/>
      <c r="K508" s="566"/>
      <c r="L508" s="282"/>
      <c r="M508" s="282"/>
      <c r="N508" s="298"/>
      <c r="O508" s="282"/>
      <c r="P508" s="282"/>
      <c r="Q508" s="298"/>
      <c r="R508" s="282"/>
      <c r="S508" s="282"/>
      <c r="T508" s="298"/>
      <c r="U508" s="282"/>
      <c r="V508" s="298"/>
      <c r="W508" s="298"/>
      <c r="X508" s="297"/>
      <c r="Y508" s="297"/>
      <c r="Z508" s="297"/>
      <c r="AA508" s="297"/>
      <c r="AB508" s="297"/>
      <c r="AC508" s="297"/>
      <c r="AD508" s="297"/>
      <c r="AE508" s="297"/>
      <c r="AF508" s="297"/>
      <c r="AG508" s="297"/>
      <c r="AH508" s="297"/>
      <c r="AI508" s="297"/>
      <c r="AJ508" s="297"/>
      <c r="AK508" s="297"/>
      <c r="AL508" s="297"/>
      <c r="AM508" s="297"/>
      <c r="AN508" s="297"/>
      <c r="AO508" s="297"/>
      <c r="AP508" s="297"/>
      <c r="AQ508" s="297"/>
      <c r="AR508" s="297"/>
      <c r="AS508" s="297"/>
      <c r="AT508" s="297"/>
      <c r="AU508" s="297"/>
      <c r="AV508" s="297"/>
      <c r="AW508" s="297"/>
      <c r="AX508" s="297"/>
      <c r="AY508" s="297"/>
      <c r="AZ508" s="297"/>
      <c r="BA508" s="297"/>
      <c r="BB508" s="297"/>
    </row>
    <row r="509" spans="1:54" thickBot="1">
      <c r="A509" s="298"/>
      <c r="B509" s="298"/>
      <c r="C509" s="298"/>
      <c r="D509" s="298"/>
      <c r="E509" s="298"/>
      <c r="F509" s="282"/>
      <c r="G509" s="298"/>
      <c r="H509" s="298"/>
      <c r="I509" s="282"/>
      <c r="J509" s="298"/>
      <c r="K509" s="566"/>
      <c r="L509" s="282"/>
      <c r="M509" s="282"/>
      <c r="N509" s="298"/>
      <c r="O509" s="282"/>
      <c r="P509" s="282"/>
      <c r="Q509" s="298"/>
      <c r="R509" s="282"/>
      <c r="S509" s="282"/>
      <c r="T509" s="298"/>
      <c r="U509" s="282"/>
      <c r="V509" s="298"/>
      <c r="W509" s="298"/>
      <c r="X509" s="297"/>
      <c r="Y509" s="297"/>
      <c r="Z509" s="297"/>
      <c r="AA509" s="297"/>
      <c r="AB509" s="297"/>
      <c r="AC509" s="297"/>
      <c r="AD509" s="297"/>
      <c r="AE509" s="297"/>
      <c r="AF509" s="297"/>
      <c r="AG509" s="297"/>
      <c r="AH509" s="297"/>
      <c r="AI509" s="297"/>
      <c r="AJ509" s="297"/>
      <c r="AK509" s="297"/>
      <c r="AL509" s="297"/>
      <c r="AM509" s="297"/>
      <c r="AN509" s="297"/>
      <c r="AO509" s="297"/>
      <c r="AP509" s="297"/>
      <c r="AQ509" s="297"/>
      <c r="AR509" s="297"/>
      <c r="AS509" s="297"/>
      <c r="AT509" s="297"/>
      <c r="AU509" s="297"/>
      <c r="AV509" s="297"/>
      <c r="AW509" s="297"/>
      <c r="AX509" s="297"/>
      <c r="AY509" s="297"/>
      <c r="AZ509" s="297"/>
      <c r="BA509" s="297"/>
      <c r="BB509" s="297"/>
    </row>
    <row r="510" spans="1:54" thickBot="1">
      <c r="A510" s="298"/>
      <c r="B510" s="298"/>
      <c r="C510" s="298"/>
      <c r="D510" s="298"/>
      <c r="E510" s="298"/>
      <c r="F510" s="282"/>
      <c r="G510" s="298"/>
      <c r="H510" s="298"/>
      <c r="I510" s="282"/>
      <c r="J510" s="298"/>
      <c r="K510" s="566"/>
      <c r="L510" s="282"/>
      <c r="M510" s="282"/>
      <c r="N510" s="298"/>
      <c r="O510" s="282"/>
      <c r="P510" s="282"/>
      <c r="Q510" s="298"/>
      <c r="R510" s="282"/>
      <c r="S510" s="282"/>
      <c r="T510" s="298"/>
      <c r="U510" s="282"/>
      <c r="V510" s="298"/>
      <c r="W510" s="298"/>
      <c r="X510" s="297"/>
      <c r="Y510" s="297"/>
      <c r="Z510" s="297"/>
      <c r="AA510" s="297"/>
      <c r="AB510" s="297"/>
      <c r="AC510" s="297"/>
      <c r="AD510" s="297"/>
      <c r="AE510" s="297"/>
      <c r="AF510" s="297"/>
      <c r="AG510" s="297"/>
      <c r="AH510" s="297"/>
      <c r="AI510" s="297"/>
      <c r="AJ510" s="297"/>
      <c r="AK510" s="297"/>
      <c r="AL510" s="297"/>
      <c r="AM510" s="297"/>
      <c r="AN510" s="297"/>
      <c r="AO510" s="297"/>
      <c r="AP510" s="297"/>
      <c r="AQ510" s="297"/>
      <c r="AR510" s="297"/>
      <c r="AS510" s="297"/>
      <c r="AT510" s="297"/>
      <c r="AU510" s="297"/>
      <c r="AV510" s="297"/>
      <c r="AW510" s="297"/>
      <c r="AX510" s="297"/>
      <c r="AY510" s="297"/>
      <c r="AZ510" s="297"/>
      <c r="BA510" s="297"/>
      <c r="BB510" s="297"/>
    </row>
    <row r="511" spans="1:54" thickBot="1">
      <c r="A511" s="298"/>
      <c r="B511" s="298"/>
      <c r="C511" s="298"/>
      <c r="D511" s="298"/>
      <c r="E511" s="298"/>
      <c r="F511" s="282"/>
      <c r="G511" s="298"/>
      <c r="H511" s="298"/>
      <c r="I511" s="282"/>
      <c r="J511" s="298"/>
      <c r="K511" s="566"/>
      <c r="L511" s="282"/>
      <c r="M511" s="282"/>
      <c r="N511" s="298"/>
      <c r="O511" s="282"/>
      <c r="P511" s="282"/>
      <c r="Q511" s="298"/>
      <c r="R511" s="282"/>
      <c r="S511" s="282"/>
      <c r="T511" s="298"/>
      <c r="U511" s="282"/>
      <c r="V511" s="298"/>
      <c r="W511" s="298"/>
      <c r="X511" s="297"/>
      <c r="Y511" s="297"/>
      <c r="Z511" s="297"/>
      <c r="AA511" s="297"/>
      <c r="AB511" s="297"/>
      <c r="AC511" s="297"/>
      <c r="AD511" s="297"/>
      <c r="AE511" s="297"/>
      <c r="AF511" s="297"/>
      <c r="AG511" s="297"/>
      <c r="AH511" s="297"/>
      <c r="AI511" s="297"/>
      <c r="AJ511" s="297"/>
      <c r="AK511" s="297"/>
      <c r="AL511" s="297"/>
      <c r="AM511" s="297"/>
      <c r="AN511" s="297"/>
      <c r="AO511" s="297"/>
      <c r="AP511" s="297"/>
      <c r="AQ511" s="297"/>
      <c r="AR511" s="297"/>
      <c r="AS511" s="297"/>
      <c r="AT511" s="297"/>
      <c r="AU511" s="297"/>
      <c r="AV511" s="297"/>
      <c r="AW511" s="297"/>
      <c r="AX511" s="297"/>
      <c r="AY511" s="297"/>
      <c r="AZ511" s="297"/>
      <c r="BA511" s="297"/>
      <c r="BB511" s="297"/>
    </row>
    <row r="512" spans="1:54" thickBot="1">
      <c r="A512" s="298"/>
      <c r="B512" s="298"/>
      <c r="C512" s="298"/>
      <c r="D512" s="298"/>
      <c r="E512" s="298"/>
      <c r="F512" s="282"/>
      <c r="G512" s="298"/>
      <c r="H512" s="298"/>
      <c r="I512" s="282"/>
      <c r="J512" s="298"/>
      <c r="K512" s="566"/>
      <c r="L512" s="282"/>
      <c r="M512" s="282"/>
      <c r="N512" s="298"/>
      <c r="O512" s="282"/>
      <c r="P512" s="282"/>
      <c r="Q512" s="298"/>
      <c r="R512" s="282"/>
      <c r="S512" s="282"/>
      <c r="T512" s="298"/>
      <c r="U512" s="282"/>
      <c r="V512" s="298"/>
      <c r="W512" s="298"/>
      <c r="X512" s="297"/>
      <c r="Y512" s="297"/>
      <c r="Z512" s="297"/>
      <c r="AA512" s="297"/>
      <c r="AB512" s="297"/>
      <c r="AC512" s="297"/>
      <c r="AD512" s="297"/>
      <c r="AE512" s="297"/>
      <c r="AF512" s="297"/>
      <c r="AG512" s="297"/>
      <c r="AH512" s="297"/>
      <c r="AI512" s="297"/>
      <c r="AJ512" s="297"/>
      <c r="AK512" s="297"/>
      <c r="AL512" s="297"/>
      <c r="AM512" s="297"/>
      <c r="AN512" s="297"/>
      <c r="AO512" s="297"/>
      <c r="AP512" s="297"/>
      <c r="AQ512" s="297"/>
      <c r="AR512" s="297"/>
      <c r="AS512" s="297"/>
      <c r="AT512" s="297"/>
      <c r="AU512" s="297"/>
      <c r="AV512" s="297"/>
      <c r="AW512" s="297"/>
      <c r="AX512" s="297"/>
      <c r="AY512" s="297"/>
      <c r="AZ512" s="297"/>
      <c r="BA512" s="297"/>
      <c r="BB512" s="297"/>
    </row>
    <row r="513" spans="1:54" thickBot="1">
      <c r="A513" s="298"/>
      <c r="B513" s="298"/>
      <c r="C513" s="298"/>
      <c r="D513" s="298"/>
      <c r="E513" s="298"/>
      <c r="F513" s="282"/>
      <c r="G513" s="298"/>
      <c r="H513" s="298"/>
      <c r="I513" s="282"/>
      <c r="J513" s="298"/>
      <c r="K513" s="566"/>
      <c r="L513" s="282"/>
      <c r="M513" s="282"/>
      <c r="N513" s="298"/>
      <c r="O513" s="282"/>
      <c r="P513" s="282"/>
      <c r="Q513" s="298"/>
      <c r="R513" s="282"/>
      <c r="S513" s="282"/>
      <c r="T513" s="298"/>
      <c r="U513" s="282"/>
      <c r="V513" s="298"/>
      <c r="W513" s="298"/>
      <c r="X513" s="297"/>
      <c r="Y513" s="297"/>
      <c r="Z513" s="297"/>
      <c r="AA513" s="297"/>
      <c r="AB513" s="297"/>
      <c r="AC513" s="297"/>
      <c r="AD513" s="297"/>
      <c r="AE513" s="297"/>
      <c r="AF513" s="297"/>
      <c r="AG513" s="297"/>
      <c r="AH513" s="297"/>
      <c r="AI513" s="297"/>
      <c r="AJ513" s="297"/>
      <c r="AK513" s="297"/>
      <c r="AL513" s="297"/>
      <c r="AM513" s="297"/>
      <c r="AN513" s="297"/>
      <c r="AO513" s="297"/>
      <c r="AP513" s="297"/>
      <c r="AQ513" s="297"/>
      <c r="AR513" s="297"/>
      <c r="AS513" s="297"/>
      <c r="AT513" s="297"/>
      <c r="AU513" s="297"/>
      <c r="AV513" s="297"/>
      <c r="AW513" s="297"/>
      <c r="AX513" s="297"/>
      <c r="AY513" s="297"/>
      <c r="AZ513" s="297"/>
      <c r="BA513" s="297"/>
      <c r="BB513" s="297"/>
    </row>
    <row r="514" spans="1:54" thickBot="1">
      <c r="A514" s="298"/>
      <c r="B514" s="298"/>
      <c r="C514" s="298"/>
      <c r="D514" s="298"/>
      <c r="E514" s="298"/>
      <c r="F514" s="282"/>
      <c r="G514" s="298"/>
      <c r="H514" s="298"/>
      <c r="I514" s="282"/>
      <c r="J514" s="298"/>
      <c r="K514" s="566"/>
      <c r="L514" s="282"/>
      <c r="M514" s="282"/>
      <c r="N514" s="298"/>
      <c r="O514" s="282"/>
      <c r="P514" s="282"/>
      <c r="Q514" s="298"/>
      <c r="R514" s="282"/>
      <c r="S514" s="282"/>
      <c r="T514" s="298"/>
      <c r="U514" s="282"/>
      <c r="V514" s="298"/>
      <c r="W514" s="298"/>
      <c r="X514" s="297"/>
      <c r="Y514" s="297"/>
      <c r="Z514" s="297"/>
      <c r="AA514" s="297"/>
      <c r="AB514" s="297"/>
      <c r="AC514" s="297"/>
      <c r="AD514" s="297"/>
      <c r="AE514" s="297"/>
      <c r="AF514" s="297"/>
      <c r="AG514" s="297"/>
      <c r="AH514" s="297"/>
      <c r="AI514" s="297"/>
      <c r="AJ514" s="297"/>
      <c r="AK514" s="297"/>
      <c r="AL514" s="297"/>
      <c r="AM514" s="297"/>
      <c r="AN514" s="297"/>
      <c r="AO514" s="297"/>
      <c r="AP514" s="297"/>
      <c r="AQ514" s="297"/>
      <c r="AR514" s="297"/>
      <c r="AS514" s="297"/>
      <c r="AT514" s="297"/>
      <c r="AU514" s="297"/>
      <c r="AV514" s="297"/>
      <c r="AW514" s="297"/>
      <c r="AX514" s="297"/>
      <c r="AY514" s="297"/>
      <c r="AZ514" s="297"/>
      <c r="BA514" s="297"/>
      <c r="BB514" s="297"/>
    </row>
    <row r="515" spans="1:54" thickBot="1">
      <c r="A515" s="298"/>
      <c r="B515" s="298"/>
      <c r="C515" s="298"/>
      <c r="D515" s="298"/>
      <c r="E515" s="298"/>
      <c r="F515" s="282"/>
      <c r="G515" s="298"/>
      <c r="H515" s="298"/>
      <c r="I515" s="282"/>
      <c r="J515" s="298"/>
      <c r="K515" s="566"/>
      <c r="L515" s="282"/>
      <c r="M515" s="282"/>
      <c r="N515" s="298"/>
      <c r="O515" s="282"/>
      <c r="P515" s="282"/>
      <c r="Q515" s="298"/>
      <c r="R515" s="282"/>
      <c r="S515" s="282"/>
      <c r="T515" s="298"/>
      <c r="U515" s="282"/>
      <c r="V515" s="298"/>
      <c r="W515" s="298"/>
      <c r="X515" s="297"/>
      <c r="Y515" s="297"/>
      <c r="Z515" s="297"/>
      <c r="AA515" s="297"/>
      <c r="AB515" s="297"/>
      <c r="AC515" s="297"/>
      <c r="AD515" s="297"/>
      <c r="AE515" s="297"/>
      <c r="AF515" s="297"/>
      <c r="AG515" s="297"/>
      <c r="AH515" s="297"/>
      <c r="AI515" s="297"/>
      <c r="AJ515" s="297"/>
      <c r="AK515" s="297"/>
      <c r="AL515" s="297"/>
      <c r="AM515" s="297"/>
      <c r="AN515" s="297"/>
      <c r="AO515" s="297"/>
      <c r="AP515" s="297"/>
      <c r="AQ515" s="297"/>
      <c r="AR515" s="297"/>
      <c r="AS515" s="297"/>
      <c r="AT515" s="297"/>
      <c r="AU515" s="297"/>
      <c r="AV515" s="297"/>
      <c r="AW515" s="297"/>
      <c r="AX515" s="297"/>
      <c r="AY515" s="297"/>
      <c r="AZ515" s="297"/>
      <c r="BA515" s="297"/>
      <c r="BB515" s="297"/>
    </row>
    <row r="516" spans="1:54" thickBot="1">
      <c r="A516" s="298"/>
      <c r="B516" s="298"/>
      <c r="C516" s="298"/>
      <c r="D516" s="298"/>
      <c r="E516" s="298"/>
      <c r="F516" s="282"/>
      <c r="G516" s="298"/>
      <c r="H516" s="298"/>
      <c r="I516" s="282"/>
      <c r="J516" s="298"/>
      <c r="K516" s="566"/>
      <c r="L516" s="282"/>
      <c r="M516" s="282"/>
      <c r="N516" s="298"/>
      <c r="O516" s="282"/>
      <c r="P516" s="282"/>
      <c r="Q516" s="298"/>
      <c r="R516" s="282"/>
      <c r="S516" s="282"/>
      <c r="T516" s="298"/>
      <c r="U516" s="282"/>
      <c r="V516" s="298"/>
      <c r="W516" s="298"/>
      <c r="X516" s="297"/>
      <c r="Y516" s="297"/>
      <c r="Z516" s="297"/>
      <c r="AA516" s="297"/>
      <c r="AB516" s="297"/>
      <c r="AC516" s="297"/>
      <c r="AD516" s="297"/>
      <c r="AE516" s="297"/>
      <c r="AF516" s="297"/>
      <c r="AG516" s="297"/>
      <c r="AH516" s="297"/>
      <c r="AI516" s="297"/>
      <c r="AJ516" s="297"/>
      <c r="AK516" s="297"/>
      <c r="AL516" s="297"/>
      <c r="AM516" s="297"/>
      <c r="AN516" s="297"/>
      <c r="AO516" s="297"/>
      <c r="AP516" s="297"/>
      <c r="AQ516" s="297"/>
      <c r="AR516" s="297"/>
      <c r="AS516" s="297"/>
      <c r="AT516" s="297"/>
      <c r="AU516" s="297"/>
      <c r="AV516" s="297"/>
      <c r="AW516" s="297"/>
      <c r="AX516" s="297"/>
      <c r="AY516" s="297"/>
      <c r="AZ516" s="297"/>
      <c r="BA516" s="297"/>
      <c r="BB516" s="297"/>
    </row>
    <row r="517" spans="1:54" thickBot="1">
      <c r="A517" s="298"/>
      <c r="B517" s="298"/>
      <c r="C517" s="298"/>
      <c r="D517" s="298"/>
      <c r="E517" s="298"/>
      <c r="F517" s="282"/>
      <c r="G517" s="298"/>
      <c r="H517" s="298"/>
      <c r="I517" s="282"/>
      <c r="J517" s="298"/>
      <c r="K517" s="566"/>
      <c r="L517" s="282"/>
      <c r="M517" s="282"/>
      <c r="N517" s="298"/>
      <c r="O517" s="282"/>
      <c r="P517" s="282"/>
      <c r="Q517" s="298"/>
      <c r="R517" s="282"/>
      <c r="S517" s="282"/>
      <c r="T517" s="298"/>
      <c r="U517" s="282"/>
      <c r="V517" s="298"/>
      <c r="W517" s="298"/>
      <c r="X517" s="297"/>
      <c r="Y517" s="297"/>
      <c r="Z517" s="297"/>
      <c r="AA517" s="297"/>
      <c r="AB517" s="297"/>
      <c r="AC517" s="297"/>
      <c r="AD517" s="297"/>
      <c r="AE517" s="297"/>
      <c r="AF517" s="297"/>
      <c r="AG517" s="297"/>
      <c r="AH517" s="297"/>
      <c r="AI517" s="297"/>
      <c r="AJ517" s="297"/>
      <c r="AK517" s="297"/>
      <c r="AL517" s="297"/>
      <c r="AM517" s="297"/>
      <c r="AN517" s="297"/>
      <c r="AO517" s="297"/>
      <c r="AP517" s="297"/>
      <c r="AQ517" s="297"/>
      <c r="AR517" s="297"/>
      <c r="AS517" s="297"/>
      <c r="AT517" s="297"/>
      <c r="AU517" s="297"/>
      <c r="AV517" s="297"/>
      <c r="AW517" s="297"/>
      <c r="AX517" s="297"/>
      <c r="AY517" s="297"/>
      <c r="AZ517" s="297"/>
      <c r="BA517" s="297"/>
      <c r="BB517" s="297"/>
    </row>
    <row r="518" spans="1:54" thickBot="1">
      <c r="A518" s="298"/>
      <c r="B518" s="298"/>
      <c r="C518" s="298"/>
      <c r="D518" s="298"/>
      <c r="E518" s="298"/>
      <c r="F518" s="282"/>
      <c r="G518" s="298"/>
      <c r="H518" s="298"/>
      <c r="I518" s="282"/>
      <c r="J518" s="298"/>
      <c r="K518" s="566"/>
      <c r="L518" s="282"/>
      <c r="M518" s="282"/>
      <c r="N518" s="298"/>
      <c r="O518" s="282"/>
      <c r="P518" s="282"/>
      <c r="Q518" s="298"/>
      <c r="R518" s="282"/>
      <c r="S518" s="282"/>
      <c r="T518" s="298"/>
      <c r="U518" s="282"/>
      <c r="V518" s="298"/>
      <c r="W518" s="298"/>
      <c r="X518" s="297"/>
      <c r="Y518" s="297"/>
      <c r="Z518" s="297"/>
      <c r="AA518" s="297"/>
      <c r="AB518" s="297"/>
      <c r="AC518" s="297"/>
      <c r="AD518" s="297"/>
      <c r="AE518" s="297"/>
      <c r="AF518" s="297"/>
      <c r="AG518" s="297"/>
      <c r="AH518" s="297"/>
      <c r="AI518" s="297"/>
      <c r="AJ518" s="297"/>
      <c r="AK518" s="297"/>
      <c r="AL518" s="297"/>
      <c r="AM518" s="297"/>
      <c r="AN518" s="297"/>
      <c r="AO518" s="297"/>
      <c r="AP518" s="297"/>
      <c r="AQ518" s="297"/>
      <c r="AR518" s="297"/>
      <c r="AS518" s="297"/>
      <c r="AT518" s="297"/>
      <c r="AU518" s="297"/>
      <c r="AV518" s="297"/>
      <c r="AW518" s="297"/>
      <c r="AX518" s="297"/>
      <c r="AY518" s="297"/>
      <c r="AZ518" s="297"/>
      <c r="BA518" s="297"/>
      <c r="BB518" s="297"/>
    </row>
    <row r="519" spans="1:54" thickBot="1">
      <c r="A519" s="298"/>
      <c r="B519" s="298"/>
      <c r="C519" s="298"/>
      <c r="D519" s="298"/>
      <c r="E519" s="298"/>
      <c r="F519" s="282"/>
      <c r="G519" s="298"/>
      <c r="H519" s="298"/>
      <c r="I519" s="282"/>
      <c r="J519" s="298"/>
      <c r="K519" s="566"/>
      <c r="L519" s="282"/>
      <c r="M519" s="282"/>
      <c r="N519" s="298"/>
      <c r="O519" s="282"/>
      <c r="P519" s="282"/>
      <c r="Q519" s="298"/>
      <c r="R519" s="282"/>
      <c r="S519" s="282"/>
      <c r="T519" s="298"/>
      <c r="U519" s="282"/>
      <c r="V519" s="298"/>
      <c r="W519" s="298"/>
      <c r="X519" s="297"/>
      <c r="Y519" s="297"/>
      <c r="Z519" s="297"/>
      <c r="AA519" s="297"/>
      <c r="AB519" s="297"/>
      <c r="AC519" s="297"/>
      <c r="AD519" s="297"/>
      <c r="AE519" s="297"/>
      <c r="AF519" s="297"/>
      <c r="AG519" s="297"/>
      <c r="AH519" s="297"/>
      <c r="AI519" s="297"/>
      <c r="AJ519" s="297"/>
      <c r="AK519" s="297"/>
      <c r="AL519" s="297"/>
      <c r="AM519" s="297"/>
      <c r="AN519" s="297"/>
      <c r="AO519" s="297"/>
      <c r="AP519" s="297"/>
      <c r="AQ519" s="297"/>
      <c r="AR519" s="297"/>
      <c r="AS519" s="297"/>
      <c r="AT519" s="297"/>
      <c r="AU519" s="297"/>
      <c r="AV519" s="297"/>
      <c r="AW519" s="297"/>
      <c r="AX519" s="297"/>
      <c r="AY519" s="297"/>
      <c r="AZ519" s="297"/>
      <c r="BA519" s="297"/>
      <c r="BB519" s="297"/>
    </row>
    <row r="520" spans="1:54" thickBot="1">
      <c r="A520" s="298"/>
      <c r="B520" s="298"/>
      <c r="C520" s="298"/>
      <c r="D520" s="298"/>
      <c r="E520" s="298"/>
      <c r="F520" s="282"/>
      <c r="G520" s="298"/>
      <c r="H520" s="298"/>
      <c r="I520" s="282"/>
      <c r="J520" s="298"/>
      <c r="K520" s="566"/>
      <c r="L520" s="282"/>
      <c r="M520" s="282"/>
      <c r="N520" s="298"/>
      <c r="O520" s="282"/>
      <c r="P520" s="282"/>
      <c r="Q520" s="298"/>
      <c r="R520" s="282"/>
      <c r="S520" s="282"/>
      <c r="T520" s="298"/>
      <c r="U520" s="282"/>
      <c r="V520" s="298"/>
      <c r="W520" s="298"/>
      <c r="X520" s="297"/>
      <c r="Y520" s="297"/>
      <c r="Z520" s="297"/>
      <c r="AA520" s="297"/>
      <c r="AB520" s="297"/>
      <c r="AC520" s="297"/>
      <c r="AD520" s="297"/>
      <c r="AE520" s="297"/>
      <c r="AF520" s="297"/>
      <c r="AG520" s="297"/>
      <c r="AH520" s="297"/>
      <c r="AI520" s="297"/>
      <c r="AJ520" s="297"/>
      <c r="AK520" s="297"/>
      <c r="AL520" s="297"/>
      <c r="AM520" s="297"/>
      <c r="AN520" s="297"/>
      <c r="AO520" s="297"/>
      <c r="AP520" s="297"/>
      <c r="AQ520" s="297"/>
      <c r="AR520" s="297"/>
      <c r="AS520" s="297"/>
      <c r="AT520" s="297"/>
      <c r="AU520" s="297"/>
      <c r="AV520" s="297"/>
      <c r="AW520" s="297"/>
      <c r="AX520" s="297"/>
      <c r="AY520" s="297"/>
      <c r="AZ520" s="297"/>
      <c r="BA520" s="297"/>
      <c r="BB520" s="297"/>
    </row>
    <row r="521" spans="1:54" thickBot="1">
      <c r="A521" s="298"/>
      <c r="B521" s="298"/>
      <c r="C521" s="298"/>
      <c r="D521" s="298"/>
      <c r="E521" s="298"/>
      <c r="F521" s="282"/>
      <c r="G521" s="298"/>
      <c r="H521" s="298"/>
      <c r="I521" s="282"/>
      <c r="J521" s="298"/>
      <c r="K521" s="566"/>
      <c r="L521" s="282"/>
      <c r="M521" s="282"/>
      <c r="N521" s="298"/>
      <c r="O521" s="282"/>
      <c r="P521" s="282"/>
      <c r="Q521" s="298"/>
      <c r="R521" s="282"/>
      <c r="S521" s="282"/>
      <c r="T521" s="298"/>
      <c r="U521" s="282"/>
      <c r="V521" s="298"/>
      <c r="W521" s="298"/>
      <c r="X521" s="297"/>
      <c r="Y521" s="297"/>
      <c r="Z521" s="297"/>
      <c r="AA521" s="297"/>
      <c r="AB521" s="297"/>
      <c r="AC521" s="297"/>
      <c r="AD521" s="297"/>
      <c r="AE521" s="297"/>
      <c r="AF521" s="297"/>
      <c r="AG521" s="297"/>
      <c r="AH521" s="297"/>
      <c r="AI521" s="297"/>
      <c r="AJ521" s="297"/>
      <c r="AK521" s="297"/>
      <c r="AL521" s="297"/>
      <c r="AM521" s="297"/>
      <c r="AN521" s="297"/>
      <c r="AO521" s="297"/>
      <c r="AP521" s="297"/>
      <c r="AQ521" s="297"/>
      <c r="AR521" s="297"/>
      <c r="AS521" s="297"/>
      <c r="AT521" s="297"/>
      <c r="AU521" s="297"/>
      <c r="AV521" s="297"/>
      <c r="AW521" s="297"/>
      <c r="AX521" s="297"/>
      <c r="AY521" s="297"/>
      <c r="AZ521" s="297"/>
      <c r="BA521" s="297"/>
      <c r="BB521" s="297"/>
    </row>
    <row r="522" spans="1:54" thickBot="1">
      <c r="A522" s="298"/>
      <c r="B522" s="298"/>
      <c r="C522" s="298"/>
      <c r="D522" s="298"/>
      <c r="E522" s="298"/>
      <c r="F522" s="282"/>
      <c r="G522" s="298"/>
      <c r="H522" s="298"/>
      <c r="I522" s="282"/>
      <c r="J522" s="298"/>
      <c r="K522" s="566"/>
      <c r="L522" s="282"/>
      <c r="M522" s="282"/>
      <c r="N522" s="298"/>
      <c r="O522" s="282"/>
      <c r="P522" s="282"/>
      <c r="Q522" s="298"/>
      <c r="R522" s="282"/>
      <c r="S522" s="282"/>
      <c r="T522" s="298"/>
      <c r="U522" s="282"/>
      <c r="V522" s="298"/>
      <c r="W522" s="298"/>
      <c r="X522" s="297"/>
      <c r="Y522" s="297"/>
      <c r="Z522" s="297"/>
      <c r="AA522" s="297"/>
      <c r="AB522" s="297"/>
      <c r="AC522" s="297"/>
      <c r="AD522" s="297"/>
      <c r="AE522" s="297"/>
      <c r="AF522" s="297"/>
      <c r="AG522" s="297"/>
      <c r="AH522" s="297"/>
      <c r="AI522" s="297"/>
      <c r="AJ522" s="297"/>
      <c r="AK522" s="297"/>
      <c r="AL522" s="297"/>
      <c r="AM522" s="297"/>
      <c r="AN522" s="297"/>
      <c r="AO522" s="297"/>
      <c r="AP522" s="297"/>
      <c r="AQ522" s="297"/>
      <c r="AR522" s="297"/>
      <c r="AS522" s="297"/>
      <c r="AT522" s="297"/>
      <c r="AU522" s="297"/>
      <c r="AV522" s="297"/>
      <c r="AW522" s="297"/>
      <c r="AX522" s="297"/>
      <c r="AY522" s="297"/>
      <c r="AZ522" s="297"/>
      <c r="BA522" s="297"/>
      <c r="BB522" s="297"/>
    </row>
    <row r="523" spans="1:54" thickBot="1">
      <c r="A523" s="298"/>
      <c r="B523" s="298"/>
      <c r="C523" s="298"/>
      <c r="D523" s="298"/>
      <c r="E523" s="298"/>
      <c r="F523" s="282"/>
      <c r="G523" s="298"/>
      <c r="H523" s="298"/>
      <c r="I523" s="282"/>
      <c r="J523" s="298"/>
      <c r="K523" s="566"/>
      <c r="L523" s="282"/>
      <c r="M523" s="282"/>
      <c r="N523" s="298"/>
      <c r="O523" s="282"/>
      <c r="P523" s="282"/>
      <c r="Q523" s="298"/>
      <c r="R523" s="282"/>
      <c r="S523" s="282"/>
      <c r="T523" s="298"/>
      <c r="U523" s="282"/>
      <c r="V523" s="298"/>
      <c r="W523" s="298"/>
      <c r="X523" s="297"/>
      <c r="Y523" s="297"/>
      <c r="Z523" s="297"/>
      <c r="AA523" s="297"/>
      <c r="AB523" s="297"/>
      <c r="AC523" s="297"/>
      <c r="AD523" s="297"/>
      <c r="AE523" s="297"/>
      <c r="AF523" s="297"/>
      <c r="AG523" s="297"/>
      <c r="AH523" s="297"/>
      <c r="AI523" s="297"/>
      <c r="AJ523" s="297"/>
      <c r="AK523" s="297"/>
      <c r="AL523" s="297"/>
      <c r="AM523" s="297"/>
      <c r="AN523" s="297"/>
      <c r="AO523" s="297"/>
      <c r="AP523" s="297"/>
      <c r="AQ523" s="297"/>
      <c r="AR523" s="297"/>
      <c r="AS523" s="297"/>
      <c r="AT523" s="297"/>
      <c r="AU523" s="297"/>
      <c r="AV523" s="297"/>
      <c r="AW523" s="297"/>
      <c r="AX523" s="297"/>
      <c r="AY523" s="297"/>
      <c r="AZ523" s="297"/>
      <c r="BA523" s="297"/>
      <c r="BB523" s="297"/>
    </row>
    <row r="524" spans="1:54" thickBot="1">
      <c r="A524" s="298"/>
      <c r="B524" s="298"/>
      <c r="C524" s="298"/>
      <c r="D524" s="298"/>
      <c r="E524" s="298"/>
      <c r="F524" s="282"/>
      <c r="G524" s="298"/>
      <c r="H524" s="298"/>
      <c r="I524" s="282"/>
      <c r="J524" s="298"/>
      <c r="K524" s="566"/>
      <c r="L524" s="282"/>
      <c r="M524" s="282"/>
      <c r="N524" s="298"/>
      <c r="O524" s="282"/>
      <c r="P524" s="282"/>
      <c r="Q524" s="298"/>
      <c r="R524" s="282"/>
      <c r="S524" s="282"/>
      <c r="T524" s="298"/>
      <c r="U524" s="282"/>
      <c r="V524" s="298"/>
      <c r="W524" s="298"/>
      <c r="X524" s="297"/>
      <c r="Y524" s="297"/>
      <c r="Z524" s="297"/>
      <c r="AA524" s="297"/>
      <c r="AB524" s="297"/>
      <c r="AC524" s="297"/>
      <c r="AD524" s="297"/>
      <c r="AE524" s="297"/>
      <c r="AF524" s="297"/>
      <c r="AG524" s="297"/>
      <c r="AH524" s="297"/>
      <c r="AI524" s="297"/>
      <c r="AJ524" s="297"/>
      <c r="AK524" s="297"/>
      <c r="AL524" s="297"/>
      <c r="AM524" s="297"/>
      <c r="AN524" s="297"/>
      <c r="AO524" s="297"/>
      <c r="AP524" s="297"/>
      <c r="AQ524" s="297"/>
      <c r="AR524" s="297"/>
      <c r="AS524" s="297"/>
      <c r="AT524" s="297"/>
      <c r="AU524" s="297"/>
      <c r="AV524" s="297"/>
      <c r="AW524" s="297"/>
      <c r="AX524" s="297"/>
      <c r="AY524" s="297"/>
      <c r="AZ524" s="297"/>
      <c r="BA524" s="297"/>
      <c r="BB524" s="297"/>
    </row>
    <row r="525" spans="1:54" thickBot="1">
      <c r="A525" s="298"/>
      <c r="B525" s="298"/>
      <c r="C525" s="298"/>
      <c r="D525" s="298"/>
      <c r="E525" s="298"/>
      <c r="F525" s="282"/>
      <c r="G525" s="298"/>
      <c r="H525" s="298"/>
      <c r="I525" s="282"/>
      <c r="J525" s="298"/>
      <c r="K525" s="566"/>
      <c r="L525" s="282"/>
      <c r="M525" s="282"/>
      <c r="N525" s="298"/>
      <c r="O525" s="282"/>
      <c r="P525" s="282"/>
      <c r="Q525" s="298"/>
      <c r="R525" s="282"/>
      <c r="S525" s="282"/>
      <c r="T525" s="298"/>
      <c r="U525" s="282"/>
      <c r="V525" s="298"/>
      <c r="W525" s="298"/>
      <c r="X525" s="297"/>
      <c r="Y525" s="297"/>
      <c r="Z525" s="297"/>
      <c r="AA525" s="297"/>
      <c r="AB525" s="297"/>
      <c r="AC525" s="297"/>
      <c r="AD525" s="297"/>
      <c r="AE525" s="297"/>
      <c r="AF525" s="297"/>
      <c r="AG525" s="297"/>
      <c r="AH525" s="297"/>
      <c r="AI525" s="297"/>
      <c r="AJ525" s="297"/>
      <c r="AK525" s="297"/>
      <c r="AL525" s="297"/>
      <c r="AM525" s="297"/>
      <c r="AN525" s="297"/>
      <c r="AO525" s="297"/>
      <c r="AP525" s="297"/>
      <c r="AQ525" s="297"/>
      <c r="AR525" s="297"/>
      <c r="AS525" s="297"/>
      <c r="AT525" s="297"/>
      <c r="AU525" s="297"/>
      <c r="AV525" s="297"/>
      <c r="AW525" s="297"/>
      <c r="AX525" s="297"/>
      <c r="AY525" s="297"/>
      <c r="AZ525" s="297"/>
      <c r="BA525" s="297"/>
      <c r="BB525" s="297"/>
    </row>
    <row r="526" spans="1:54" thickBot="1">
      <c r="A526" s="298"/>
      <c r="B526" s="298"/>
      <c r="C526" s="298"/>
      <c r="D526" s="298"/>
      <c r="E526" s="298"/>
      <c r="F526" s="282"/>
      <c r="G526" s="298"/>
      <c r="H526" s="298"/>
      <c r="I526" s="282"/>
      <c r="J526" s="298"/>
      <c r="K526" s="566"/>
      <c r="L526" s="282"/>
      <c r="M526" s="282"/>
      <c r="N526" s="298"/>
      <c r="O526" s="282"/>
      <c r="P526" s="282"/>
      <c r="Q526" s="298"/>
      <c r="R526" s="282"/>
      <c r="S526" s="282"/>
      <c r="T526" s="298"/>
      <c r="U526" s="282"/>
      <c r="V526" s="298"/>
      <c r="W526" s="298"/>
      <c r="X526" s="297"/>
      <c r="Y526" s="297"/>
      <c r="Z526" s="297"/>
      <c r="AA526" s="297"/>
      <c r="AB526" s="297"/>
      <c r="AC526" s="297"/>
      <c r="AD526" s="297"/>
      <c r="AE526" s="297"/>
      <c r="AF526" s="297"/>
      <c r="AG526" s="297"/>
      <c r="AH526" s="297"/>
      <c r="AI526" s="297"/>
      <c r="AJ526" s="297"/>
      <c r="AK526" s="297"/>
      <c r="AL526" s="297"/>
      <c r="AM526" s="297"/>
      <c r="AN526" s="297"/>
      <c r="AO526" s="297"/>
      <c r="AP526" s="297"/>
      <c r="AQ526" s="297"/>
      <c r="AR526" s="297"/>
      <c r="AS526" s="297"/>
      <c r="AT526" s="297"/>
      <c r="AU526" s="297"/>
      <c r="AV526" s="297"/>
      <c r="AW526" s="297"/>
      <c r="AX526" s="297"/>
      <c r="AY526" s="297"/>
      <c r="AZ526" s="297"/>
      <c r="BA526" s="297"/>
      <c r="BB526" s="297"/>
    </row>
    <row r="527" spans="1:54" thickBot="1">
      <c r="A527" s="298"/>
      <c r="B527" s="298"/>
      <c r="C527" s="298"/>
      <c r="D527" s="298"/>
      <c r="E527" s="298"/>
      <c r="F527" s="282"/>
      <c r="G527" s="298"/>
      <c r="H527" s="298"/>
      <c r="I527" s="282"/>
      <c r="J527" s="298"/>
      <c r="K527" s="566"/>
      <c r="L527" s="282"/>
      <c r="M527" s="282"/>
      <c r="N527" s="298"/>
      <c r="O527" s="282"/>
      <c r="P527" s="282"/>
      <c r="Q527" s="298"/>
      <c r="R527" s="282"/>
      <c r="S527" s="282"/>
      <c r="T527" s="298"/>
      <c r="U527" s="282"/>
      <c r="V527" s="298"/>
      <c r="W527" s="298"/>
      <c r="X527" s="297"/>
      <c r="Y527" s="297"/>
      <c r="Z527" s="297"/>
      <c r="AA527" s="297"/>
      <c r="AB527" s="297"/>
      <c r="AC527" s="297"/>
      <c r="AD527" s="297"/>
      <c r="AE527" s="297"/>
      <c r="AF527" s="297"/>
      <c r="AG527" s="297"/>
      <c r="AH527" s="297"/>
      <c r="AI527" s="297"/>
      <c r="AJ527" s="297"/>
      <c r="AK527" s="297"/>
      <c r="AL527" s="297"/>
      <c r="AM527" s="297"/>
      <c r="AN527" s="297"/>
      <c r="AO527" s="297"/>
      <c r="AP527" s="297"/>
      <c r="AQ527" s="297"/>
      <c r="AR527" s="297"/>
      <c r="AS527" s="297"/>
      <c r="AT527" s="297"/>
      <c r="AU527" s="297"/>
      <c r="AV527" s="297"/>
      <c r="AW527" s="297"/>
      <c r="AX527" s="297"/>
      <c r="AY527" s="297"/>
      <c r="AZ527" s="297"/>
      <c r="BA527" s="297"/>
      <c r="BB527" s="297"/>
    </row>
    <row r="528" spans="1:54" thickBot="1">
      <c r="A528" s="298"/>
      <c r="B528" s="298"/>
      <c r="C528" s="298"/>
      <c r="D528" s="298"/>
      <c r="E528" s="298"/>
      <c r="F528" s="282"/>
      <c r="G528" s="298"/>
      <c r="H528" s="298"/>
      <c r="I528" s="282"/>
      <c r="J528" s="298"/>
      <c r="K528" s="566"/>
      <c r="L528" s="282"/>
      <c r="M528" s="282"/>
      <c r="N528" s="298"/>
      <c r="O528" s="282"/>
      <c r="P528" s="282"/>
      <c r="Q528" s="298"/>
      <c r="R528" s="282"/>
      <c r="S528" s="282"/>
      <c r="T528" s="298"/>
      <c r="U528" s="282"/>
      <c r="V528" s="298"/>
      <c r="W528" s="298"/>
      <c r="X528" s="297"/>
      <c r="Y528" s="297"/>
      <c r="Z528" s="297"/>
      <c r="AA528" s="297"/>
      <c r="AB528" s="297"/>
      <c r="AC528" s="297"/>
      <c r="AD528" s="297"/>
      <c r="AE528" s="297"/>
      <c r="AF528" s="297"/>
      <c r="AG528" s="297"/>
      <c r="AH528" s="297"/>
      <c r="AI528" s="297"/>
      <c r="AJ528" s="297"/>
      <c r="AK528" s="297"/>
      <c r="AL528" s="297"/>
      <c r="AM528" s="297"/>
      <c r="AN528" s="297"/>
      <c r="AO528" s="297"/>
      <c r="AP528" s="297"/>
      <c r="AQ528" s="297"/>
      <c r="AR528" s="297"/>
      <c r="AS528" s="297"/>
      <c r="AT528" s="297"/>
      <c r="AU528" s="297"/>
      <c r="AV528" s="297"/>
      <c r="AW528" s="297"/>
      <c r="AX528" s="297"/>
      <c r="AY528" s="297"/>
      <c r="AZ528" s="297"/>
      <c r="BA528" s="297"/>
      <c r="BB528" s="297"/>
    </row>
    <row r="529" spans="1:54" thickBot="1">
      <c r="A529" s="298"/>
      <c r="B529" s="298"/>
      <c r="C529" s="298"/>
      <c r="D529" s="298"/>
      <c r="E529" s="298"/>
      <c r="F529" s="282"/>
      <c r="G529" s="298"/>
      <c r="H529" s="298"/>
      <c r="I529" s="282"/>
      <c r="J529" s="298"/>
      <c r="K529" s="566"/>
      <c r="L529" s="282"/>
      <c r="M529" s="282"/>
      <c r="N529" s="298"/>
      <c r="O529" s="282"/>
      <c r="P529" s="282"/>
      <c r="Q529" s="298"/>
      <c r="R529" s="282"/>
      <c r="S529" s="282"/>
      <c r="T529" s="298"/>
      <c r="U529" s="282"/>
      <c r="V529" s="298"/>
      <c r="W529" s="298"/>
      <c r="X529" s="297"/>
      <c r="Y529" s="297"/>
      <c r="Z529" s="297"/>
      <c r="AA529" s="297"/>
      <c r="AB529" s="297"/>
      <c r="AC529" s="297"/>
      <c r="AD529" s="297"/>
      <c r="AE529" s="297"/>
      <c r="AF529" s="297"/>
      <c r="AG529" s="297"/>
      <c r="AH529" s="297"/>
      <c r="AI529" s="297"/>
      <c r="AJ529" s="297"/>
      <c r="AK529" s="297"/>
      <c r="AL529" s="297"/>
      <c r="AM529" s="297"/>
      <c r="AN529" s="297"/>
      <c r="AO529" s="297"/>
      <c r="AP529" s="297"/>
      <c r="AQ529" s="297"/>
      <c r="AR529" s="297"/>
      <c r="AS529" s="297"/>
      <c r="AT529" s="297"/>
      <c r="AU529" s="297"/>
      <c r="AV529" s="297"/>
      <c r="AW529" s="297"/>
      <c r="AX529" s="297"/>
      <c r="AY529" s="297"/>
      <c r="AZ529" s="297"/>
      <c r="BA529" s="297"/>
      <c r="BB529" s="297"/>
    </row>
    <row r="530" spans="1:54" thickBot="1">
      <c r="A530" s="298"/>
      <c r="B530" s="298"/>
      <c r="C530" s="298"/>
      <c r="D530" s="298"/>
      <c r="E530" s="298"/>
      <c r="F530" s="282"/>
      <c r="G530" s="298"/>
      <c r="H530" s="298"/>
      <c r="I530" s="282"/>
      <c r="J530" s="298"/>
      <c r="K530" s="566"/>
      <c r="L530" s="282"/>
      <c r="M530" s="282"/>
      <c r="N530" s="298"/>
      <c r="O530" s="282"/>
      <c r="P530" s="282"/>
      <c r="Q530" s="298"/>
      <c r="R530" s="282"/>
      <c r="S530" s="282"/>
      <c r="T530" s="298"/>
      <c r="U530" s="282"/>
      <c r="V530" s="298"/>
      <c r="W530" s="298"/>
      <c r="X530" s="297"/>
      <c r="Y530" s="297"/>
      <c r="Z530" s="297"/>
      <c r="AA530" s="297"/>
      <c r="AB530" s="297"/>
      <c r="AC530" s="297"/>
      <c r="AD530" s="297"/>
      <c r="AE530" s="297"/>
      <c r="AF530" s="297"/>
      <c r="AG530" s="297"/>
      <c r="AH530" s="297"/>
      <c r="AI530" s="297"/>
      <c r="AJ530" s="297"/>
      <c r="AK530" s="297"/>
      <c r="AL530" s="297"/>
      <c r="AM530" s="297"/>
      <c r="AN530" s="297"/>
      <c r="AO530" s="297"/>
      <c r="AP530" s="297"/>
      <c r="AQ530" s="297"/>
      <c r="AR530" s="297"/>
      <c r="AS530" s="297"/>
      <c r="AT530" s="297"/>
      <c r="AU530" s="297"/>
      <c r="AV530" s="297"/>
      <c r="AW530" s="297"/>
      <c r="AX530" s="297"/>
      <c r="AY530" s="297"/>
      <c r="AZ530" s="297"/>
      <c r="BA530" s="297"/>
      <c r="BB530" s="297"/>
    </row>
    <row r="531" spans="1:54" thickBot="1">
      <c r="A531" s="298"/>
      <c r="B531" s="298"/>
      <c r="C531" s="298"/>
      <c r="D531" s="298"/>
      <c r="E531" s="298"/>
      <c r="F531" s="282"/>
      <c r="G531" s="298"/>
      <c r="H531" s="298"/>
      <c r="I531" s="282"/>
      <c r="J531" s="298"/>
      <c r="K531" s="566"/>
      <c r="L531" s="282"/>
      <c r="M531" s="282"/>
      <c r="N531" s="298"/>
      <c r="O531" s="282"/>
      <c r="P531" s="282"/>
      <c r="Q531" s="298"/>
      <c r="R531" s="282"/>
      <c r="S531" s="282"/>
      <c r="T531" s="298"/>
      <c r="U531" s="282"/>
      <c r="V531" s="298"/>
      <c r="W531" s="298"/>
      <c r="X531" s="297"/>
      <c r="Y531" s="297"/>
      <c r="Z531" s="297"/>
      <c r="AA531" s="297"/>
      <c r="AB531" s="297"/>
      <c r="AC531" s="297"/>
      <c r="AD531" s="297"/>
      <c r="AE531" s="297"/>
      <c r="AF531" s="297"/>
      <c r="AG531" s="297"/>
      <c r="AH531" s="297"/>
      <c r="AI531" s="297"/>
      <c r="AJ531" s="297"/>
      <c r="AK531" s="297"/>
      <c r="AL531" s="297"/>
      <c r="AM531" s="297"/>
      <c r="AN531" s="297"/>
      <c r="AO531" s="297"/>
      <c r="AP531" s="297"/>
      <c r="AQ531" s="297"/>
      <c r="AR531" s="297"/>
      <c r="AS531" s="297"/>
      <c r="AT531" s="297"/>
      <c r="AU531" s="297"/>
      <c r="AV531" s="297"/>
      <c r="AW531" s="297"/>
      <c r="AX531" s="297"/>
      <c r="AY531" s="297"/>
      <c r="AZ531" s="297"/>
      <c r="BA531" s="297"/>
      <c r="BB531" s="297"/>
    </row>
    <row r="532" spans="1:54" thickBot="1">
      <c r="A532" s="298"/>
      <c r="B532" s="298"/>
      <c r="C532" s="298"/>
      <c r="D532" s="298"/>
      <c r="E532" s="298"/>
      <c r="F532" s="282"/>
      <c r="G532" s="298"/>
      <c r="H532" s="298"/>
      <c r="I532" s="282"/>
      <c r="J532" s="298"/>
      <c r="K532" s="566"/>
      <c r="L532" s="282"/>
      <c r="M532" s="282"/>
      <c r="N532" s="298"/>
      <c r="O532" s="282"/>
      <c r="P532" s="282"/>
      <c r="Q532" s="298"/>
      <c r="R532" s="282"/>
      <c r="S532" s="282"/>
      <c r="T532" s="298"/>
      <c r="U532" s="282"/>
      <c r="V532" s="298"/>
      <c r="W532" s="298"/>
      <c r="X532" s="297"/>
      <c r="Y532" s="297"/>
      <c r="Z532" s="297"/>
      <c r="AA532" s="297"/>
      <c r="AB532" s="297"/>
      <c r="AC532" s="297"/>
      <c r="AD532" s="297"/>
      <c r="AE532" s="297"/>
      <c r="AF532" s="297"/>
      <c r="AG532" s="297"/>
      <c r="AH532" s="297"/>
      <c r="AI532" s="297"/>
      <c r="AJ532" s="297"/>
      <c r="AK532" s="297"/>
      <c r="AL532" s="297"/>
      <c r="AM532" s="297"/>
      <c r="AN532" s="297"/>
      <c r="AO532" s="297"/>
      <c r="AP532" s="297"/>
      <c r="AQ532" s="297"/>
      <c r="AR532" s="297"/>
      <c r="AS532" s="297"/>
      <c r="AT532" s="297"/>
      <c r="AU532" s="297"/>
      <c r="AV532" s="297"/>
      <c r="AW532" s="297"/>
      <c r="AX532" s="297"/>
      <c r="AY532" s="297"/>
      <c r="AZ532" s="297"/>
      <c r="BA532" s="297"/>
      <c r="BB532" s="297"/>
    </row>
    <row r="533" spans="1:54" thickBot="1">
      <c r="A533" s="298"/>
      <c r="B533" s="298"/>
      <c r="C533" s="298"/>
      <c r="D533" s="298"/>
      <c r="E533" s="298"/>
      <c r="F533" s="282"/>
      <c r="G533" s="298"/>
      <c r="H533" s="298"/>
      <c r="I533" s="282"/>
      <c r="J533" s="298"/>
      <c r="K533" s="566"/>
      <c r="L533" s="282"/>
      <c r="M533" s="282"/>
      <c r="N533" s="298"/>
      <c r="O533" s="282"/>
      <c r="P533" s="282"/>
      <c r="Q533" s="298"/>
      <c r="R533" s="282"/>
      <c r="S533" s="282"/>
      <c r="T533" s="298"/>
      <c r="U533" s="282"/>
      <c r="V533" s="298"/>
      <c r="W533" s="298"/>
      <c r="X533" s="297"/>
      <c r="Y533" s="297"/>
      <c r="Z533" s="297"/>
      <c r="AA533" s="297"/>
      <c r="AB533" s="297"/>
      <c r="AC533" s="297"/>
      <c r="AD533" s="297"/>
      <c r="AE533" s="297"/>
      <c r="AF533" s="297"/>
      <c r="AG533" s="297"/>
      <c r="AH533" s="297"/>
      <c r="AI533" s="297"/>
      <c r="AJ533" s="297"/>
      <c r="AK533" s="297"/>
      <c r="AL533" s="297"/>
      <c r="AM533" s="297"/>
      <c r="AN533" s="297"/>
      <c r="AO533" s="297"/>
      <c r="AP533" s="297"/>
      <c r="AQ533" s="297"/>
      <c r="AR533" s="297"/>
      <c r="AS533" s="297"/>
      <c r="AT533" s="297"/>
      <c r="AU533" s="297"/>
      <c r="AV533" s="297"/>
      <c r="AW533" s="297"/>
      <c r="AX533" s="297"/>
      <c r="AY533" s="297"/>
      <c r="AZ533" s="297"/>
      <c r="BA533" s="297"/>
      <c r="BB533" s="297"/>
    </row>
    <row r="534" spans="1:54" thickBot="1">
      <c r="A534" s="298"/>
      <c r="B534" s="298"/>
      <c r="C534" s="298"/>
      <c r="D534" s="298"/>
      <c r="E534" s="298"/>
      <c r="F534" s="282"/>
      <c r="G534" s="298"/>
      <c r="H534" s="298"/>
      <c r="I534" s="282"/>
      <c r="J534" s="298"/>
      <c r="K534" s="566"/>
      <c r="L534" s="282"/>
      <c r="M534" s="282"/>
      <c r="N534" s="298"/>
      <c r="O534" s="282"/>
      <c r="P534" s="282"/>
      <c r="Q534" s="298"/>
      <c r="R534" s="282"/>
      <c r="S534" s="282"/>
      <c r="T534" s="298"/>
      <c r="U534" s="282"/>
      <c r="V534" s="298"/>
      <c r="W534" s="298"/>
      <c r="X534" s="297"/>
      <c r="Y534" s="297"/>
      <c r="Z534" s="297"/>
      <c r="AA534" s="297"/>
      <c r="AB534" s="297"/>
      <c r="AC534" s="297"/>
      <c r="AD534" s="297"/>
      <c r="AE534" s="297"/>
      <c r="AF534" s="297"/>
      <c r="AG534" s="297"/>
      <c r="AH534" s="297"/>
      <c r="AI534" s="297"/>
      <c r="AJ534" s="297"/>
      <c r="AK534" s="297"/>
      <c r="AL534" s="297"/>
      <c r="AM534" s="297"/>
      <c r="AN534" s="297"/>
      <c r="AO534" s="297"/>
      <c r="AP534" s="297"/>
      <c r="AQ534" s="297"/>
      <c r="AR534" s="297"/>
      <c r="AS534" s="297"/>
      <c r="AT534" s="297"/>
      <c r="AU534" s="297"/>
      <c r="AV534" s="297"/>
      <c r="AW534" s="297"/>
      <c r="AX534" s="297"/>
      <c r="AY534" s="297"/>
      <c r="AZ534" s="297"/>
      <c r="BA534" s="297"/>
      <c r="BB534" s="297"/>
    </row>
    <row r="535" spans="1:54" thickBot="1">
      <c r="A535" s="298"/>
      <c r="B535" s="298"/>
      <c r="C535" s="298"/>
      <c r="D535" s="298"/>
      <c r="E535" s="298"/>
      <c r="F535" s="282"/>
      <c r="G535" s="298"/>
      <c r="H535" s="298"/>
      <c r="I535" s="282"/>
      <c r="J535" s="298"/>
      <c r="K535" s="566"/>
      <c r="L535" s="282"/>
      <c r="M535" s="282"/>
      <c r="N535" s="298"/>
      <c r="O535" s="282"/>
      <c r="P535" s="282"/>
      <c r="Q535" s="298"/>
      <c r="R535" s="282"/>
      <c r="S535" s="282"/>
      <c r="T535" s="298"/>
      <c r="U535" s="282"/>
      <c r="V535" s="298"/>
      <c r="W535" s="298"/>
      <c r="X535" s="297"/>
      <c r="Y535" s="297"/>
      <c r="Z535" s="297"/>
      <c r="AA535" s="297"/>
      <c r="AB535" s="297"/>
      <c r="AC535" s="297"/>
      <c r="AD535" s="297"/>
      <c r="AE535" s="297"/>
      <c r="AF535" s="297"/>
      <c r="AG535" s="297"/>
      <c r="AH535" s="297"/>
      <c r="AI535" s="297"/>
      <c r="AJ535" s="297"/>
      <c r="AK535" s="297"/>
      <c r="AL535" s="297"/>
      <c r="AM535" s="297"/>
      <c r="AN535" s="297"/>
      <c r="AO535" s="297"/>
      <c r="AP535" s="297"/>
      <c r="AQ535" s="297"/>
      <c r="AR535" s="297"/>
      <c r="AS535" s="297"/>
      <c r="AT535" s="297"/>
      <c r="AU535" s="297"/>
      <c r="AV535" s="297"/>
      <c r="AW535" s="297"/>
      <c r="AX535" s="297"/>
      <c r="AY535" s="297"/>
      <c r="AZ535" s="297"/>
      <c r="BA535" s="297"/>
      <c r="BB535" s="297"/>
    </row>
    <row r="536" spans="1:54" thickBot="1">
      <c r="A536" s="298"/>
      <c r="B536" s="298"/>
      <c r="C536" s="298"/>
      <c r="D536" s="298"/>
      <c r="E536" s="298"/>
      <c r="F536" s="282"/>
      <c r="G536" s="298"/>
      <c r="H536" s="298"/>
      <c r="I536" s="282"/>
      <c r="J536" s="298"/>
      <c r="K536" s="566"/>
      <c r="L536" s="282"/>
      <c r="M536" s="282"/>
      <c r="N536" s="298"/>
      <c r="O536" s="282"/>
      <c r="P536" s="282"/>
      <c r="Q536" s="298"/>
      <c r="R536" s="282"/>
      <c r="S536" s="282"/>
      <c r="T536" s="298"/>
      <c r="U536" s="282"/>
      <c r="V536" s="298"/>
      <c r="W536" s="298"/>
      <c r="X536" s="297"/>
      <c r="Y536" s="297"/>
      <c r="Z536" s="297"/>
      <c r="AA536" s="297"/>
      <c r="AB536" s="297"/>
      <c r="AC536" s="297"/>
      <c r="AD536" s="297"/>
      <c r="AE536" s="297"/>
      <c r="AF536" s="297"/>
      <c r="AG536" s="297"/>
      <c r="AH536" s="297"/>
      <c r="AI536" s="297"/>
      <c r="AJ536" s="297"/>
      <c r="AK536" s="297"/>
      <c r="AL536" s="297"/>
      <c r="AM536" s="297"/>
      <c r="AN536" s="297"/>
      <c r="AO536" s="297"/>
      <c r="AP536" s="297"/>
      <c r="AQ536" s="297"/>
      <c r="AR536" s="297"/>
      <c r="AS536" s="297"/>
      <c r="AT536" s="297"/>
      <c r="AU536" s="297"/>
      <c r="AV536" s="297"/>
      <c r="AW536" s="297"/>
      <c r="AX536" s="297"/>
      <c r="AY536" s="297"/>
      <c r="AZ536" s="297"/>
      <c r="BA536" s="297"/>
      <c r="BB536" s="297"/>
    </row>
    <row r="537" spans="1:54" thickBot="1">
      <c r="A537" s="298"/>
      <c r="B537" s="298"/>
      <c r="C537" s="298"/>
      <c r="D537" s="298"/>
      <c r="E537" s="298"/>
      <c r="F537" s="282"/>
      <c r="G537" s="298"/>
      <c r="H537" s="298"/>
      <c r="I537" s="282"/>
      <c r="J537" s="298"/>
      <c r="K537" s="566"/>
      <c r="L537" s="282"/>
      <c r="M537" s="282"/>
      <c r="N537" s="298"/>
      <c r="O537" s="282"/>
      <c r="P537" s="282"/>
      <c r="Q537" s="298"/>
      <c r="R537" s="282"/>
      <c r="S537" s="282"/>
      <c r="T537" s="298"/>
      <c r="U537" s="282"/>
      <c r="V537" s="298"/>
      <c r="W537" s="298"/>
      <c r="X537" s="297"/>
      <c r="Y537" s="297"/>
      <c r="Z537" s="297"/>
      <c r="AA537" s="297"/>
      <c r="AB537" s="297"/>
      <c r="AC537" s="297"/>
      <c r="AD537" s="297"/>
      <c r="AE537" s="297"/>
      <c r="AF537" s="297"/>
      <c r="AG537" s="297"/>
      <c r="AH537" s="297"/>
      <c r="AI537" s="297"/>
      <c r="AJ537" s="297"/>
      <c r="AK537" s="297"/>
      <c r="AL537" s="297"/>
      <c r="AM537" s="297"/>
      <c r="AN537" s="297"/>
      <c r="AO537" s="297"/>
      <c r="AP537" s="297"/>
      <c r="AQ537" s="297"/>
      <c r="AR537" s="297"/>
      <c r="AS537" s="297"/>
      <c r="AT537" s="297"/>
      <c r="AU537" s="297"/>
      <c r="AV537" s="297"/>
      <c r="AW537" s="297"/>
      <c r="AX537" s="297"/>
      <c r="AY537" s="297"/>
      <c r="AZ537" s="297"/>
      <c r="BA537" s="297"/>
      <c r="BB537" s="297"/>
    </row>
    <row r="538" spans="1:54" thickBot="1">
      <c r="A538" s="298"/>
      <c r="B538" s="298"/>
      <c r="C538" s="298"/>
      <c r="D538" s="298"/>
      <c r="E538" s="298"/>
      <c r="F538" s="282"/>
      <c r="G538" s="298"/>
      <c r="H538" s="298"/>
      <c r="I538" s="282"/>
      <c r="J538" s="298"/>
      <c r="K538" s="566"/>
      <c r="L538" s="282"/>
      <c r="M538" s="282"/>
      <c r="N538" s="298"/>
      <c r="O538" s="282"/>
      <c r="P538" s="282"/>
      <c r="Q538" s="298"/>
      <c r="R538" s="282"/>
      <c r="S538" s="282"/>
      <c r="T538" s="298"/>
      <c r="U538" s="282"/>
      <c r="V538" s="298"/>
      <c r="W538" s="298"/>
      <c r="X538" s="297"/>
      <c r="Y538" s="297"/>
      <c r="Z538" s="297"/>
      <c r="AA538" s="297"/>
      <c r="AB538" s="297"/>
      <c r="AC538" s="297"/>
      <c r="AD538" s="297"/>
      <c r="AE538" s="297"/>
      <c r="AF538" s="297"/>
      <c r="AG538" s="297"/>
      <c r="AH538" s="297"/>
      <c r="AI538" s="297"/>
      <c r="AJ538" s="297"/>
      <c r="AK538" s="297"/>
      <c r="AL538" s="297"/>
      <c r="AM538" s="297"/>
      <c r="AN538" s="297"/>
      <c r="AO538" s="297"/>
      <c r="AP538" s="297"/>
      <c r="AQ538" s="297"/>
      <c r="AR538" s="297"/>
      <c r="AS538" s="297"/>
      <c r="AT538" s="297"/>
      <c r="AU538" s="297"/>
      <c r="AV538" s="297"/>
      <c r="AW538" s="297"/>
      <c r="AX538" s="297"/>
      <c r="AY538" s="297"/>
      <c r="AZ538" s="297"/>
      <c r="BA538" s="297"/>
      <c r="BB538" s="297"/>
    </row>
    <row r="539" spans="1:54" thickBot="1">
      <c r="A539" s="298"/>
      <c r="B539" s="298"/>
      <c r="C539" s="298"/>
      <c r="D539" s="298"/>
      <c r="E539" s="298"/>
      <c r="F539" s="282"/>
      <c r="G539" s="298"/>
      <c r="H539" s="298"/>
      <c r="I539" s="282"/>
      <c r="J539" s="298"/>
      <c r="K539" s="566"/>
      <c r="L539" s="282"/>
      <c r="M539" s="282"/>
      <c r="N539" s="298"/>
      <c r="O539" s="282"/>
      <c r="P539" s="282"/>
      <c r="Q539" s="298"/>
      <c r="R539" s="282"/>
      <c r="S539" s="282"/>
      <c r="T539" s="298"/>
      <c r="U539" s="282"/>
      <c r="V539" s="298"/>
      <c r="W539" s="298"/>
      <c r="X539" s="297"/>
      <c r="Y539" s="297"/>
      <c r="Z539" s="297"/>
      <c r="AA539" s="297"/>
      <c r="AB539" s="297"/>
      <c r="AC539" s="297"/>
      <c r="AD539" s="297"/>
      <c r="AE539" s="297"/>
      <c r="AF539" s="297"/>
      <c r="AG539" s="297"/>
      <c r="AH539" s="297"/>
      <c r="AI539" s="297"/>
      <c r="AJ539" s="297"/>
      <c r="AK539" s="297"/>
      <c r="AL539" s="297"/>
      <c r="AM539" s="297"/>
      <c r="AN539" s="297"/>
      <c r="AO539" s="297"/>
      <c r="AP539" s="297"/>
      <c r="AQ539" s="297"/>
      <c r="AR539" s="297"/>
      <c r="AS539" s="297"/>
      <c r="AT539" s="297"/>
      <c r="AU539" s="297"/>
      <c r="AV539" s="297"/>
      <c r="AW539" s="297"/>
      <c r="AX539" s="297"/>
      <c r="AY539" s="297"/>
      <c r="AZ539" s="297"/>
      <c r="BA539" s="297"/>
      <c r="BB539" s="297"/>
    </row>
    <row r="540" spans="1:54" thickBot="1">
      <c r="A540" s="298"/>
      <c r="B540" s="298"/>
      <c r="C540" s="298"/>
      <c r="D540" s="298"/>
      <c r="E540" s="298"/>
      <c r="F540" s="282"/>
      <c r="G540" s="298"/>
      <c r="H540" s="298"/>
      <c r="I540" s="282"/>
      <c r="J540" s="298"/>
      <c r="K540" s="566"/>
      <c r="L540" s="282"/>
      <c r="M540" s="282"/>
      <c r="N540" s="298"/>
      <c r="O540" s="282"/>
      <c r="P540" s="282"/>
      <c r="Q540" s="298"/>
      <c r="R540" s="282"/>
      <c r="S540" s="282"/>
      <c r="T540" s="298"/>
      <c r="U540" s="282"/>
      <c r="V540" s="298"/>
      <c r="W540" s="298"/>
      <c r="X540" s="297"/>
      <c r="Y540" s="297"/>
      <c r="Z540" s="297"/>
      <c r="AA540" s="297"/>
      <c r="AB540" s="297"/>
      <c r="AC540" s="297"/>
      <c r="AD540" s="297"/>
      <c r="AE540" s="297"/>
      <c r="AF540" s="297"/>
      <c r="AG540" s="297"/>
      <c r="AH540" s="297"/>
      <c r="AI540" s="297"/>
      <c r="AJ540" s="297"/>
      <c r="AK540" s="297"/>
      <c r="AL540" s="297"/>
      <c r="AM540" s="297"/>
      <c r="AN540" s="297"/>
      <c r="AO540" s="297"/>
      <c r="AP540" s="297"/>
      <c r="AQ540" s="297"/>
      <c r="AR540" s="297"/>
      <c r="AS540" s="297"/>
      <c r="AT540" s="297"/>
      <c r="AU540" s="297"/>
      <c r="AV540" s="297"/>
      <c r="AW540" s="297"/>
      <c r="AX540" s="297"/>
      <c r="AY540" s="297"/>
      <c r="AZ540" s="297"/>
      <c r="BA540" s="297"/>
      <c r="BB540" s="297"/>
    </row>
    <row r="541" spans="1:54" thickBot="1">
      <c r="A541" s="298"/>
      <c r="B541" s="298"/>
      <c r="C541" s="298"/>
      <c r="D541" s="298"/>
      <c r="E541" s="298"/>
      <c r="F541" s="282"/>
      <c r="G541" s="298"/>
      <c r="H541" s="298"/>
      <c r="I541" s="282"/>
      <c r="J541" s="298"/>
      <c r="K541" s="566"/>
      <c r="L541" s="282"/>
      <c r="M541" s="282"/>
      <c r="N541" s="298"/>
      <c r="O541" s="282"/>
      <c r="P541" s="282"/>
      <c r="Q541" s="298"/>
      <c r="R541" s="282"/>
      <c r="S541" s="282"/>
      <c r="T541" s="298"/>
      <c r="U541" s="282"/>
      <c r="V541" s="298"/>
      <c r="W541" s="298"/>
      <c r="X541" s="297"/>
      <c r="Y541" s="297"/>
      <c r="Z541" s="297"/>
      <c r="AA541" s="297"/>
      <c r="AB541" s="297"/>
      <c r="AC541" s="297"/>
      <c r="AD541" s="297"/>
      <c r="AE541" s="297"/>
      <c r="AF541" s="297"/>
      <c r="AG541" s="297"/>
      <c r="AH541" s="297"/>
      <c r="AI541" s="297"/>
      <c r="AJ541" s="297"/>
      <c r="AK541" s="297"/>
      <c r="AL541" s="297"/>
      <c r="AM541" s="297"/>
      <c r="AN541" s="297"/>
      <c r="AO541" s="297"/>
      <c r="AP541" s="297"/>
      <c r="AQ541" s="297"/>
      <c r="AR541" s="297"/>
      <c r="AS541" s="297"/>
      <c r="AT541" s="297"/>
      <c r="AU541" s="297"/>
      <c r="AV541" s="297"/>
      <c r="AW541" s="297"/>
      <c r="AX541" s="297"/>
      <c r="AY541" s="297"/>
      <c r="AZ541" s="297"/>
      <c r="BA541" s="297"/>
      <c r="BB541" s="297"/>
    </row>
    <row r="542" spans="1:54" thickBot="1">
      <c r="A542" s="298"/>
      <c r="B542" s="298"/>
      <c r="C542" s="298"/>
      <c r="D542" s="298"/>
      <c r="E542" s="298"/>
      <c r="F542" s="282"/>
      <c r="G542" s="298"/>
      <c r="H542" s="298"/>
      <c r="I542" s="282"/>
      <c r="J542" s="298"/>
      <c r="K542" s="566"/>
      <c r="L542" s="282"/>
      <c r="M542" s="282"/>
      <c r="N542" s="298"/>
      <c r="O542" s="282"/>
      <c r="P542" s="282"/>
      <c r="Q542" s="298"/>
      <c r="R542" s="282"/>
      <c r="S542" s="282"/>
      <c r="T542" s="298"/>
      <c r="U542" s="282"/>
      <c r="V542" s="298"/>
      <c r="W542" s="298"/>
      <c r="X542" s="297"/>
      <c r="Y542" s="297"/>
      <c r="Z542" s="297"/>
      <c r="AA542" s="297"/>
      <c r="AB542" s="297"/>
      <c r="AC542" s="297"/>
      <c r="AD542" s="297"/>
      <c r="AE542" s="297"/>
      <c r="AF542" s="297"/>
      <c r="AG542" s="297"/>
      <c r="AH542" s="297"/>
      <c r="AI542" s="297"/>
      <c r="AJ542" s="297"/>
      <c r="AK542" s="297"/>
      <c r="AL542" s="297"/>
      <c r="AM542" s="297"/>
      <c r="AN542" s="297"/>
      <c r="AO542" s="297"/>
      <c r="AP542" s="297"/>
      <c r="AQ542" s="297"/>
      <c r="AR542" s="297"/>
      <c r="AS542" s="297"/>
      <c r="AT542" s="297"/>
      <c r="AU542" s="297"/>
      <c r="AV542" s="297"/>
      <c r="AW542" s="297"/>
      <c r="AX542" s="297"/>
      <c r="AY542" s="297"/>
      <c r="AZ542" s="297"/>
      <c r="BA542" s="297"/>
      <c r="BB542" s="297"/>
    </row>
    <row r="543" spans="1:54" thickBot="1">
      <c r="A543" s="298"/>
      <c r="B543" s="298"/>
      <c r="C543" s="298"/>
      <c r="D543" s="298"/>
      <c r="E543" s="298"/>
      <c r="F543" s="282"/>
      <c r="G543" s="298"/>
      <c r="H543" s="298"/>
      <c r="I543" s="282"/>
      <c r="J543" s="298"/>
      <c r="K543" s="566"/>
      <c r="L543" s="282"/>
      <c r="M543" s="282"/>
      <c r="N543" s="298"/>
      <c r="O543" s="282"/>
      <c r="P543" s="282"/>
      <c r="Q543" s="298"/>
      <c r="R543" s="282"/>
      <c r="S543" s="282"/>
      <c r="T543" s="298"/>
      <c r="U543" s="282"/>
      <c r="V543" s="298"/>
      <c r="W543" s="298"/>
      <c r="X543" s="297"/>
      <c r="Y543" s="297"/>
      <c r="Z543" s="297"/>
      <c r="AA543" s="297"/>
      <c r="AB543" s="297"/>
      <c r="AC543" s="297"/>
      <c r="AD543" s="297"/>
      <c r="AE543" s="297"/>
      <c r="AF543" s="297"/>
      <c r="AG543" s="297"/>
      <c r="AH543" s="297"/>
      <c r="AI543" s="297"/>
      <c r="AJ543" s="297"/>
      <c r="AK543" s="297"/>
      <c r="AL543" s="297"/>
      <c r="AM543" s="297"/>
      <c r="AN543" s="297"/>
      <c r="AO543" s="297"/>
      <c r="AP543" s="297"/>
      <c r="AQ543" s="297"/>
      <c r="AR543" s="297"/>
      <c r="AS543" s="297"/>
      <c r="AT543" s="297"/>
      <c r="AU543" s="297"/>
      <c r="AV543" s="297"/>
      <c r="AW543" s="297"/>
      <c r="AX543" s="297"/>
      <c r="AY543" s="297"/>
      <c r="AZ543" s="297"/>
      <c r="BA543" s="297"/>
      <c r="BB543" s="297"/>
    </row>
    <row r="544" spans="1:54" thickBot="1">
      <c r="A544" s="298"/>
      <c r="B544" s="298"/>
      <c r="C544" s="298"/>
      <c r="D544" s="298"/>
      <c r="E544" s="298"/>
      <c r="F544" s="282"/>
      <c r="G544" s="298"/>
      <c r="H544" s="298"/>
      <c r="I544" s="282"/>
      <c r="J544" s="298"/>
      <c r="K544" s="566"/>
      <c r="L544" s="282"/>
      <c r="M544" s="282"/>
      <c r="N544" s="298"/>
      <c r="O544" s="282"/>
      <c r="P544" s="282"/>
      <c r="Q544" s="298"/>
      <c r="R544" s="282"/>
      <c r="S544" s="282"/>
      <c r="T544" s="298"/>
      <c r="U544" s="282"/>
      <c r="V544" s="298"/>
      <c r="W544" s="298"/>
      <c r="X544" s="297"/>
      <c r="Y544" s="297"/>
      <c r="Z544" s="297"/>
      <c r="AA544" s="297"/>
      <c r="AB544" s="297"/>
      <c r="AC544" s="297"/>
      <c r="AD544" s="297"/>
      <c r="AE544" s="297"/>
      <c r="AF544" s="297"/>
      <c r="AG544" s="297"/>
      <c r="AH544" s="297"/>
      <c r="AI544" s="297"/>
      <c r="AJ544" s="297"/>
      <c r="AK544" s="297"/>
      <c r="AL544" s="297"/>
      <c r="AM544" s="297"/>
      <c r="AN544" s="297"/>
      <c r="AO544" s="297"/>
      <c r="AP544" s="297"/>
      <c r="AQ544" s="297"/>
      <c r="AR544" s="297"/>
      <c r="AS544" s="297"/>
      <c r="AT544" s="297"/>
      <c r="AU544" s="297"/>
      <c r="AV544" s="297"/>
      <c r="AW544" s="297"/>
      <c r="AX544" s="297"/>
      <c r="AY544" s="297"/>
      <c r="AZ544" s="297"/>
      <c r="BA544" s="297"/>
      <c r="BB544" s="297"/>
    </row>
    <row r="545" spans="1:54" thickBot="1">
      <c r="A545" s="298"/>
      <c r="B545" s="298"/>
      <c r="C545" s="298"/>
      <c r="D545" s="298"/>
      <c r="E545" s="298"/>
      <c r="F545" s="282"/>
      <c r="G545" s="298"/>
      <c r="H545" s="298"/>
      <c r="I545" s="282"/>
      <c r="J545" s="298"/>
      <c r="K545" s="566"/>
      <c r="L545" s="282"/>
      <c r="M545" s="282"/>
      <c r="N545" s="298"/>
      <c r="O545" s="282"/>
      <c r="P545" s="282"/>
      <c r="Q545" s="298"/>
      <c r="R545" s="282"/>
      <c r="S545" s="282"/>
      <c r="T545" s="298"/>
      <c r="U545" s="282"/>
      <c r="V545" s="298"/>
      <c r="W545" s="298"/>
      <c r="X545" s="297"/>
      <c r="Y545" s="297"/>
      <c r="Z545" s="297"/>
      <c r="AA545" s="297"/>
      <c r="AB545" s="297"/>
      <c r="AC545" s="297"/>
      <c r="AD545" s="297"/>
      <c r="AE545" s="297"/>
      <c r="AF545" s="297"/>
      <c r="AG545" s="297"/>
      <c r="AH545" s="297"/>
      <c r="AI545" s="297"/>
      <c r="AJ545" s="297"/>
      <c r="AK545" s="297"/>
      <c r="AL545" s="297"/>
      <c r="AM545" s="297"/>
      <c r="AN545" s="297"/>
      <c r="AO545" s="297"/>
      <c r="AP545" s="297"/>
      <c r="AQ545" s="297"/>
      <c r="AR545" s="297"/>
      <c r="AS545" s="297"/>
      <c r="AT545" s="297"/>
      <c r="AU545" s="297"/>
      <c r="AV545" s="297"/>
      <c r="AW545" s="297"/>
      <c r="AX545" s="297"/>
      <c r="AY545" s="297"/>
      <c r="AZ545" s="297"/>
      <c r="BA545" s="297"/>
      <c r="BB545" s="297"/>
    </row>
    <row r="546" spans="1:54" thickBot="1">
      <c r="A546" s="298"/>
      <c r="B546" s="298"/>
      <c r="C546" s="298"/>
      <c r="D546" s="298"/>
      <c r="E546" s="298"/>
      <c r="F546" s="282"/>
      <c r="G546" s="298"/>
      <c r="H546" s="298"/>
      <c r="I546" s="282"/>
      <c r="J546" s="298"/>
      <c r="K546" s="566"/>
      <c r="L546" s="282"/>
      <c r="M546" s="282"/>
      <c r="N546" s="298"/>
      <c r="O546" s="282"/>
      <c r="P546" s="282"/>
      <c r="Q546" s="298"/>
      <c r="R546" s="282"/>
      <c r="S546" s="282"/>
      <c r="T546" s="298"/>
      <c r="U546" s="282"/>
      <c r="V546" s="298"/>
      <c r="W546" s="298"/>
      <c r="X546" s="297"/>
      <c r="Y546" s="297"/>
      <c r="Z546" s="297"/>
      <c r="AA546" s="297"/>
      <c r="AB546" s="297"/>
      <c r="AC546" s="297"/>
      <c r="AD546" s="297"/>
      <c r="AE546" s="297"/>
      <c r="AF546" s="297"/>
      <c r="AG546" s="297"/>
      <c r="AH546" s="297"/>
      <c r="AI546" s="297"/>
      <c r="AJ546" s="297"/>
      <c r="AK546" s="297"/>
      <c r="AL546" s="297"/>
      <c r="AM546" s="297"/>
      <c r="AN546" s="297"/>
      <c r="AO546" s="297"/>
      <c r="AP546" s="297"/>
      <c r="AQ546" s="297"/>
      <c r="AR546" s="297"/>
      <c r="AS546" s="297"/>
      <c r="AT546" s="297"/>
      <c r="AU546" s="297"/>
      <c r="AV546" s="297"/>
      <c r="AW546" s="297"/>
      <c r="AX546" s="297"/>
      <c r="AY546" s="297"/>
      <c r="AZ546" s="297"/>
      <c r="BA546" s="297"/>
      <c r="BB546" s="297"/>
    </row>
    <row r="547" spans="1:54" thickBot="1">
      <c r="A547" s="298"/>
      <c r="B547" s="298"/>
      <c r="C547" s="298"/>
      <c r="D547" s="298"/>
      <c r="E547" s="298"/>
      <c r="F547" s="282"/>
      <c r="G547" s="298"/>
      <c r="H547" s="298"/>
      <c r="I547" s="282"/>
      <c r="J547" s="298"/>
      <c r="K547" s="566"/>
      <c r="L547" s="282"/>
      <c r="M547" s="282"/>
      <c r="N547" s="298"/>
      <c r="O547" s="282"/>
      <c r="P547" s="282"/>
      <c r="Q547" s="298"/>
      <c r="R547" s="282"/>
      <c r="S547" s="282"/>
      <c r="T547" s="298"/>
      <c r="U547" s="282"/>
      <c r="V547" s="298"/>
      <c r="W547" s="298"/>
      <c r="X547" s="297"/>
      <c r="Y547" s="297"/>
      <c r="Z547" s="297"/>
      <c r="AA547" s="297"/>
      <c r="AB547" s="297"/>
      <c r="AC547" s="297"/>
      <c r="AD547" s="297"/>
      <c r="AE547" s="297"/>
      <c r="AF547" s="297"/>
      <c r="AG547" s="297"/>
      <c r="AH547" s="297"/>
      <c r="AI547" s="297"/>
      <c r="AJ547" s="297"/>
      <c r="AK547" s="297"/>
      <c r="AL547" s="297"/>
      <c r="AM547" s="297"/>
      <c r="AN547" s="297"/>
      <c r="AO547" s="297"/>
      <c r="AP547" s="297"/>
      <c r="AQ547" s="297"/>
      <c r="AR547" s="297"/>
      <c r="AS547" s="297"/>
      <c r="AT547" s="297"/>
      <c r="AU547" s="297"/>
      <c r="AV547" s="297"/>
      <c r="AW547" s="297"/>
      <c r="AX547" s="297"/>
      <c r="AY547" s="297"/>
      <c r="AZ547" s="297"/>
      <c r="BA547" s="297"/>
      <c r="BB547" s="297"/>
    </row>
    <row r="548" spans="1:54" thickBot="1">
      <c r="A548" s="298"/>
      <c r="B548" s="298"/>
      <c r="C548" s="298"/>
      <c r="D548" s="298"/>
      <c r="E548" s="298"/>
      <c r="F548" s="282"/>
      <c r="G548" s="298"/>
      <c r="H548" s="298"/>
      <c r="I548" s="282"/>
      <c r="J548" s="298"/>
      <c r="K548" s="566"/>
      <c r="L548" s="282"/>
      <c r="M548" s="282"/>
      <c r="N548" s="298"/>
      <c r="O548" s="282"/>
      <c r="P548" s="282"/>
      <c r="Q548" s="298"/>
      <c r="R548" s="282"/>
      <c r="S548" s="282"/>
      <c r="T548" s="298"/>
      <c r="U548" s="282"/>
      <c r="V548" s="298"/>
      <c r="W548" s="298"/>
      <c r="X548" s="297"/>
      <c r="Y548" s="297"/>
      <c r="Z548" s="297"/>
      <c r="AA548" s="297"/>
      <c r="AB548" s="297"/>
      <c r="AC548" s="297"/>
      <c r="AD548" s="297"/>
      <c r="AE548" s="297"/>
      <c r="AF548" s="297"/>
      <c r="AG548" s="297"/>
      <c r="AH548" s="297"/>
      <c r="AI548" s="297"/>
      <c r="AJ548" s="297"/>
      <c r="AK548" s="297"/>
      <c r="AL548" s="297"/>
      <c r="AM548" s="297"/>
      <c r="AN548" s="297"/>
      <c r="AO548" s="297"/>
      <c r="AP548" s="297"/>
      <c r="AQ548" s="297"/>
      <c r="AR548" s="297"/>
      <c r="AS548" s="297"/>
      <c r="AT548" s="297"/>
      <c r="AU548" s="297"/>
      <c r="AV548" s="297"/>
      <c r="AW548" s="297"/>
      <c r="AX548" s="297"/>
      <c r="AY548" s="297"/>
      <c r="AZ548" s="297"/>
      <c r="BA548" s="297"/>
      <c r="BB548" s="297"/>
    </row>
    <row r="549" spans="1:54" thickBot="1">
      <c r="A549" s="298"/>
      <c r="B549" s="298"/>
      <c r="C549" s="298"/>
      <c r="D549" s="298"/>
      <c r="E549" s="298"/>
      <c r="F549" s="282"/>
      <c r="G549" s="298"/>
      <c r="H549" s="298"/>
      <c r="I549" s="282"/>
      <c r="J549" s="298"/>
      <c r="K549" s="566"/>
      <c r="L549" s="282"/>
      <c r="M549" s="282"/>
      <c r="N549" s="298"/>
      <c r="O549" s="282"/>
      <c r="P549" s="282"/>
      <c r="Q549" s="298"/>
      <c r="R549" s="282"/>
      <c r="S549" s="282"/>
      <c r="T549" s="298"/>
      <c r="U549" s="282"/>
      <c r="V549" s="298"/>
      <c r="W549" s="298"/>
      <c r="X549" s="297"/>
      <c r="Y549" s="297"/>
      <c r="Z549" s="297"/>
      <c r="AA549" s="297"/>
      <c r="AB549" s="297"/>
      <c r="AC549" s="297"/>
      <c r="AD549" s="297"/>
      <c r="AE549" s="297"/>
      <c r="AF549" s="297"/>
      <c r="AG549" s="297"/>
      <c r="AH549" s="297"/>
      <c r="AI549" s="297"/>
      <c r="AJ549" s="297"/>
      <c r="AK549" s="297"/>
      <c r="AL549" s="297"/>
      <c r="AM549" s="297"/>
      <c r="AN549" s="297"/>
      <c r="AO549" s="297"/>
      <c r="AP549" s="297"/>
      <c r="AQ549" s="297"/>
      <c r="AR549" s="297"/>
      <c r="AS549" s="297"/>
      <c r="AT549" s="297"/>
      <c r="AU549" s="297"/>
      <c r="AV549" s="297"/>
      <c r="AW549" s="297"/>
      <c r="AX549" s="297"/>
      <c r="AY549" s="297"/>
      <c r="AZ549" s="297"/>
      <c r="BA549" s="297"/>
      <c r="BB549" s="297"/>
    </row>
    <row r="550" spans="1:54" thickBot="1">
      <c r="A550" s="298"/>
      <c r="B550" s="298"/>
      <c r="C550" s="298"/>
      <c r="D550" s="298"/>
      <c r="E550" s="298"/>
      <c r="F550" s="282"/>
      <c r="G550" s="298"/>
      <c r="H550" s="298"/>
      <c r="I550" s="282"/>
      <c r="J550" s="298"/>
      <c r="K550" s="566"/>
      <c r="L550" s="282"/>
      <c r="M550" s="282"/>
      <c r="N550" s="298"/>
      <c r="O550" s="282"/>
      <c r="P550" s="282"/>
      <c r="Q550" s="298"/>
      <c r="R550" s="282"/>
      <c r="S550" s="282"/>
      <c r="T550" s="298"/>
      <c r="U550" s="282"/>
      <c r="V550" s="298"/>
      <c r="W550" s="298"/>
      <c r="X550" s="297"/>
      <c r="Y550" s="297"/>
      <c r="Z550" s="297"/>
      <c r="AA550" s="297"/>
      <c r="AB550" s="297"/>
      <c r="AC550" s="297"/>
      <c r="AD550" s="297"/>
      <c r="AE550" s="297"/>
      <c r="AF550" s="297"/>
      <c r="AG550" s="297"/>
      <c r="AH550" s="297"/>
      <c r="AI550" s="297"/>
      <c r="AJ550" s="297"/>
      <c r="AK550" s="297"/>
      <c r="AL550" s="297"/>
      <c r="AM550" s="297"/>
      <c r="AN550" s="297"/>
      <c r="AO550" s="297"/>
      <c r="AP550" s="297"/>
      <c r="AQ550" s="297"/>
      <c r="AR550" s="297"/>
      <c r="AS550" s="297"/>
      <c r="AT550" s="297"/>
      <c r="AU550" s="297"/>
      <c r="AV550" s="297"/>
      <c r="AW550" s="297"/>
      <c r="AX550" s="297"/>
      <c r="AY550" s="297"/>
      <c r="AZ550" s="297"/>
      <c r="BA550" s="297"/>
      <c r="BB550" s="297"/>
    </row>
    <row r="551" spans="1:54" thickBot="1">
      <c r="A551" s="298"/>
      <c r="B551" s="298"/>
      <c r="C551" s="298"/>
      <c r="D551" s="298"/>
      <c r="E551" s="298"/>
      <c r="F551" s="282"/>
      <c r="G551" s="298"/>
      <c r="H551" s="298"/>
      <c r="I551" s="282"/>
      <c r="J551" s="298"/>
      <c r="K551" s="566"/>
      <c r="L551" s="282"/>
      <c r="M551" s="282"/>
      <c r="N551" s="298"/>
      <c r="O551" s="282"/>
      <c r="P551" s="282"/>
      <c r="Q551" s="298"/>
      <c r="R551" s="282"/>
      <c r="S551" s="282"/>
      <c r="T551" s="298"/>
      <c r="U551" s="282"/>
      <c r="V551" s="298"/>
      <c r="W551" s="298"/>
      <c r="X551" s="297"/>
      <c r="Y551" s="297"/>
      <c r="Z551" s="297"/>
      <c r="AA551" s="297"/>
      <c r="AB551" s="297"/>
      <c r="AC551" s="297"/>
      <c r="AD551" s="297"/>
      <c r="AE551" s="297"/>
      <c r="AF551" s="297"/>
      <c r="AG551" s="297"/>
      <c r="AH551" s="297"/>
      <c r="AI551" s="297"/>
      <c r="AJ551" s="297"/>
      <c r="AK551" s="297"/>
      <c r="AL551" s="297"/>
      <c r="AM551" s="297"/>
      <c r="AN551" s="297"/>
      <c r="AO551" s="297"/>
      <c r="AP551" s="297"/>
      <c r="AQ551" s="297"/>
      <c r="AR551" s="297"/>
      <c r="AS551" s="297"/>
      <c r="AT551" s="297"/>
      <c r="AU551" s="297"/>
      <c r="AV551" s="297"/>
      <c r="AW551" s="297"/>
      <c r="AX551" s="297"/>
      <c r="AY551" s="297"/>
      <c r="AZ551" s="297"/>
      <c r="BA551" s="297"/>
      <c r="BB551" s="297"/>
    </row>
    <row r="552" spans="1:54" thickBot="1">
      <c r="A552" s="298"/>
      <c r="B552" s="298"/>
      <c r="C552" s="298"/>
      <c r="D552" s="298"/>
      <c r="E552" s="298"/>
      <c r="F552" s="282"/>
      <c r="G552" s="298"/>
      <c r="H552" s="298"/>
      <c r="I552" s="282"/>
      <c r="J552" s="298"/>
      <c r="K552" s="566"/>
      <c r="L552" s="282"/>
      <c r="M552" s="282"/>
      <c r="N552" s="298"/>
      <c r="O552" s="282"/>
      <c r="P552" s="282"/>
      <c r="Q552" s="298"/>
      <c r="R552" s="282"/>
      <c r="S552" s="282"/>
      <c r="T552" s="298"/>
      <c r="U552" s="282"/>
      <c r="V552" s="298"/>
      <c r="W552" s="298"/>
      <c r="X552" s="297"/>
      <c r="Y552" s="297"/>
      <c r="Z552" s="297"/>
      <c r="AA552" s="297"/>
      <c r="AB552" s="297"/>
      <c r="AC552" s="297"/>
      <c r="AD552" s="297"/>
      <c r="AE552" s="297"/>
      <c r="AF552" s="297"/>
      <c r="AG552" s="297"/>
      <c r="AH552" s="297"/>
      <c r="AI552" s="297"/>
      <c r="AJ552" s="297"/>
      <c r="AK552" s="297"/>
      <c r="AL552" s="297"/>
      <c r="AM552" s="297"/>
      <c r="AN552" s="297"/>
      <c r="AO552" s="297"/>
      <c r="AP552" s="297"/>
      <c r="AQ552" s="297"/>
      <c r="AR552" s="297"/>
      <c r="AS552" s="297"/>
      <c r="AT552" s="297"/>
      <c r="AU552" s="297"/>
      <c r="AV552" s="297"/>
      <c r="AW552" s="297"/>
      <c r="AX552" s="297"/>
      <c r="AY552" s="297"/>
      <c r="AZ552" s="297"/>
      <c r="BA552" s="297"/>
      <c r="BB552" s="297"/>
    </row>
    <row r="553" spans="1:54" thickBot="1">
      <c r="A553" s="298"/>
      <c r="B553" s="298"/>
      <c r="C553" s="298"/>
      <c r="D553" s="298"/>
      <c r="E553" s="298"/>
      <c r="F553" s="282"/>
      <c r="G553" s="298"/>
      <c r="H553" s="298"/>
      <c r="I553" s="282"/>
      <c r="J553" s="298"/>
      <c r="K553" s="566"/>
      <c r="L553" s="282"/>
      <c r="M553" s="282"/>
      <c r="N553" s="298"/>
      <c r="O553" s="282"/>
      <c r="P553" s="282"/>
      <c r="Q553" s="298"/>
      <c r="R553" s="282"/>
      <c r="S553" s="282"/>
      <c r="T553" s="298"/>
      <c r="U553" s="282"/>
      <c r="V553" s="298"/>
      <c r="W553" s="298"/>
      <c r="X553" s="297"/>
      <c r="Y553" s="297"/>
      <c r="Z553" s="297"/>
      <c r="AA553" s="297"/>
      <c r="AB553" s="297"/>
      <c r="AC553" s="297"/>
      <c r="AD553" s="297"/>
      <c r="AE553" s="297"/>
      <c r="AF553" s="297"/>
      <c r="AG553" s="297"/>
      <c r="AH553" s="297"/>
      <c r="AI553" s="297"/>
      <c r="AJ553" s="297"/>
      <c r="AK553" s="297"/>
      <c r="AL553" s="297"/>
      <c r="AM553" s="297"/>
      <c r="AN553" s="297"/>
      <c r="AO553" s="297"/>
      <c r="AP553" s="297"/>
      <c r="AQ553" s="297"/>
      <c r="AR553" s="297"/>
      <c r="AS553" s="297"/>
      <c r="AT553" s="297"/>
      <c r="AU553" s="297"/>
      <c r="AV553" s="297"/>
      <c r="AW553" s="297"/>
      <c r="AX553" s="297"/>
      <c r="AY553" s="297"/>
      <c r="AZ553" s="297"/>
      <c r="BA553" s="297"/>
      <c r="BB553" s="297"/>
    </row>
    <row r="554" spans="1:54" thickBot="1">
      <c r="A554" s="298"/>
      <c r="B554" s="298"/>
      <c r="C554" s="298"/>
      <c r="D554" s="298"/>
      <c r="E554" s="298"/>
      <c r="F554" s="282"/>
      <c r="G554" s="298"/>
      <c r="H554" s="298"/>
      <c r="I554" s="282"/>
      <c r="J554" s="298"/>
      <c r="K554" s="566"/>
      <c r="L554" s="282"/>
      <c r="M554" s="282"/>
      <c r="N554" s="298"/>
      <c r="O554" s="282"/>
      <c r="P554" s="282"/>
      <c r="Q554" s="298"/>
      <c r="R554" s="282"/>
      <c r="S554" s="282"/>
      <c r="T554" s="298"/>
      <c r="U554" s="282"/>
      <c r="V554" s="298"/>
      <c r="W554" s="298"/>
      <c r="X554" s="297"/>
      <c r="Y554" s="297"/>
      <c r="Z554" s="297"/>
      <c r="AA554" s="297"/>
      <c r="AB554" s="297"/>
      <c r="AC554" s="297"/>
      <c r="AD554" s="297"/>
      <c r="AE554" s="297"/>
      <c r="AF554" s="297"/>
      <c r="AG554" s="297"/>
      <c r="AH554" s="297"/>
      <c r="AI554" s="297"/>
      <c r="AJ554" s="297"/>
      <c r="AK554" s="297"/>
      <c r="AL554" s="297"/>
      <c r="AM554" s="297"/>
      <c r="AN554" s="297"/>
      <c r="AO554" s="297"/>
      <c r="AP554" s="297"/>
      <c r="AQ554" s="297"/>
      <c r="AR554" s="297"/>
      <c r="AS554" s="297"/>
      <c r="AT554" s="297"/>
      <c r="AU554" s="297"/>
      <c r="AV554" s="297"/>
      <c r="AW554" s="297"/>
      <c r="AX554" s="297"/>
      <c r="AY554" s="297"/>
      <c r="AZ554" s="297"/>
      <c r="BA554" s="297"/>
      <c r="BB554" s="297"/>
    </row>
    <row r="555" spans="1:54" thickBot="1">
      <c r="A555" s="298"/>
      <c r="B555" s="298"/>
      <c r="C555" s="298"/>
      <c r="D555" s="298"/>
      <c r="E555" s="298"/>
      <c r="F555" s="282"/>
      <c r="G555" s="298"/>
      <c r="H555" s="298"/>
      <c r="I555" s="282"/>
      <c r="J555" s="298"/>
      <c r="K555" s="566"/>
      <c r="L555" s="282"/>
      <c r="M555" s="282"/>
      <c r="N555" s="298"/>
      <c r="O555" s="282"/>
      <c r="P555" s="282"/>
      <c r="Q555" s="298"/>
      <c r="R555" s="282"/>
      <c r="S555" s="282"/>
      <c r="T555" s="298"/>
      <c r="U555" s="282"/>
      <c r="V555" s="298"/>
      <c r="W555" s="298"/>
      <c r="X555" s="297"/>
      <c r="Y555" s="297"/>
      <c r="Z555" s="297"/>
      <c r="AA555" s="297"/>
      <c r="AB555" s="297"/>
      <c r="AC555" s="297"/>
      <c r="AD555" s="297"/>
      <c r="AE555" s="297"/>
      <c r="AF555" s="297"/>
      <c r="AG555" s="297"/>
      <c r="AH555" s="297"/>
      <c r="AI555" s="297"/>
      <c r="AJ555" s="297"/>
      <c r="AK555" s="297"/>
      <c r="AL555" s="297"/>
      <c r="AM555" s="297"/>
      <c r="AN555" s="297"/>
      <c r="AO555" s="297"/>
      <c r="AP555" s="297"/>
      <c r="AQ555" s="297"/>
      <c r="AR555" s="297"/>
      <c r="AS555" s="297"/>
      <c r="AT555" s="297"/>
      <c r="AU555" s="297"/>
      <c r="AV555" s="297"/>
      <c r="AW555" s="297"/>
      <c r="AX555" s="297"/>
      <c r="AY555" s="297"/>
      <c r="AZ555" s="297"/>
      <c r="BA555" s="297"/>
      <c r="BB555" s="297"/>
    </row>
    <row r="556" spans="1:54" thickBot="1">
      <c r="A556" s="298"/>
      <c r="B556" s="298"/>
      <c r="C556" s="298"/>
      <c r="D556" s="298"/>
      <c r="E556" s="298"/>
      <c r="F556" s="282"/>
      <c r="G556" s="298"/>
      <c r="H556" s="298"/>
      <c r="I556" s="282"/>
      <c r="J556" s="298"/>
      <c r="K556" s="566"/>
      <c r="L556" s="282"/>
      <c r="M556" s="282"/>
      <c r="N556" s="298"/>
      <c r="O556" s="282"/>
      <c r="P556" s="282"/>
      <c r="Q556" s="298"/>
      <c r="R556" s="282"/>
      <c r="S556" s="282"/>
      <c r="T556" s="298"/>
      <c r="U556" s="282"/>
      <c r="V556" s="298"/>
      <c r="W556" s="298"/>
      <c r="X556" s="297"/>
      <c r="Y556" s="297"/>
      <c r="Z556" s="297"/>
      <c r="AA556" s="297"/>
      <c r="AB556" s="297"/>
      <c r="AC556" s="297"/>
      <c r="AD556" s="297"/>
      <c r="AE556" s="297"/>
      <c r="AF556" s="297"/>
      <c r="AG556" s="297"/>
      <c r="AH556" s="297"/>
      <c r="AI556" s="297"/>
      <c r="AJ556" s="297"/>
      <c r="AK556" s="297"/>
      <c r="AL556" s="297"/>
      <c r="AM556" s="297"/>
      <c r="AN556" s="297"/>
      <c r="AO556" s="297"/>
      <c r="AP556" s="297"/>
      <c r="AQ556" s="297"/>
      <c r="AR556" s="297"/>
      <c r="AS556" s="297"/>
      <c r="AT556" s="297"/>
      <c r="AU556" s="297"/>
      <c r="AV556" s="297"/>
      <c r="AW556" s="297"/>
      <c r="AX556" s="297"/>
      <c r="AY556" s="297"/>
      <c r="AZ556" s="297"/>
      <c r="BA556" s="297"/>
      <c r="BB556" s="297"/>
    </row>
    <row r="557" spans="1:54" thickBot="1">
      <c r="A557" s="298"/>
      <c r="B557" s="298"/>
      <c r="C557" s="298"/>
      <c r="D557" s="298"/>
      <c r="E557" s="298"/>
      <c r="F557" s="282"/>
      <c r="G557" s="298"/>
      <c r="H557" s="298"/>
      <c r="I557" s="282"/>
      <c r="J557" s="298"/>
      <c r="K557" s="566"/>
      <c r="L557" s="282"/>
      <c r="M557" s="282"/>
      <c r="N557" s="298"/>
      <c r="O557" s="282"/>
      <c r="P557" s="282"/>
      <c r="Q557" s="298"/>
      <c r="R557" s="282"/>
      <c r="S557" s="282"/>
      <c r="T557" s="298"/>
      <c r="U557" s="282"/>
      <c r="V557" s="298"/>
      <c r="W557" s="298"/>
      <c r="X557" s="297"/>
      <c r="Y557" s="297"/>
      <c r="Z557" s="297"/>
      <c r="AA557" s="297"/>
      <c r="AB557" s="297"/>
      <c r="AC557" s="297"/>
      <c r="AD557" s="297"/>
      <c r="AE557" s="297"/>
      <c r="AF557" s="297"/>
      <c r="AG557" s="297"/>
      <c r="AH557" s="297"/>
      <c r="AI557" s="297"/>
      <c r="AJ557" s="297"/>
      <c r="AK557" s="297"/>
      <c r="AL557" s="297"/>
      <c r="AM557" s="297"/>
      <c r="AN557" s="297"/>
      <c r="AO557" s="297"/>
      <c r="AP557" s="297"/>
      <c r="AQ557" s="297"/>
      <c r="AR557" s="297"/>
      <c r="AS557" s="297"/>
      <c r="AT557" s="297"/>
      <c r="AU557" s="297"/>
      <c r="AV557" s="297"/>
      <c r="AW557" s="297"/>
      <c r="AX557" s="297"/>
      <c r="AY557" s="297"/>
      <c r="AZ557" s="297"/>
      <c r="BA557" s="297"/>
      <c r="BB557" s="297"/>
    </row>
    <row r="558" spans="1:54" thickBot="1">
      <c r="A558" s="298"/>
      <c r="B558" s="298"/>
      <c r="C558" s="298"/>
      <c r="D558" s="298"/>
      <c r="E558" s="298"/>
      <c r="F558" s="282"/>
      <c r="G558" s="298"/>
      <c r="H558" s="298"/>
      <c r="I558" s="282"/>
      <c r="J558" s="298"/>
      <c r="K558" s="566"/>
      <c r="L558" s="282"/>
      <c r="M558" s="282"/>
      <c r="N558" s="298"/>
      <c r="O558" s="282"/>
      <c r="P558" s="282"/>
      <c r="Q558" s="298"/>
      <c r="R558" s="282"/>
      <c r="S558" s="282"/>
      <c r="T558" s="298"/>
      <c r="U558" s="282"/>
      <c r="V558" s="298"/>
      <c r="W558" s="298"/>
      <c r="X558" s="297"/>
      <c r="Y558" s="297"/>
      <c r="Z558" s="297"/>
      <c r="AA558" s="297"/>
      <c r="AB558" s="297"/>
      <c r="AC558" s="297"/>
      <c r="AD558" s="297"/>
      <c r="AE558" s="297"/>
      <c r="AF558" s="297"/>
      <c r="AG558" s="297"/>
      <c r="AH558" s="297"/>
      <c r="AI558" s="297"/>
      <c r="AJ558" s="297"/>
      <c r="AK558" s="297"/>
      <c r="AL558" s="297"/>
      <c r="AM558" s="297"/>
      <c r="AN558" s="297"/>
      <c r="AO558" s="297"/>
      <c r="AP558" s="297"/>
      <c r="AQ558" s="297"/>
      <c r="AR558" s="297"/>
      <c r="AS558" s="297"/>
      <c r="AT558" s="297"/>
      <c r="AU558" s="297"/>
      <c r="AV558" s="297"/>
      <c r="AW558" s="297"/>
      <c r="AX558" s="297"/>
      <c r="AY558" s="297"/>
      <c r="AZ558" s="297"/>
      <c r="BA558" s="297"/>
      <c r="BB558" s="297"/>
    </row>
    <row r="559" spans="1:54" thickBot="1">
      <c r="A559" s="298"/>
      <c r="B559" s="298"/>
      <c r="C559" s="298"/>
      <c r="D559" s="298"/>
      <c r="E559" s="298"/>
      <c r="F559" s="282"/>
      <c r="G559" s="298"/>
      <c r="H559" s="298"/>
      <c r="I559" s="282"/>
      <c r="J559" s="298"/>
      <c r="K559" s="566"/>
      <c r="L559" s="282"/>
      <c r="M559" s="282"/>
      <c r="N559" s="298"/>
      <c r="O559" s="282"/>
      <c r="P559" s="282"/>
      <c r="Q559" s="298"/>
      <c r="R559" s="282"/>
      <c r="S559" s="282"/>
      <c r="T559" s="298"/>
      <c r="U559" s="282"/>
      <c r="V559" s="298"/>
      <c r="W559" s="298"/>
      <c r="X559" s="297"/>
      <c r="Y559" s="297"/>
      <c r="Z559" s="297"/>
      <c r="AA559" s="297"/>
      <c r="AB559" s="297"/>
      <c r="AC559" s="297"/>
      <c r="AD559" s="297"/>
      <c r="AE559" s="297"/>
      <c r="AF559" s="297"/>
      <c r="AG559" s="297"/>
      <c r="AH559" s="297"/>
      <c r="AI559" s="297"/>
      <c r="AJ559" s="297"/>
      <c r="AK559" s="297"/>
      <c r="AL559" s="297"/>
      <c r="AM559" s="297"/>
      <c r="AN559" s="297"/>
      <c r="AO559" s="297"/>
      <c r="AP559" s="297"/>
      <c r="AQ559" s="297"/>
      <c r="AR559" s="297"/>
      <c r="AS559" s="297"/>
      <c r="AT559" s="297"/>
      <c r="AU559" s="297"/>
      <c r="AV559" s="297"/>
      <c r="AW559" s="297"/>
      <c r="AX559" s="297"/>
      <c r="AY559" s="297"/>
      <c r="AZ559" s="297"/>
      <c r="BA559" s="297"/>
      <c r="BB559" s="297"/>
    </row>
    <row r="560" spans="1:54" thickBot="1">
      <c r="A560" s="298"/>
      <c r="B560" s="298"/>
      <c r="C560" s="298"/>
      <c r="D560" s="298"/>
      <c r="E560" s="298"/>
      <c r="F560" s="282"/>
      <c r="G560" s="298"/>
      <c r="H560" s="298"/>
      <c r="I560" s="282"/>
      <c r="J560" s="298"/>
      <c r="K560" s="566"/>
      <c r="L560" s="282"/>
      <c r="M560" s="282"/>
      <c r="N560" s="298"/>
      <c r="O560" s="282"/>
      <c r="P560" s="282"/>
      <c r="Q560" s="298"/>
      <c r="R560" s="282"/>
      <c r="S560" s="282"/>
      <c r="T560" s="298"/>
      <c r="U560" s="282"/>
      <c r="V560" s="298"/>
      <c r="W560" s="298"/>
      <c r="X560" s="297"/>
      <c r="Y560" s="297"/>
      <c r="Z560" s="297"/>
      <c r="AA560" s="297"/>
      <c r="AB560" s="297"/>
      <c r="AC560" s="297"/>
      <c r="AD560" s="297"/>
      <c r="AE560" s="297"/>
      <c r="AF560" s="297"/>
      <c r="AG560" s="297"/>
      <c r="AH560" s="297"/>
      <c r="AI560" s="297"/>
      <c r="AJ560" s="297"/>
      <c r="AK560" s="297"/>
      <c r="AL560" s="297"/>
      <c r="AM560" s="297"/>
      <c r="AN560" s="297"/>
      <c r="AO560" s="297"/>
      <c r="AP560" s="297"/>
      <c r="AQ560" s="297"/>
      <c r="AR560" s="297"/>
      <c r="AS560" s="297"/>
      <c r="AT560" s="297"/>
      <c r="AU560" s="297"/>
      <c r="AV560" s="297"/>
      <c r="AW560" s="297"/>
      <c r="AX560" s="297"/>
      <c r="AY560" s="297"/>
      <c r="AZ560" s="297"/>
      <c r="BA560" s="297"/>
      <c r="BB560" s="297"/>
    </row>
    <row r="561" spans="1:54" thickBot="1">
      <c r="A561" s="298"/>
      <c r="B561" s="298"/>
      <c r="C561" s="298"/>
      <c r="D561" s="298"/>
      <c r="E561" s="298"/>
      <c r="F561" s="282"/>
      <c r="G561" s="298"/>
      <c r="H561" s="298"/>
      <c r="I561" s="282"/>
      <c r="J561" s="298"/>
      <c r="K561" s="566"/>
      <c r="L561" s="282"/>
      <c r="M561" s="282"/>
      <c r="N561" s="298"/>
      <c r="O561" s="282"/>
      <c r="P561" s="282"/>
      <c r="Q561" s="298"/>
      <c r="R561" s="282"/>
      <c r="S561" s="282"/>
      <c r="T561" s="298"/>
      <c r="U561" s="282"/>
      <c r="V561" s="298"/>
      <c r="W561" s="298"/>
      <c r="X561" s="297"/>
      <c r="Y561" s="297"/>
      <c r="Z561" s="297"/>
      <c r="AA561" s="297"/>
      <c r="AB561" s="297"/>
      <c r="AC561" s="297"/>
      <c r="AD561" s="297"/>
      <c r="AE561" s="297"/>
      <c r="AF561" s="297"/>
      <c r="AG561" s="297"/>
      <c r="AH561" s="297"/>
      <c r="AI561" s="297"/>
      <c r="AJ561" s="297"/>
      <c r="AK561" s="297"/>
      <c r="AL561" s="297"/>
      <c r="AM561" s="297"/>
      <c r="AN561" s="297"/>
      <c r="AO561" s="297"/>
      <c r="AP561" s="297"/>
      <c r="AQ561" s="297"/>
      <c r="AR561" s="297"/>
      <c r="AS561" s="297"/>
      <c r="AT561" s="297"/>
      <c r="AU561" s="297"/>
      <c r="AV561" s="297"/>
      <c r="AW561" s="297"/>
      <c r="AX561" s="297"/>
      <c r="AY561" s="297"/>
      <c r="AZ561" s="297"/>
      <c r="BA561" s="297"/>
      <c r="BB561" s="297"/>
    </row>
    <row r="562" spans="1:54" thickBot="1">
      <c r="A562" s="298"/>
      <c r="B562" s="298"/>
      <c r="C562" s="298"/>
      <c r="D562" s="298"/>
      <c r="E562" s="298"/>
      <c r="F562" s="282"/>
      <c r="G562" s="298"/>
      <c r="H562" s="298"/>
      <c r="I562" s="282"/>
      <c r="J562" s="298"/>
      <c r="K562" s="566"/>
      <c r="L562" s="282"/>
      <c r="M562" s="282"/>
      <c r="N562" s="298"/>
      <c r="O562" s="282"/>
      <c r="P562" s="282"/>
      <c r="Q562" s="298"/>
      <c r="R562" s="282"/>
      <c r="S562" s="282"/>
      <c r="T562" s="298"/>
      <c r="U562" s="282"/>
      <c r="V562" s="298"/>
      <c r="W562" s="298"/>
      <c r="X562" s="297"/>
      <c r="Y562" s="297"/>
      <c r="Z562" s="297"/>
      <c r="AA562" s="297"/>
      <c r="AB562" s="297"/>
      <c r="AC562" s="297"/>
      <c r="AD562" s="297"/>
      <c r="AE562" s="297"/>
      <c r="AF562" s="297"/>
      <c r="AG562" s="297"/>
      <c r="AH562" s="297"/>
      <c r="AI562" s="297"/>
      <c r="AJ562" s="297"/>
      <c r="AK562" s="297"/>
      <c r="AL562" s="297"/>
      <c r="AM562" s="297"/>
      <c r="AN562" s="297"/>
      <c r="AO562" s="297"/>
      <c r="AP562" s="297"/>
      <c r="AQ562" s="297"/>
      <c r="AR562" s="297"/>
      <c r="AS562" s="297"/>
      <c r="AT562" s="297"/>
      <c r="AU562" s="297"/>
      <c r="AV562" s="297"/>
      <c r="AW562" s="297"/>
      <c r="AX562" s="297"/>
      <c r="AY562" s="297"/>
      <c r="AZ562" s="297"/>
      <c r="BA562" s="297"/>
      <c r="BB562" s="297"/>
    </row>
    <row r="563" spans="1:54" thickBot="1">
      <c r="A563" s="298"/>
      <c r="B563" s="298"/>
      <c r="C563" s="298"/>
      <c r="D563" s="298"/>
      <c r="E563" s="298"/>
      <c r="F563" s="282"/>
      <c r="G563" s="298"/>
      <c r="H563" s="298"/>
      <c r="I563" s="282"/>
      <c r="J563" s="298"/>
      <c r="K563" s="566"/>
      <c r="L563" s="282"/>
      <c r="M563" s="282"/>
      <c r="N563" s="298"/>
      <c r="O563" s="282"/>
      <c r="P563" s="282"/>
      <c r="Q563" s="298"/>
      <c r="R563" s="282"/>
      <c r="S563" s="282"/>
      <c r="T563" s="298"/>
      <c r="U563" s="282"/>
      <c r="V563" s="298"/>
      <c r="W563" s="298"/>
      <c r="X563" s="297"/>
      <c r="Y563" s="297"/>
      <c r="Z563" s="297"/>
      <c r="AA563" s="297"/>
      <c r="AB563" s="297"/>
      <c r="AC563" s="297"/>
      <c r="AD563" s="297"/>
      <c r="AE563" s="297"/>
      <c r="AF563" s="297"/>
      <c r="AG563" s="297"/>
      <c r="AH563" s="297"/>
      <c r="AI563" s="297"/>
      <c r="AJ563" s="297"/>
      <c r="AK563" s="297"/>
      <c r="AL563" s="297"/>
      <c r="AM563" s="297"/>
      <c r="AN563" s="297"/>
      <c r="AO563" s="297"/>
      <c r="AP563" s="297"/>
      <c r="AQ563" s="297"/>
      <c r="AR563" s="297"/>
      <c r="AS563" s="297"/>
      <c r="AT563" s="297"/>
      <c r="AU563" s="297"/>
      <c r="AV563" s="297"/>
      <c r="AW563" s="297"/>
      <c r="AX563" s="297"/>
      <c r="AY563" s="297"/>
      <c r="AZ563" s="297"/>
      <c r="BA563" s="297"/>
      <c r="BB563" s="297"/>
    </row>
    <row r="564" spans="1:54" thickBot="1">
      <c r="A564" s="298"/>
      <c r="B564" s="298"/>
      <c r="C564" s="298"/>
      <c r="D564" s="298"/>
      <c r="E564" s="298"/>
      <c r="F564" s="282"/>
      <c r="G564" s="298"/>
      <c r="H564" s="298"/>
      <c r="I564" s="282"/>
      <c r="J564" s="298"/>
      <c r="K564" s="566"/>
      <c r="L564" s="282"/>
      <c r="M564" s="282"/>
      <c r="N564" s="298"/>
      <c r="O564" s="282"/>
      <c r="P564" s="282"/>
      <c r="Q564" s="298"/>
      <c r="R564" s="282"/>
      <c r="S564" s="282"/>
      <c r="T564" s="298"/>
      <c r="U564" s="282"/>
      <c r="V564" s="298"/>
      <c r="W564" s="298"/>
      <c r="X564" s="297"/>
      <c r="Y564" s="297"/>
      <c r="Z564" s="297"/>
      <c r="AA564" s="297"/>
      <c r="AB564" s="297"/>
      <c r="AC564" s="297"/>
      <c r="AD564" s="297"/>
      <c r="AE564" s="297"/>
      <c r="AF564" s="297"/>
      <c r="AG564" s="297"/>
      <c r="AH564" s="297"/>
      <c r="AI564" s="297"/>
      <c r="AJ564" s="297"/>
      <c r="AK564" s="297"/>
      <c r="AL564" s="297"/>
      <c r="AM564" s="297"/>
      <c r="AN564" s="297"/>
      <c r="AO564" s="297"/>
      <c r="AP564" s="297"/>
      <c r="AQ564" s="297"/>
      <c r="AR564" s="297"/>
      <c r="AS564" s="297"/>
      <c r="AT564" s="297"/>
      <c r="AU564" s="297"/>
      <c r="AV564" s="297"/>
      <c r="AW564" s="297"/>
      <c r="AX564" s="297"/>
      <c r="AY564" s="297"/>
      <c r="AZ564" s="297"/>
      <c r="BA564" s="297"/>
      <c r="BB564" s="297"/>
    </row>
    <row r="565" spans="1:54" thickBot="1">
      <c r="A565" s="298"/>
      <c r="B565" s="298"/>
      <c r="C565" s="298"/>
      <c r="D565" s="298"/>
      <c r="E565" s="298"/>
      <c r="F565" s="282"/>
      <c r="G565" s="298"/>
      <c r="H565" s="298"/>
      <c r="I565" s="282"/>
      <c r="J565" s="298"/>
      <c r="K565" s="566"/>
      <c r="L565" s="282"/>
      <c r="M565" s="282"/>
      <c r="N565" s="298"/>
      <c r="O565" s="282"/>
      <c r="P565" s="282"/>
      <c r="Q565" s="298"/>
      <c r="R565" s="282"/>
      <c r="S565" s="282"/>
      <c r="T565" s="298"/>
      <c r="U565" s="282"/>
      <c r="V565" s="298"/>
      <c r="W565" s="298"/>
      <c r="X565" s="297"/>
      <c r="Y565" s="297"/>
      <c r="Z565" s="297"/>
      <c r="AA565" s="297"/>
      <c r="AB565" s="297"/>
      <c r="AC565" s="297"/>
      <c r="AD565" s="297"/>
      <c r="AE565" s="297"/>
      <c r="AF565" s="297"/>
      <c r="AG565" s="297"/>
      <c r="AH565" s="297"/>
      <c r="AI565" s="297"/>
      <c r="AJ565" s="297"/>
      <c r="AK565" s="297"/>
      <c r="AL565" s="297"/>
      <c r="AM565" s="297"/>
      <c r="AN565" s="297"/>
      <c r="AO565" s="297"/>
      <c r="AP565" s="297"/>
      <c r="AQ565" s="297"/>
      <c r="AR565" s="297"/>
      <c r="AS565" s="297"/>
      <c r="AT565" s="297"/>
      <c r="AU565" s="297"/>
      <c r="AV565" s="297"/>
      <c r="AW565" s="297"/>
      <c r="AX565" s="297"/>
      <c r="AY565" s="297"/>
      <c r="AZ565" s="297"/>
      <c r="BA565" s="297"/>
      <c r="BB565" s="297"/>
    </row>
    <row r="566" spans="1:54" thickBot="1">
      <c r="A566" s="298"/>
      <c r="B566" s="298"/>
      <c r="C566" s="298"/>
      <c r="D566" s="298"/>
      <c r="E566" s="298"/>
      <c r="F566" s="282"/>
      <c r="G566" s="298"/>
      <c r="H566" s="298"/>
      <c r="I566" s="282"/>
      <c r="J566" s="298"/>
      <c r="K566" s="566"/>
      <c r="L566" s="282"/>
      <c r="M566" s="282"/>
      <c r="N566" s="298"/>
      <c r="O566" s="282"/>
      <c r="P566" s="282"/>
      <c r="Q566" s="298"/>
      <c r="R566" s="282"/>
      <c r="S566" s="282"/>
      <c r="T566" s="298"/>
      <c r="U566" s="282"/>
      <c r="V566" s="298"/>
      <c r="W566" s="298"/>
      <c r="X566" s="297"/>
      <c r="Y566" s="297"/>
      <c r="Z566" s="297"/>
      <c r="AA566" s="297"/>
      <c r="AB566" s="297"/>
      <c r="AC566" s="297"/>
      <c r="AD566" s="297"/>
      <c r="AE566" s="297"/>
      <c r="AF566" s="297"/>
      <c r="AG566" s="297"/>
      <c r="AH566" s="297"/>
      <c r="AI566" s="297"/>
      <c r="AJ566" s="297"/>
      <c r="AK566" s="297"/>
      <c r="AL566" s="297"/>
      <c r="AM566" s="297"/>
      <c r="AN566" s="297"/>
      <c r="AO566" s="297"/>
      <c r="AP566" s="297"/>
      <c r="AQ566" s="297"/>
      <c r="AR566" s="297"/>
      <c r="AS566" s="297"/>
      <c r="AT566" s="297"/>
      <c r="AU566" s="297"/>
      <c r="AV566" s="297"/>
      <c r="AW566" s="297"/>
      <c r="AX566" s="297"/>
      <c r="AY566" s="297"/>
      <c r="AZ566" s="297"/>
      <c r="BA566" s="297"/>
      <c r="BB566" s="297"/>
    </row>
    <row r="567" spans="1:54" thickBot="1">
      <c r="A567" s="298"/>
      <c r="B567" s="298"/>
      <c r="C567" s="298"/>
      <c r="D567" s="298"/>
      <c r="E567" s="298"/>
      <c r="F567" s="282"/>
      <c r="G567" s="298"/>
      <c r="H567" s="298"/>
      <c r="I567" s="282"/>
      <c r="J567" s="298"/>
      <c r="K567" s="566"/>
      <c r="L567" s="282"/>
      <c r="M567" s="282"/>
      <c r="N567" s="298"/>
      <c r="O567" s="282"/>
      <c r="P567" s="282"/>
      <c r="Q567" s="298"/>
      <c r="R567" s="282"/>
      <c r="S567" s="282"/>
      <c r="T567" s="298"/>
      <c r="U567" s="282"/>
      <c r="V567" s="298"/>
      <c r="W567" s="298"/>
      <c r="X567" s="297"/>
      <c r="Y567" s="297"/>
      <c r="Z567" s="297"/>
      <c r="AA567" s="297"/>
      <c r="AB567" s="297"/>
      <c r="AC567" s="297"/>
      <c r="AD567" s="297"/>
      <c r="AE567" s="297"/>
      <c r="AF567" s="297"/>
      <c r="AG567" s="297"/>
      <c r="AH567" s="297"/>
      <c r="AI567" s="297"/>
      <c r="AJ567" s="297"/>
      <c r="AK567" s="297"/>
      <c r="AL567" s="297"/>
      <c r="AM567" s="297"/>
      <c r="AN567" s="297"/>
      <c r="AO567" s="297"/>
      <c r="AP567" s="297"/>
      <c r="AQ567" s="297"/>
      <c r="AR567" s="297"/>
      <c r="AS567" s="297"/>
      <c r="AT567" s="297"/>
      <c r="AU567" s="297"/>
      <c r="AV567" s="297"/>
      <c r="AW567" s="297"/>
      <c r="AX567" s="297"/>
      <c r="AY567" s="297"/>
      <c r="AZ567" s="297"/>
      <c r="BA567" s="297"/>
      <c r="BB567" s="297"/>
    </row>
    <row r="568" spans="1:54" thickBot="1">
      <c r="A568" s="298"/>
      <c r="B568" s="298"/>
      <c r="C568" s="298"/>
      <c r="D568" s="298"/>
      <c r="E568" s="298"/>
      <c r="F568" s="282"/>
      <c r="G568" s="298"/>
      <c r="H568" s="298"/>
      <c r="I568" s="282"/>
      <c r="J568" s="298"/>
      <c r="K568" s="566"/>
      <c r="L568" s="282"/>
      <c r="M568" s="282"/>
      <c r="N568" s="298"/>
      <c r="O568" s="282"/>
      <c r="P568" s="282"/>
      <c r="Q568" s="298"/>
      <c r="R568" s="282"/>
      <c r="S568" s="282"/>
      <c r="T568" s="298"/>
      <c r="U568" s="282"/>
      <c r="V568" s="298"/>
      <c r="W568" s="298"/>
      <c r="X568" s="297"/>
      <c r="Y568" s="297"/>
      <c r="Z568" s="297"/>
      <c r="AA568" s="297"/>
      <c r="AB568" s="297"/>
      <c r="AC568" s="297"/>
      <c r="AD568" s="297"/>
      <c r="AE568" s="297"/>
      <c r="AF568" s="297"/>
      <c r="AG568" s="297"/>
      <c r="AH568" s="297"/>
      <c r="AI568" s="297"/>
      <c r="AJ568" s="297"/>
      <c r="AK568" s="297"/>
      <c r="AL568" s="297"/>
      <c r="AM568" s="297"/>
      <c r="AN568" s="297"/>
      <c r="AO568" s="297"/>
      <c r="AP568" s="297"/>
      <c r="AQ568" s="297"/>
      <c r="AR568" s="297"/>
      <c r="AS568" s="297"/>
      <c r="AT568" s="297"/>
      <c r="AU568" s="297"/>
      <c r="AV568" s="297"/>
      <c r="AW568" s="297"/>
      <c r="AX568" s="297"/>
      <c r="AY568" s="297"/>
      <c r="AZ568" s="297"/>
      <c r="BA568" s="297"/>
      <c r="BB568" s="297"/>
    </row>
    <row r="569" spans="1:54" thickBot="1">
      <c r="A569" s="298"/>
      <c r="B569" s="298"/>
      <c r="C569" s="298"/>
      <c r="D569" s="298"/>
      <c r="E569" s="298"/>
      <c r="F569" s="282"/>
      <c r="G569" s="298"/>
      <c r="H569" s="298"/>
      <c r="I569" s="282"/>
      <c r="J569" s="298"/>
      <c r="K569" s="566"/>
      <c r="L569" s="282"/>
      <c r="M569" s="282"/>
      <c r="N569" s="298"/>
      <c r="O569" s="282"/>
      <c r="P569" s="282"/>
      <c r="Q569" s="298"/>
      <c r="R569" s="282"/>
      <c r="S569" s="282"/>
      <c r="T569" s="298"/>
      <c r="U569" s="282"/>
      <c r="V569" s="298"/>
      <c r="W569" s="298"/>
      <c r="X569" s="297"/>
      <c r="Y569" s="297"/>
      <c r="Z569" s="297"/>
      <c r="AA569" s="297"/>
      <c r="AB569" s="297"/>
      <c r="AC569" s="297"/>
      <c r="AD569" s="297"/>
      <c r="AE569" s="297"/>
      <c r="AF569" s="297"/>
      <c r="AG569" s="297"/>
      <c r="AH569" s="297"/>
      <c r="AI569" s="297"/>
      <c r="AJ569" s="297"/>
      <c r="AK569" s="297"/>
      <c r="AL569" s="297"/>
      <c r="AM569" s="297"/>
      <c r="AN569" s="297"/>
      <c r="AO569" s="297"/>
      <c r="AP569" s="297"/>
      <c r="AQ569" s="297"/>
      <c r="AR569" s="297"/>
      <c r="AS569" s="297"/>
      <c r="AT569" s="297"/>
      <c r="AU569" s="297"/>
      <c r="AV569" s="297"/>
      <c r="AW569" s="297"/>
      <c r="AX569" s="297"/>
      <c r="AY569" s="297"/>
      <c r="AZ569" s="297"/>
      <c r="BA569" s="297"/>
      <c r="BB569" s="297"/>
    </row>
    <row r="570" spans="1:54" thickBot="1">
      <c r="A570" s="298"/>
      <c r="B570" s="298"/>
      <c r="C570" s="298"/>
      <c r="D570" s="298"/>
      <c r="E570" s="298"/>
      <c r="F570" s="282"/>
      <c r="G570" s="298"/>
      <c r="H570" s="298"/>
      <c r="I570" s="282"/>
      <c r="J570" s="298"/>
      <c r="K570" s="566"/>
      <c r="L570" s="282"/>
      <c r="M570" s="282"/>
      <c r="N570" s="298"/>
      <c r="O570" s="282"/>
      <c r="P570" s="282"/>
      <c r="Q570" s="298"/>
      <c r="R570" s="282"/>
      <c r="S570" s="282"/>
      <c r="T570" s="298"/>
      <c r="U570" s="282"/>
      <c r="V570" s="298"/>
      <c r="W570" s="298"/>
      <c r="X570" s="297"/>
      <c r="Y570" s="297"/>
      <c r="Z570" s="297"/>
      <c r="AA570" s="297"/>
      <c r="AB570" s="297"/>
      <c r="AC570" s="297"/>
      <c r="AD570" s="297"/>
      <c r="AE570" s="297"/>
      <c r="AF570" s="297"/>
      <c r="AG570" s="297"/>
      <c r="AH570" s="297"/>
      <c r="AI570" s="297"/>
      <c r="AJ570" s="297"/>
      <c r="AK570" s="297"/>
      <c r="AL570" s="297"/>
      <c r="AM570" s="297"/>
      <c r="AN570" s="297"/>
      <c r="AO570" s="297"/>
      <c r="AP570" s="297"/>
      <c r="AQ570" s="297"/>
      <c r="AR570" s="297"/>
      <c r="AS570" s="297"/>
      <c r="AT570" s="297"/>
      <c r="AU570" s="297"/>
      <c r="AV570" s="297"/>
      <c r="AW570" s="297"/>
      <c r="AX570" s="297"/>
      <c r="AY570" s="297"/>
      <c r="AZ570" s="297"/>
      <c r="BA570" s="297"/>
      <c r="BB570" s="297"/>
    </row>
    <row r="571" spans="1:54" thickBot="1">
      <c r="A571" s="298"/>
      <c r="B571" s="298"/>
      <c r="C571" s="298"/>
      <c r="D571" s="298"/>
      <c r="E571" s="298"/>
      <c r="F571" s="282"/>
      <c r="G571" s="298"/>
      <c r="H571" s="298"/>
      <c r="I571" s="282"/>
      <c r="J571" s="298"/>
      <c r="K571" s="566"/>
      <c r="L571" s="282"/>
      <c r="M571" s="282"/>
      <c r="N571" s="298"/>
      <c r="O571" s="282"/>
      <c r="P571" s="282"/>
      <c r="Q571" s="298"/>
      <c r="R571" s="282"/>
      <c r="S571" s="282"/>
      <c r="T571" s="298"/>
      <c r="U571" s="282"/>
      <c r="V571" s="298"/>
      <c r="W571" s="298"/>
      <c r="X571" s="297"/>
      <c r="Y571" s="297"/>
      <c r="Z571" s="297"/>
      <c r="AA571" s="297"/>
      <c r="AB571" s="297"/>
      <c r="AC571" s="297"/>
      <c r="AD571" s="297"/>
      <c r="AE571" s="297"/>
      <c r="AF571" s="297"/>
      <c r="AG571" s="297"/>
      <c r="AH571" s="297"/>
      <c r="AI571" s="297"/>
      <c r="AJ571" s="297"/>
      <c r="AK571" s="297"/>
      <c r="AL571" s="297"/>
      <c r="AM571" s="297"/>
      <c r="AN571" s="297"/>
      <c r="AO571" s="297"/>
      <c r="AP571" s="297"/>
      <c r="AQ571" s="297"/>
      <c r="AR571" s="297"/>
      <c r="AS571" s="297"/>
      <c r="AT571" s="297"/>
      <c r="AU571" s="297"/>
      <c r="AV571" s="297"/>
      <c r="AW571" s="297"/>
      <c r="AX571" s="297"/>
      <c r="AY571" s="297"/>
      <c r="AZ571" s="297"/>
      <c r="BA571" s="297"/>
      <c r="BB571" s="297"/>
    </row>
    <row r="572" spans="1:54" thickBot="1">
      <c r="A572" s="298"/>
      <c r="B572" s="298"/>
      <c r="C572" s="298"/>
      <c r="D572" s="298"/>
      <c r="E572" s="298"/>
      <c r="F572" s="282"/>
      <c r="G572" s="298"/>
      <c r="H572" s="298"/>
      <c r="I572" s="282"/>
      <c r="J572" s="298"/>
      <c r="K572" s="566"/>
      <c r="L572" s="282"/>
      <c r="M572" s="282"/>
      <c r="N572" s="298"/>
      <c r="O572" s="282"/>
      <c r="P572" s="282"/>
      <c r="Q572" s="298"/>
      <c r="R572" s="282"/>
      <c r="S572" s="282"/>
      <c r="T572" s="298"/>
      <c r="U572" s="282"/>
      <c r="V572" s="298"/>
      <c r="W572" s="298"/>
      <c r="X572" s="297"/>
      <c r="Y572" s="297"/>
      <c r="Z572" s="297"/>
      <c r="AA572" s="297"/>
      <c r="AB572" s="297"/>
      <c r="AC572" s="297"/>
      <c r="AD572" s="297"/>
      <c r="AE572" s="297"/>
      <c r="AF572" s="297"/>
      <c r="AG572" s="297"/>
      <c r="AH572" s="297"/>
      <c r="AI572" s="297"/>
      <c r="AJ572" s="297"/>
      <c r="AK572" s="297"/>
      <c r="AL572" s="297"/>
      <c r="AM572" s="297"/>
      <c r="AN572" s="297"/>
      <c r="AO572" s="297"/>
      <c r="AP572" s="297"/>
      <c r="AQ572" s="297"/>
      <c r="AR572" s="297"/>
      <c r="AS572" s="297"/>
      <c r="AT572" s="297"/>
      <c r="AU572" s="297"/>
      <c r="AV572" s="297"/>
      <c r="AW572" s="297"/>
      <c r="AX572" s="297"/>
      <c r="AY572" s="297"/>
      <c r="AZ572" s="297"/>
      <c r="BA572" s="297"/>
      <c r="BB572" s="297"/>
    </row>
    <row r="573" spans="1:54" thickBot="1">
      <c r="A573" s="298"/>
      <c r="B573" s="298"/>
      <c r="C573" s="298"/>
      <c r="D573" s="298"/>
      <c r="E573" s="298"/>
      <c r="F573" s="282"/>
      <c r="G573" s="298"/>
      <c r="H573" s="298"/>
      <c r="I573" s="282"/>
      <c r="J573" s="298"/>
      <c r="K573" s="566"/>
      <c r="L573" s="282"/>
      <c r="M573" s="282"/>
      <c r="N573" s="298"/>
      <c r="O573" s="282"/>
      <c r="P573" s="282"/>
      <c r="Q573" s="298"/>
      <c r="R573" s="282"/>
      <c r="S573" s="282"/>
      <c r="T573" s="298"/>
      <c r="U573" s="282"/>
      <c r="V573" s="298"/>
      <c r="W573" s="298"/>
      <c r="X573" s="297"/>
      <c r="Y573" s="297"/>
      <c r="Z573" s="297"/>
      <c r="AA573" s="297"/>
      <c r="AB573" s="297"/>
      <c r="AC573" s="297"/>
      <c r="AD573" s="297"/>
      <c r="AE573" s="297"/>
      <c r="AF573" s="297"/>
      <c r="AG573" s="297"/>
      <c r="AH573" s="297"/>
      <c r="AI573" s="297"/>
      <c r="AJ573" s="297"/>
      <c r="AK573" s="297"/>
      <c r="AL573" s="297"/>
      <c r="AM573" s="297"/>
      <c r="AN573" s="297"/>
      <c r="AO573" s="297"/>
      <c r="AP573" s="297"/>
      <c r="AQ573" s="297"/>
      <c r="AR573" s="297"/>
      <c r="AS573" s="297"/>
      <c r="AT573" s="297"/>
      <c r="AU573" s="297"/>
      <c r="AV573" s="297"/>
      <c r="AW573" s="297"/>
      <c r="AX573" s="297"/>
      <c r="AY573" s="297"/>
      <c r="AZ573" s="297"/>
      <c r="BA573" s="297"/>
      <c r="BB573" s="297"/>
    </row>
    <row r="574" spans="1:54" thickBot="1">
      <c r="A574" s="298"/>
      <c r="B574" s="298"/>
      <c r="C574" s="298"/>
      <c r="D574" s="298"/>
      <c r="E574" s="298"/>
      <c r="F574" s="282"/>
      <c r="G574" s="298"/>
      <c r="H574" s="298"/>
      <c r="I574" s="282"/>
      <c r="J574" s="298"/>
      <c r="K574" s="566"/>
      <c r="L574" s="282"/>
      <c r="M574" s="282"/>
      <c r="N574" s="298"/>
      <c r="O574" s="282"/>
      <c r="P574" s="282"/>
      <c r="Q574" s="298"/>
      <c r="R574" s="282"/>
      <c r="S574" s="282"/>
      <c r="T574" s="298"/>
      <c r="U574" s="282"/>
      <c r="V574" s="298"/>
      <c r="W574" s="298"/>
      <c r="X574" s="297"/>
      <c r="Y574" s="297"/>
      <c r="Z574" s="297"/>
      <c r="AA574" s="297"/>
      <c r="AB574" s="297"/>
      <c r="AC574" s="297"/>
      <c r="AD574" s="297"/>
      <c r="AE574" s="297"/>
      <c r="AF574" s="297"/>
      <c r="AG574" s="297"/>
      <c r="AH574" s="297"/>
      <c r="AI574" s="297"/>
      <c r="AJ574" s="297"/>
      <c r="AK574" s="297"/>
      <c r="AL574" s="297"/>
      <c r="AM574" s="297"/>
      <c r="AN574" s="297"/>
      <c r="AO574" s="297"/>
      <c r="AP574" s="297"/>
      <c r="AQ574" s="297"/>
      <c r="AR574" s="297"/>
      <c r="AS574" s="297"/>
      <c r="AT574" s="297"/>
      <c r="AU574" s="297"/>
      <c r="AV574" s="297"/>
      <c r="AW574" s="297"/>
      <c r="AX574" s="297"/>
      <c r="AY574" s="297"/>
      <c r="AZ574" s="297"/>
      <c r="BA574" s="297"/>
      <c r="BB574" s="297"/>
    </row>
    <row r="575" spans="1:54" thickBot="1">
      <c r="A575" s="298"/>
      <c r="B575" s="298"/>
      <c r="C575" s="298"/>
      <c r="D575" s="298"/>
      <c r="E575" s="298"/>
      <c r="F575" s="282"/>
      <c r="G575" s="298"/>
      <c r="H575" s="298"/>
      <c r="I575" s="282"/>
      <c r="J575" s="298"/>
      <c r="K575" s="566"/>
      <c r="L575" s="282"/>
      <c r="M575" s="282"/>
      <c r="N575" s="298"/>
      <c r="O575" s="282"/>
      <c r="P575" s="282"/>
      <c r="Q575" s="298"/>
      <c r="R575" s="282"/>
      <c r="S575" s="282"/>
      <c r="T575" s="298"/>
      <c r="U575" s="282"/>
      <c r="V575" s="298"/>
      <c r="W575" s="298"/>
      <c r="X575" s="297"/>
      <c r="Y575" s="297"/>
      <c r="Z575" s="297"/>
      <c r="AA575" s="297"/>
      <c r="AB575" s="297"/>
      <c r="AC575" s="297"/>
      <c r="AD575" s="297"/>
      <c r="AE575" s="297"/>
      <c r="AF575" s="297"/>
      <c r="AG575" s="297"/>
      <c r="AH575" s="297"/>
      <c r="AI575" s="297"/>
      <c r="AJ575" s="297"/>
      <c r="AK575" s="297"/>
      <c r="AL575" s="297"/>
      <c r="AM575" s="297"/>
      <c r="AN575" s="297"/>
      <c r="AO575" s="297"/>
      <c r="AP575" s="297"/>
      <c r="AQ575" s="297"/>
      <c r="AR575" s="297"/>
      <c r="AS575" s="297"/>
      <c r="AT575" s="297"/>
      <c r="AU575" s="297"/>
      <c r="AV575" s="297"/>
      <c r="AW575" s="297"/>
      <c r="AX575" s="297"/>
      <c r="AY575" s="297"/>
      <c r="AZ575" s="297"/>
      <c r="BA575" s="297"/>
      <c r="BB575" s="297"/>
    </row>
    <row r="576" spans="1:54" thickBot="1">
      <c r="A576" s="298"/>
      <c r="B576" s="298"/>
      <c r="C576" s="298"/>
      <c r="D576" s="298"/>
      <c r="E576" s="298"/>
      <c r="F576" s="282"/>
      <c r="G576" s="298"/>
      <c r="H576" s="298"/>
      <c r="I576" s="282"/>
      <c r="J576" s="298"/>
      <c r="K576" s="566"/>
      <c r="L576" s="282"/>
      <c r="M576" s="282"/>
      <c r="N576" s="298"/>
      <c r="O576" s="282"/>
      <c r="P576" s="282"/>
      <c r="Q576" s="298"/>
      <c r="R576" s="282"/>
      <c r="S576" s="282"/>
      <c r="T576" s="298"/>
      <c r="U576" s="282"/>
      <c r="V576" s="298"/>
      <c r="W576" s="298"/>
      <c r="X576" s="297"/>
      <c r="Y576" s="297"/>
      <c r="Z576" s="297"/>
      <c r="AA576" s="297"/>
      <c r="AB576" s="297"/>
      <c r="AC576" s="297"/>
      <c r="AD576" s="297"/>
      <c r="AE576" s="297"/>
      <c r="AF576" s="297"/>
      <c r="AG576" s="297"/>
      <c r="AH576" s="297"/>
      <c r="AI576" s="297"/>
      <c r="AJ576" s="297"/>
      <c r="AK576" s="297"/>
      <c r="AL576" s="297"/>
      <c r="AM576" s="297"/>
      <c r="AN576" s="297"/>
      <c r="AO576" s="297"/>
      <c r="AP576" s="297"/>
      <c r="AQ576" s="297"/>
      <c r="AR576" s="297"/>
      <c r="AS576" s="297"/>
      <c r="AT576" s="297"/>
      <c r="AU576" s="297"/>
      <c r="AV576" s="297"/>
      <c r="AW576" s="297"/>
      <c r="AX576" s="297"/>
      <c r="AY576" s="297"/>
      <c r="AZ576" s="297"/>
      <c r="BA576" s="297"/>
      <c r="BB576" s="297"/>
    </row>
    <row r="577" spans="1:54" thickBot="1">
      <c r="A577" s="298"/>
      <c r="B577" s="298"/>
      <c r="C577" s="298"/>
      <c r="D577" s="298"/>
      <c r="E577" s="298"/>
      <c r="F577" s="282"/>
      <c r="G577" s="298"/>
      <c r="H577" s="298"/>
      <c r="I577" s="282"/>
      <c r="J577" s="298"/>
      <c r="K577" s="566"/>
      <c r="L577" s="282"/>
      <c r="M577" s="282"/>
      <c r="N577" s="298"/>
      <c r="O577" s="282"/>
      <c r="P577" s="282"/>
      <c r="Q577" s="298"/>
      <c r="R577" s="282"/>
      <c r="S577" s="282"/>
      <c r="T577" s="298"/>
      <c r="U577" s="282"/>
      <c r="V577" s="298"/>
      <c r="W577" s="298"/>
      <c r="X577" s="297"/>
      <c r="Y577" s="297"/>
      <c r="Z577" s="297"/>
      <c r="AA577" s="297"/>
      <c r="AB577" s="297"/>
      <c r="AC577" s="297"/>
      <c r="AD577" s="297"/>
      <c r="AE577" s="297"/>
      <c r="AF577" s="297"/>
      <c r="AG577" s="297"/>
      <c r="AH577" s="297"/>
      <c r="AI577" s="297"/>
      <c r="AJ577" s="297"/>
      <c r="AK577" s="297"/>
      <c r="AL577" s="297"/>
      <c r="AM577" s="297"/>
      <c r="AN577" s="297"/>
      <c r="AO577" s="297"/>
      <c r="AP577" s="297"/>
      <c r="AQ577" s="297"/>
      <c r="AR577" s="297"/>
      <c r="AS577" s="297"/>
      <c r="AT577" s="297"/>
      <c r="AU577" s="297"/>
      <c r="AV577" s="297"/>
      <c r="AW577" s="297"/>
      <c r="AX577" s="297"/>
      <c r="AY577" s="297"/>
      <c r="AZ577" s="297"/>
      <c r="BA577" s="297"/>
      <c r="BB577" s="297"/>
    </row>
    <row r="578" spans="1:54" thickBot="1">
      <c r="A578" s="298"/>
      <c r="B578" s="298"/>
      <c r="C578" s="298"/>
      <c r="D578" s="298"/>
      <c r="E578" s="298"/>
      <c r="F578" s="282"/>
      <c r="G578" s="298"/>
      <c r="H578" s="298"/>
      <c r="I578" s="282"/>
      <c r="J578" s="298"/>
      <c r="K578" s="566"/>
      <c r="L578" s="282"/>
      <c r="M578" s="282"/>
      <c r="N578" s="298"/>
      <c r="O578" s="282"/>
      <c r="P578" s="282"/>
      <c r="Q578" s="298"/>
      <c r="R578" s="282"/>
      <c r="S578" s="282"/>
      <c r="T578" s="298"/>
      <c r="U578" s="282"/>
      <c r="V578" s="298"/>
      <c r="W578" s="298"/>
      <c r="X578" s="297"/>
      <c r="Y578" s="297"/>
      <c r="Z578" s="297"/>
      <c r="AA578" s="297"/>
      <c r="AB578" s="297"/>
      <c r="AC578" s="297"/>
      <c r="AD578" s="297"/>
      <c r="AE578" s="297"/>
      <c r="AF578" s="297"/>
      <c r="AG578" s="297"/>
      <c r="AH578" s="297"/>
      <c r="AI578" s="297"/>
      <c r="AJ578" s="297"/>
      <c r="AK578" s="297"/>
      <c r="AL578" s="297"/>
      <c r="AM578" s="297"/>
      <c r="AN578" s="297"/>
      <c r="AO578" s="297"/>
      <c r="AP578" s="297"/>
      <c r="AQ578" s="297"/>
      <c r="AR578" s="297"/>
      <c r="AS578" s="297"/>
      <c r="AT578" s="297"/>
      <c r="AU578" s="297"/>
      <c r="AV578" s="297"/>
      <c r="AW578" s="297"/>
      <c r="AX578" s="297"/>
      <c r="AY578" s="297"/>
      <c r="AZ578" s="297"/>
      <c r="BA578" s="297"/>
      <c r="BB578" s="297"/>
    </row>
    <row r="579" spans="1:54" thickBot="1">
      <c r="A579" s="298"/>
      <c r="B579" s="298"/>
      <c r="C579" s="298"/>
      <c r="D579" s="298"/>
      <c r="E579" s="298"/>
      <c r="F579" s="282"/>
      <c r="G579" s="298"/>
      <c r="H579" s="298"/>
      <c r="I579" s="282"/>
      <c r="J579" s="298"/>
      <c r="K579" s="566"/>
      <c r="L579" s="282"/>
      <c r="M579" s="282"/>
      <c r="N579" s="298"/>
      <c r="O579" s="282"/>
      <c r="P579" s="282"/>
      <c r="Q579" s="298"/>
      <c r="R579" s="282"/>
      <c r="S579" s="282"/>
      <c r="T579" s="298"/>
      <c r="U579" s="282"/>
      <c r="V579" s="298"/>
      <c r="W579" s="298"/>
      <c r="X579" s="297"/>
      <c r="Y579" s="297"/>
      <c r="Z579" s="297"/>
      <c r="AA579" s="297"/>
      <c r="AB579" s="297"/>
      <c r="AC579" s="297"/>
      <c r="AD579" s="297"/>
      <c r="AE579" s="297"/>
      <c r="AF579" s="297"/>
      <c r="AG579" s="297"/>
      <c r="AH579" s="297"/>
      <c r="AI579" s="297"/>
      <c r="AJ579" s="297"/>
      <c r="AK579" s="297"/>
      <c r="AL579" s="297"/>
      <c r="AM579" s="297"/>
      <c r="AN579" s="297"/>
      <c r="AO579" s="297"/>
      <c r="AP579" s="297"/>
      <c r="AQ579" s="297"/>
      <c r="AR579" s="297"/>
      <c r="AS579" s="297"/>
      <c r="AT579" s="297"/>
      <c r="AU579" s="297"/>
      <c r="AV579" s="297"/>
      <c r="AW579" s="297"/>
      <c r="AX579" s="297"/>
      <c r="AY579" s="297"/>
      <c r="AZ579" s="297"/>
      <c r="BA579" s="297"/>
      <c r="BB579" s="297"/>
    </row>
    <row r="580" spans="1:54" thickBot="1">
      <c r="A580" s="298"/>
      <c r="B580" s="298"/>
      <c r="C580" s="298"/>
      <c r="D580" s="298"/>
      <c r="E580" s="298"/>
      <c r="F580" s="282"/>
      <c r="G580" s="298"/>
      <c r="H580" s="298"/>
      <c r="I580" s="282"/>
      <c r="J580" s="298"/>
      <c r="K580" s="566"/>
      <c r="L580" s="282"/>
      <c r="M580" s="282"/>
      <c r="N580" s="298"/>
      <c r="O580" s="282"/>
      <c r="P580" s="282"/>
      <c r="Q580" s="298"/>
      <c r="R580" s="282"/>
      <c r="S580" s="282"/>
      <c r="T580" s="298"/>
      <c r="U580" s="282"/>
      <c r="V580" s="298"/>
      <c r="W580" s="298"/>
      <c r="X580" s="297"/>
      <c r="Y580" s="297"/>
      <c r="Z580" s="297"/>
      <c r="AA580" s="297"/>
      <c r="AB580" s="297"/>
      <c r="AC580" s="297"/>
      <c r="AD580" s="297"/>
      <c r="AE580" s="297"/>
      <c r="AF580" s="297"/>
      <c r="AG580" s="297"/>
      <c r="AH580" s="297"/>
      <c r="AI580" s="297"/>
      <c r="AJ580" s="297"/>
      <c r="AK580" s="297"/>
      <c r="AL580" s="297"/>
      <c r="AM580" s="297"/>
      <c r="AN580" s="297"/>
      <c r="AO580" s="297"/>
      <c r="AP580" s="297"/>
      <c r="AQ580" s="297"/>
      <c r="AR580" s="297"/>
      <c r="AS580" s="297"/>
      <c r="AT580" s="297"/>
      <c r="AU580" s="297"/>
      <c r="AV580" s="297"/>
      <c r="AW580" s="297"/>
      <c r="AX580" s="297"/>
      <c r="AY580" s="297"/>
      <c r="AZ580" s="297"/>
      <c r="BA580" s="297"/>
      <c r="BB580" s="297"/>
    </row>
    <row r="581" spans="1:54" thickBot="1">
      <c r="A581" s="298"/>
      <c r="B581" s="298"/>
      <c r="C581" s="298"/>
      <c r="D581" s="298"/>
      <c r="E581" s="298"/>
      <c r="F581" s="282"/>
      <c r="G581" s="298"/>
      <c r="H581" s="298"/>
      <c r="I581" s="282"/>
      <c r="J581" s="298"/>
      <c r="K581" s="566"/>
      <c r="L581" s="282"/>
      <c r="M581" s="282"/>
      <c r="N581" s="298"/>
      <c r="O581" s="282"/>
      <c r="P581" s="282"/>
      <c r="Q581" s="298"/>
      <c r="R581" s="282"/>
      <c r="S581" s="282"/>
      <c r="T581" s="298"/>
      <c r="U581" s="282"/>
      <c r="V581" s="298"/>
      <c r="W581" s="298"/>
      <c r="X581" s="297"/>
      <c r="Y581" s="297"/>
      <c r="Z581" s="297"/>
      <c r="AA581" s="297"/>
      <c r="AB581" s="297"/>
      <c r="AC581" s="297"/>
      <c r="AD581" s="297"/>
      <c r="AE581" s="297"/>
      <c r="AF581" s="297"/>
      <c r="AG581" s="297"/>
      <c r="AH581" s="297"/>
      <c r="AI581" s="297"/>
      <c r="AJ581" s="297"/>
      <c r="AK581" s="297"/>
      <c r="AL581" s="297"/>
      <c r="AM581" s="297"/>
      <c r="AN581" s="297"/>
      <c r="AO581" s="297"/>
      <c r="AP581" s="297"/>
      <c r="AQ581" s="297"/>
      <c r="AR581" s="297"/>
      <c r="AS581" s="297"/>
      <c r="AT581" s="297"/>
      <c r="AU581" s="297"/>
      <c r="AV581" s="297"/>
      <c r="AW581" s="297"/>
      <c r="AX581" s="297"/>
      <c r="AY581" s="297"/>
      <c r="AZ581" s="297"/>
      <c r="BA581" s="297"/>
      <c r="BB581" s="297"/>
    </row>
    <row r="582" spans="1:54" thickBot="1">
      <c r="A582" s="298"/>
      <c r="B582" s="298"/>
      <c r="C582" s="298"/>
      <c r="D582" s="298"/>
      <c r="E582" s="298"/>
      <c r="F582" s="282"/>
      <c r="G582" s="298"/>
      <c r="H582" s="298"/>
      <c r="I582" s="282"/>
      <c r="J582" s="298"/>
      <c r="K582" s="566"/>
      <c r="L582" s="282"/>
      <c r="M582" s="282"/>
      <c r="N582" s="298"/>
      <c r="O582" s="282"/>
      <c r="P582" s="282"/>
      <c r="Q582" s="298"/>
      <c r="R582" s="282"/>
      <c r="S582" s="282"/>
      <c r="T582" s="298"/>
      <c r="U582" s="282"/>
      <c r="V582" s="298"/>
      <c r="W582" s="298"/>
      <c r="X582" s="297"/>
      <c r="Y582" s="297"/>
      <c r="Z582" s="297"/>
      <c r="AA582" s="297"/>
      <c r="AB582" s="297"/>
      <c r="AC582" s="297"/>
      <c r="AD582" s="297"/>
      <c r="AE582" s="297"/>
      <c r="AF582" s="297"/>
      <c r="AG582" s="297"/>
      <c r="AH582" s="297"/>
      <c r="AI582" s="297"/>
      <c r="AJ582" s="297"/>
      <c r="AK582" s="297"/>
      <c r="AL582" s="297"/>
      <c r="AM582" s="297"/>
      <c r="AN582" s="297"/>
      <c r="AO582" s="297"/>
      <c r="AP582" s="297"/>
      <c r="AQ582" s="297"/>
      <c r="AR582" s="297"/>
      <c r="AS582" s="297"/>
      <c r="AT582" s="297"/>
      <c r="AU582" s="297"/>
      <c r="AV582" s="297"/>
      <c r="AW582" s="297"/>
      <c r="AX582" s="297"/>
      <c r="AY582" s="297"/>
      <c r="AZ582" s="297"/>
      <c r="BA582" s="297"/>
      <c r="BB582" s="297"/>
    </row>
    <row r="583" spans="1:54" thickBot="1">
      <c r="A583" s="298"/>
      <c r="B583" s="298"/>
      <c r="C583" s="298"/>
      <c r="D583" s="298"/>
      <c r="E583" s="298"/>
      <c r="F583" s="282"/>
      <c r="G583" s="298"/>
      <c r="H583" s="298"/>
      <c r="I583" s="282"/>
      <c r="J583" s="298"/>
      <c r="K583" s="566"/>
      <c r="L583" s="282"/>
      <c r="M583" s="282"/>
      <c r="N583" s="298"/>
      <c r="O583" s="282"/>
      <c r="P583" s="282"/>
      <c r="Q583" s="298"/>
      <c r="R583" s="282"/>
      <c r="S583" s="282"/>
      <c r="T583" s="298"/>
      <c r="U583" s="282"/>
      <c r="V583" s="298"/>
      <c r="W583" s="298"/>
      <c r="X583" s="297"/>
      <c r="Y583" s="297"/>
      <c r="Z583" s="297"/>
      <c r="AA583" s="297"/>
      <c r="AB583" s="297"/>
      <c r="AC583" s="297"/>
      <c r="AD583" s="297"/>
      <c r="AE583" s="297"/>
      <c r="AF583" s="297"/>
      <c r="AG583" s="297"/>
      <c r="AH583" s="297"/>
      <c r="AI583" s="297"/>
      <c r="AJ583" s="297"/>
      <c r="AK583" s="297"/>
      <c r="AL583" s="297"/>
      <c r="AM583" s="297"/>
      <c r="AN583" s="297"/>
      <c r="AO583" s="297"/>
      <c r="AP583" s="297"/>
      <c r="AQ583" s="297"/>
      <c r="AR583" s="297"/>
      <c r="AS583" s="297"/>
      <c r="AT583" s="297"/>
      <c r="AU583" s="297"/>
      <c r="AV583" s="297"/>
      <c r="AW583" s="297"/>
      <c r="AX583" s="297"/>
      <c r="AY583" s="297"/>
      <c r="AZ583" s="297"/>
      <c r="BA583" s="297"/>
      <c r="BB583" s="297"/>
    </row>
    <row r="584" spans="1:54" thickBot="1">
      <c r="A584" s="298"/>
      <c r="B584" s="298"/>
      <c r="C584" s="298"/>
      <c r="D584" s="298"/>
      <c r="E584" s="298"/>
      <c r="F584" s="282"/>
      <c r="G584" s="298"/>
      <c r="H584" s="298"/>
      <c r="I584" s="282"/>
      <c r="J584" s="298"/>
      <c r="K584" s="566"/>
      <c r="L584" s="282"/>
      <c r="M584" s="282"/>
      <c r="N584" s="298"/>
      <c r="O584" s="282"/>
      <c r="P584" s="282"/>
      <c r="Q584" s="298"/>
      <c r="R584" s="282"/>
      <c r="S584" s="282"/>
      <c r="T584" s="298"/>
      <c r="U584" s="282"/>
      <c r="V584" s="298"/>
      <c r="W584" s="298"/>
      <c r="X584" s="297"/>
      <c r="Y584" s="297"/>
      <c r="Z584" s="297"/>
      <c r="AA584" s="297"/>
      <c r="AB584" s="297"/>
      <c r="AC584" s="297"/>
      <c r="AD584" s="297"/>
      <c r="AE584" s="297"/>
      <c r="AF584" s="297"/>
      <c r="AG584" s="297"/>
      <c r="AH584" s="297"/>
      <c r="AI584" s="297"/>
      <c r="AJ584" s="297"/>
      <c r="AK584" s="297"/>
      <c r="AL584" s="297"/>
      <c r="AM584" s="297"/>
      <c r="AN584" s="297"/>
      <c r="AO584" s="297"/>
      <c r="AP584" s="297"/>
      <c r="AQ584" s="297"/>
      <c r="AR584" s="297"/>
      <c r="AS584" s="297"/>
      <c r="AT584" s="297"/>
      <c r="AU584" s="297"/>
      <c r="AV584" s="297"/>
      <c r="AW584" s="297"/>
      <c r="AX584" s="297"/>
      <c r="AY584" s="297"/>
      <c r="AZ584" s="297"/>
      <c r="BA584" s="297"/>
      <c r="BB584" s="297"/>
    </row>
    <row r="585" spans="1:54" thickBot="1">
      <c r="A585" s="298"/>
      <c r="B585" s="298"/>
      <c r="C585" s="298"/>
      <c r="D585" s="298"/>
      <c r="E585" s="298"/>
      <c r="F585" s="282"/>
      <c r="G585" s="298"/>
      <c r="H585" s="298"/>
      <c r="I585" s="282"/>
      <c r="J585" s="298"/>
      <c r="K585" s="566"/>
      <c r="L585" s="282"/>
      <c r="M585" s="282"/>
      <c r="N585" s="298"/>
      <c r="O585" s="282"/>
      <c r="P585" s="282"/>
      <c r="Q585" s="298"/>
      <c r="R585" s="282"/>
      <c r="S585" s="282"/>
      <c r="T585" s="298"/>
      <c r="U585" s="282"/>
      <c r="V585" s="298"/>
      <c r="W585" s="298"/>
      <c r="X585" s="297"/>
      <c r="Y585" s="297"/>
      <c r="Z585" s="297"/>
      <c r="AA585" s="297"/>
      <c r="AB585" s="297"/>
      <c r="AC585" s="297"/>
      <c r="AD585" s="297"/>
      <c r="AE585" s="297"/>
      <c r="AF585" s="297"/>
      <c r="AG585" s="297"/>
      <c r="AH585" s="297"/>
      <c r="AI585" s="297"/>
      <c r="AJ585" s="297"/>
      <c r="AK585" s="297"/>
      <c r="AL585" s="297"/>
      <c r="AM585" s="297"/>
      <c r="AN585" s="297"/>
      <c r="AO585" s="297"/>
      <c r="AP585" s="297"/>
      <c r="AQ585" s="297"/>
      <c r="AR585" s="297"/>
      <c r="AS585" s="297"/>
      <c r="AT585" s="297"/>
      <c r="AU585" s="297"/>
      <c r="AV585" s="297"/>
      <c r="AW585" s="297"/>
      <c r="AX585" s="297"/>
      <c r="AY585" s="297"/>
      <c r="AZ585" s="297"/>
      <c r="BA585" s="297"/>
      <c r="BB585" s="297"/>
    </row>
    <row r="586" spans="1:54" thickBot="1">
      <c r="A586" s="298"/>
      <c r="B586" s="298"/>
      <c r="C586" s="298"/>
      <c r="D586" s="298"/>
      <c r="E586" s="298"/>
      <c r="F586" s="282"/>
      <c r="G586" s="298"/>
      <c r="H586" s="298"/>
      <c r="I586" s="282"/>
      <c r="J586" s="298"/>
      <c r="K586" s="566"/>
      <c r="L586" s="282"/>
      <c r="M586" s="282"/>
      <c r="N586" s="298"/>
      <c r="O586" s="282"/>
      <c r="P586" s="282"/>
      <c r="Q586" s="298"/>
      <c r="R586" s="282"/>
      <c r="S586" s="282"/>
      <c r="T586" s="298"/>
      <c r="U586" s="282"/>
      <c r="V586" s="298"/>
      <c r="W586" s="298"/>
      <c r="X586" s="297"/>
      <c r="Y586" s="297"/>
      <c r="Z586" s="297"/>
      <c r="AA586" s="297"/>
      <c r="AB586" s="297"/>
      <c r="AC586" s="297"/>
      <c r="AD586" s="297"/>
      <c r="AE586" s="297"/>
      <c r="AF586" s="297"/>
      <c r="AG586" s="297"/>
      <c r="AH586" s="297"/>
      <c r="AI586" s="297"/>
      <c r="AJ586" s="297"/>
      <c r="AK586" s="297"/>
      <c r="AL586" s="297"/>
      <c r="AM586" s="297"/>
      <c r="AN586" s="297"/>
      <c r="AO586" s="297"/>
      <c r="AP586" s="297"/>
      <c r="AQ586" s="297"/>
      <c r="AR586" s="297"/>
      <c r="AS586" s="297"/>
      <c r="AT586" s="297"/>
      <c r="AU586" s="297"/>
      <c r="AV586" s="297"/>
      <c r="AW586" s="297"/>
      <c r="AX586" s="297"/>
      <c r="AY586" s="297"/>
      <c r="AZ586" s="297"/>
      <c r="BA586" s="297"/>
      <c r="BB586" s="297"/>
    </row>
    <row r="587" spans="1:54" thickBot="1">
      <c r="A587" s="298"/>
      <c r="B587" s="298"/>
      <c r="C587" s="298"/>
      <c r="D587" s="298"/>
      <c r="E587" s="298"/>
      <c r="F587" s="282"/>
      <c r="G587" s="298"/>
      <c r="H587" s="298"/>
      <c r="I587" s="282"/>
      <c r="J587" s="298"/>
      <c r="K587" s="566"/>
      <c r="L587" s="282"/>
      <c r="M587" s="282"/>
      <c r="N587" s="298"/>
      <c r="O587" s="282"/>
      <c r="P587" s="282"/>
      <c r="Q587" s="298"/>
      <c r="R587" s="282"/>
      <c r="S587" s="282"/>
      <c r="T587" s="298"/>
      <c r="U587" s="282"/>
      <c r="V587" s="298"/>
      <c r="W587" s="298"/>
      <c r="X587" s="297"/>
      <c r="Y587" s="297"/>
      <c r="Z587" s="297"/>
      <c r="AA587" s="297"/>
      <c r="AB587" s="297"/>
      <c r="AC587" s="297"/>
      <c r="AD587" s="297"/>
      <c r="AE587" s="297"/>
      <c r="AF587" s="297"/>
      <c r="AG587" s="297"/>
      <c r="AH587" s="297"/>
      <c r="AI587" s="297"/>
      <c r="AJ587" s="297"/>
      <c r="AK587" s="297"/>
      <c r="AL587" s="297"/>
      <c r="AM587" s="297"/>
      <c r="AN587" s="297"/>
      <c r="AO587" s="297"/>
      <c r="AP587" s="297"/>
      <c r="AQ587" s="297"/>
      <c r="AR587" s="297"/>
      <c r="AS587" s="297"/>
      <c r="AT587" s="297"/>
      <c r="AU587" s="297"/>
      <c r="AV587" s="297"/>
      <c r="AW587" s="297"/>
      <c r="AX587" s="297"/>
      <c r="AY587" s="297"/>
      <c r="AZ587" s="297"/>
      <c r="BA587" s="297"/>
      <c r="BB587" s="297"/>
    </row>
    <row r="588" spans="1:54" thickBot="1">
      <c r="A588" s="298"/>
      <c r="B588" s="298"/>
      <c r="C588" s="298"/>
      <c r="D588" s="298"/>
      <c r="E588" s="298"/>
      <c r="F588" s="282"/>
      <c r="G588" s="298"/>
      <c r="H588" s="298"/>
      <c r="I588" s="282"/>
      <c r="J588" s="298"/>
      <c r="K588" s="566"/>
      <c r="L588" s="282"/>
      <c r="M588" s="282"/>
      <c r="N588" s="298"/>
      <c r="O588" s="282"/>
      <c r="P588" s="282"/>
      <c r="Q588" s="298"/>
      <c r="R588" s="282"/>
      <c r="S588" s="282"/>
      <c r="T588" s="298"/>
      <c r="U588" s="282"/>
      <c r="V588" s="298"/>
      <c r="W588" s="298"/>
      <c r="X588" s="297"/>
      <c r="Y588" s="297"/>
      <c r="Z588" s="297"/>
      <c r="AA588" s="297"/>
      <c r="AB588" s="297"/>
      <c r="AC588" s="297"/>
      <c r="AD588" s="297"/>
      <c r="AE588" s="297"/>
      <c r="AF588" s="297"/>
      <c r="AG588" s="297"/>
      <c r="AH588" s="297"/>
      <c r="AI588" s="297"/>
      <c r="AJ588" s="297"/>
      <c r="AK588" s="297"/>
      <c r="AL588" s="297"/>
      <c r="AM588" s="297"/>
      <c r="AN588" s="297"/>
      <c r="AO588" s="297"/>
      <c r="AP588" s="297"/>
      <c r="AQ588" s="297"/>
      <c r="AR588" s="297"/>
      <c r="AS588" s="297"/>
      <c r="AT588" s="297"/>
      <c r="AU588" s="297"/>
      <c r="AV588" s="297"/>
      <c r="AW588" s="297"/>
      <c r="AX588" s="297"/>
      <c r="AY588" s="297"/>
      <c r="AZ588" s="297"/>
      <c r="BA588" s="297"/>
      <c r="BB588" s="297"/>
    </row>
    <row r="589" spans="1:54" thickBot="1">
      <c r="A589" s="298"/>
      <c r="B589" s="298"/>
      <c r="C589" s="298"/>
      <c r="D589" s="298"/>
      <c r="E589" s="298"/>
      <c r="F589" s="282"/>
      <c r="G589" s="298"/>
      <c r="H589" s="298"/>
      <c r="I589" s="282"/>
      <c r="J589" s="298"/>
      <c r="K589" s="566"/>
      <c r="L589" s="282"/>
      <c r="M589" s="282"/>
      <c r="N589" s="298"/>
      <c r="O589" s="282"/>
      <c r="P589" s="282"/>
      <c r="Q589" s="298"/>
      <c r="R589" s="282"/>
      <c r="S589" s="282"/>
      <c r="T589" s="298"/>
      <c r="U589" s="282"/>
      <c r="V589" s="298"/>
      <c r="W589" s="298"/>
      <c r="X589" s="297"/>
      <c r="Y589" s="297"/>
      <c r="Z589" s="297"/>
      <c r="AA589" s="297"/>
      <c r="AB589" s="297"/>
      <c r="AC589" s="297"/>
      <c r="AD589" s="297"/>
      <c r="AE589" s="297"/>
      <c r="AF589" s="297"/>
      <c r="AG589" s="297"/>
      <c r="AH589" s="297"/>
      <c r="AI589" s="297"/>
      <c r="AJ589" s="297"/>
      <c r="AK589" s="297"/>
      <c r="AL589" s="297"/>
      <c r="AM589" s="297"/>
      <c r="AN589" s="297"/>
      <c r="AO589" s="297"/>
      <c r="AP589" s="297"/>
      <c r="AQ589" s="297"/>
      <c r="AR589" s="297"/>
      <c r="AS589" s="297"/>
      <c r="AT589" s="297"/>
      <c r="AU589" s="297"/>
      <c r="AV589" s="297"/>
      <c r="AW589" s="297"/>
      <c r="AX589" s="297"/>
      <c r="AY589" s="297"/>
      <c r="AZ589" s="297"/>
      <c r="BA589" s="297"/>
      <c r="BB589" s="297"/>
    </row>
    <row r="590" spans="1:54" thickBot="1">
      <c r="A590" s="298"/>
      <c r="B590" s="298"/>
      <c r="C590" s="298"/>
      <c r="D590" s="298"/>
      <c r="E590" s="298"/>
      <c r="F590" s="282"/>
      <c r="G590" s="298"/>
      <c r="H590" s="298"/>
      <c r="I590" s="282"/>
      <c r="J590" s="298"/>
      <c r="K590" s="566"/>
      <c r="L590" s="282"/>
      <c r="M590" s="282"/>
      <c r="N590" s="298"/>
      <c r="O590" s="282"/>
      <c r="P590" s="282"/>
      <c r="Q590" s="298"/>
      <c r="R590" s="282"/>
      <c r="S590" s="282"/>
      <c r="T590" s="298"/>
      <c r="U590" s="282"/>
      <c r="V590" s="298"/>
      <c r="W590" s="298"/>
      <c r="X590" s="297"/>
      <c r="Y590" s="297"/>
      <c r="Z590" s="297"/>
      <c r="AA590" s="297"/>
      <c r="AB590" s="297"/>
      <c r="AC590" s="297"/>
      <c r="AD590" s="297"/>
      <c r="AE590" s="297"/>
      <c r="AF590" s="297"/>
      <c r="AG590" s="297"/>
      <c r="AH590" s="297"/>
      <c r="AI590" s="297"/>
      <c r="AJ590" s="297"/>
      <c r="AK590" s="297"/>
      <c r="AL590" s="297"/>
      <c r="AM590" s="297"/>
      <c r="AN590" s="297"/>
      <c r="AO590" s="297"/>
      <c r="AP590" s="297"/>
      <c r="AQ590" s="297"/>
      <c r="AR590" s="297"/>
      <c r="AS590" s="297"/>
      <c r="AT590" s="297"/>
      <c r="AU590" s="297"/>
      <c r="AV590" s="297"/>
      <c r="AW590" s="297"/>
      <c r="AX590" s="297"/>
      <c r="AY590" s="297"/>
      <c r="AZ590" s="297"/>
      <c r="BA590" s="297"/>
      <c r="BB590" s="297"/>
    </row>
    <row r="591" spans="1:54" thickBot="1">
      <c r="A591" s="298"/>
      <c r="B591" s="298"/>
      <c r="C591" s="298"/>
      <c r="D591" s="298"/>
      <c r="E591" s="298"/>
      <c r="F591" s="282"/>
      <c r="G591" s="298"/>
      <c r="H591" s="298"/>
      <c r="I591" s="282"/>
      <c r="J591" s="298"/>
      <c r="K591" s="566"/>
      <c r="L591" s="282"/>
      <c r="M591" s="282"/>
      <c r="N591" s="298"/>
      <c r="O591" s="282"/>
      <c r="P591" s="282"/>
      <c r="Q591" s="298"/>
      <c r="R591" s="282"/>
      <c r="S591" s="282"/>
      <c r="T591" s="298"/>
      <c r="U591" s="282"/>
      <c r="V591" s="298"/>
      <c r="W591" s="298"/>
      <c r="X591" s="297"/>
      <c r="Y591" s="297"/>
      <c r="Z591" s="297"/>
      <c r="AA591" s="297"/>
      <c r="AB591" s="297"/>
      <c r="AC591" s="297"/>
      <c r="AD591" s="297"/>
      <c r="AE591" s="297"/>
      <c r="AF591" s="297"/>
      <c r="AG591" s="297"/>
      <c r="AH591" s="297"/>
      <c r="AI591" s="297"/>
      <c r="AJ591" s="297"/>
      <c r="AK591" s="297"/>
      <c r="AL591" s="297"/>
      <c r="AM591" s="297"/>
      <c r="AN591" s="297"/>
      <c r="AO591" s="297"/>
      <c r="AP591" s="297"/>
      <c r="AQ591" s="297"/>
      <c r="AR591" s="297"/>
      <c r="AS591" s="297"/>
      <c r="AT591" s="297"/>
      <c r="AU591" s="297"/>
      <c r="AV591" s="297"/>
      <c r="AW591" s="297"/>
      <c r="AX591" s="297"/>
      <c r="AY591" s="297"/>
      <c r="AZ591" s="297"/>
      <c r="BA591" s="297"/>
      <c r="BB591" s="297"/>
    </row>
    <row r="592" spans="1:54" thickBot="1">
      <c r="A592" s="298"/>
      <c r="B592" s="298"/>
      <c r="C592" s="298"/>
      <c r="D592" s="298"/>
      <c r="E592" s="298"/>
      <c r="F592" s="282"/>
      <c r="G592" s="298"/>
      <c r="H592" s="298"/>
      <c r="I592" s="282"/>
      <c r="J592" s="298"/>
      <c r="K592" s="566"/>
      <c r="L592" s="282"/>
      <c r="M592" s="282"/>
      <c r="N592" s="298"/>
      <c r="O592" s="282"/>
      <c r="P592" s="282"/>
      <c r="Q592" s="298"/>
      <c r="R592" s="282"/>
      <c r="S592" s="282"/>
      <c r="T592" s="298"/>
      <c r="U592" s="282"/>
      <c r="V592" s="298"/>
      <c r="W592" s="298"/>
      <c r="X592" s="297"/>
      <c r="Y592" s="297"/>
      <c r="Z592" s="297"/>
      <c r="AA592" s="297"/>
      <c r="AB592" s="297"/>
      <c r="AC592" s="297"/>
      <c r="AD592" s="297"/>
      <c r="AE592" s="297"/>
      <c r="AF592" s="297"/>
      <c r="AG592" s="297"/>
      <c r="AH592" s="297"/>
      <c r="AI592" s="297"/>
      <c r="AJ592" s="297"/>
      <c r="AK592" s="297"/>
      <c r="AL592" s="297"/>
      <c r="AM592" s="297"/>
      <c r="AN592" s="297"/>
      <c r="AO592" s="297"/>
      <c r="AP592" s="297"/>
      <c r="AQ592" s="297"/>
      <c r="AR592" s="297"/>
      <c r="AS592" s="297"/>
      <c r="AT592" s="297"/>
      <c r="AU592" s="297"/>
      <c r="AV592" s="297"/>
      <c r="AW592" s="297"/>
      <c r="AX592" s="297"/>
      <c r="AY592" s="297"/>
      <c r="AZ592" s="297"/>
      <c r="BA592" s="297"/>
      <c r="BB592" s="297"/>
    </row>
    <row r="593" spans="1:54" thickBot="1">
      <c r="A593" s="298"/>
      <c r="B593" s="298"/>
      <c r="C593" s="298"/>
      <c r="D593" s="298"/>
      <c r="E593" s="298"/>
      <c r="F593" s="282"/>
      <c r="G593" s="298"/>
      <c r="H593" s="298"/>
      <c r="I593" s="282"/>
      <c r="J593" s="298"/>
      <c r="K593" s="566"/>
      <c r="L593" s="282"/>
      <c r="M593" s="282"/>
      <c r="N593" s="298"/>
      <c r="O593" s="282"/>
      <c r="P593" s="282"/>
      <c r="Q593" s="298"/>
      <c r="R593" s="282"/>
      <c r="S593" s="282"/>
      <c r="T593" s="298"/>
      <c r="U593" s="282"/>
      <c r="V593" s="298"/>
      <c r="W593" s="298"/>
      <c r="X593" s="297"/>
      <c r="Y593" s="297"/>
      <c r="Z593" s="297"/>
      <c r="AA593" s="297"/>
      <c r="AB593" s="297"/>
      <c r="AC593" s="297"/>
      <c r="AD593" s="297"/>
      <c r="AE593" s="297"/>
      <c r="AF593" s="297"/>
      <c r="AG593" s="297"/>
      <c r="AH593" s="297"/>
      <c r="AI593" s="297"/>
      <c r="AJ593" s="297"/>
      <c r="AK593" s="297"/>
      <c r="AL593" s="297"/>
      <c r="AM593" s="297"/>
      <c r="AN593" s="297"/>
      <c r="AO593" s="297"/>
      <c r="AP593" s="297"/>
      <c r="AQ593" s="297"/>
      <c r="AR593" s="297"/>
      <c r="AS593" s="297"/>
      <c r="AT593" s="297"/>
      <c r="AU593" s="297"/>
      <c r="AV593" s="297"/>
      <c r="AW593" s="297"/>
      <c r="AX593" s="297"/>
      <c r="AY593" s="297"/>
      <c r="AZ593" s="297"/>
      <c r="BA593" s="297"/>
      <c r="BB593" s="297"/>
    </row>
    <row r="594" spans="1:54" thickBot="1">
      <c r="A594" s="298"/>
      <c r="B594" s="298"/>
      <c r="C594" s="298"/>
      <c r="D594" s="298"/>
      <c r="E594" s="298"/>
      <c r="F594" s="282"/>
      <c r="G594" s="298"/>
      <c r="H594" s="298"/>
      <c r="I594" s="282"/>
      <c r="J594" s="298"/>
      <c r="K594" s="566"/>
      <c r="L594" s="282"/>
      <c r="M594" s="282"/>
      <c r="N594" s="298"/>
      <c r="O594" s="282"/>
      <c r="P594" s="282"/>
      <c r="Q594" s="298"/>
      <c r="R594" s="282"/>
      <c r="S594" s="282"/>
      <c r="T594" s="298"/>
      <c r="U594" s="282"/>
      <c r="V594" s="298"/>
      <c r="W594" s="298"/>
      <c r="X594" s="297"/>
      <c r="Y594" s="297"/>
      <c r="Z594" s="297"/>
      <c r="AA594" s="297"/>
      <c r="AB594" s="297"/>
      <c r="AC594" s="297"/>
      <c r="AD594" s="297"/>
      <c r="AE594" s="297"/>
      <c r="AF594" s="297"/>
      <c r="AG594" s="297"/>
      <c r="AH594" s="297"/>
      <c r="AI594" s="297"/>
      <c r="AJ594" s="297"/>
      <c r="AK594" s="297"/>
      <c r="AL594" s="297"/>
      <c r="AM594" s="297"/>
      <c r="AN594" s="297"/>
      <c r="AO594" s="297"/>
      <c r="AP594" s="297"/>
      <c r="AQ594" s="297"/>
      <c r="AR594" s="297"/>
      <c r="AS594" s="297"/>
      <c r="AT594" s="297"/>
      <c r="AU594" s="297"/>
      <c r="AV594" s="297"/>
      <c r="AW594" s="297"/>
      <c r="AX594" s="297"/>
      <c r="AY594" s="297"/>
      <c r="AZ594" s="297"/>
      <c r="BA594" s="297"/>
      <c r="BB594" s="297"/>
    </row>
    <row r="595" spans="1:54" thickBot="1">
      <c r="A595" s="298"/>
      <c r="B595" s="298"/>
      <c r="C595" s="298"/>
      <c r="D595" s="298"/>
      <c r="E595" s="298"/>
      <c r="F595" s="282"/>
      <c r="G595" s="298"/>
      <c r="H595" s="298"/>
      <c r="I595" s="282"/>
      <c r="J595" s="298"/>
      <c r="K595" s="566"/>
      <c r="L595" s="282"/>
      <c r="M595" s="282"/>
      <c r="N595" s="298"/>
      <c r="O595" s="282"/>
      <c r="P595" s="282"/>
      <c r="Q595" s="298"/>
      <c r="R595" s="282"/>
      <c r="S595" s="282"/>
      <c r="T595" s="298"/>
      <c r="U595" s="282"/>
      <c r="V595" s="298"/>
      <c r="W595" s="298"/>
      <c r="X595" s="297"/>
      <c r="Y595" s="297"/>
      <c r="Z595" s="297"/>
      <c r="AA595" s="297"/>
      <c r="AB595" s="297"/>
      <c r="AC595" s="297"/>
      <c r="AD595" s="297"/>
      <c r="AE595" s="297"/>
      <c r="AF595" s="297"/>
      <c r="AG595" s="297"/>
      <c r="AH595" s="297"/>
      <c r="AI595" s="297"/>
      <c r="AJ595" s="297"/>
      <c r="AK595" s="297"/>
      <c r="AL595" s="297"/>
      <c r="AM595" s="297"/>
      <c r="AN595" s="297"/>
      <c r="AO595" s="297"/>
      <c r="AP595" s="297"/>
      <c r="AQ595" s="297"/>
      <c r="AR595" s="297"/>
      <c r="AS595" s="297"/>
      <c r="AT595" s="297"/>
      <c r="AU595" s="297"/>
      <c r="AV595" s="297"/>
      <c r="AW595" s="297"/>
      <c r="AX595" s="297"/>
      <c r="AY595" s="297"/>
      <c r="AZ595" s="297"/>
      <c r="BA595" s="297"/>
      <c r="BB595" s="297"/>
    </row>
    <row r="596" spans="1:54" thickBot="1">
      <c r="A596" s="298"/>
      <c r="B596" s="298"/>
      <c r="C596" s="298"/>
      <c r="D596" s="298"/>
      <c r="E596" s="298"/>
      <c r="F596" s="282"/>
      <c r="G596" s="298"/>
      <c r="H596" s="298"/>
      <c r="I596" s="282"/>
      <c r="J596" s="298"/>
      <c r="K596" s="566"/>
      <c r="L596" s="282"/>
      <c r="M596" s="282"/>
      <c r="N596" s="298"/>
      <c r="O596" s="282"/>
      <c r="P596" s="282"/>
      <c r="Q596" s="298"/>
      <c r="R596" s="282"/>
      <c r="S596" s="282"/>
      <c r="T596" s="298"/>
      <c r="U596" s="282"/>
      <c r="V596" s="298"/>
      <c r="W596" s="298"/>
      <c r="X596" s="297"/>
      <c r="Y596" s="297"/>
      <c r="Z596" s="297"/>
      <c r="AA596" s="297"/>
      <c r="AB596" s="297"/>
      <c r="AC596" s="297"/>
      <c r="AD596" s="297"/>
      <c r="AE596" s="297"/>
      <c r="AF596" s="297"/>
      <c r="AG596" s="297"/>
      <c r="AH596" s="297"/>
      <c r="AI596" s="297"/>
      <c r="AJ596" s="297"/>
      <c r="AK596" s="297"/>
      <c r="AL596" s="297"/>
      <c r="AM596" s="297"/>
      <c r="AN596" s="297"/>
      <c r="AO596" s="297"/>
      <c r="AP596" s="297"/>
      <c r="AQ596" s="297"/>
      <c r="AR596" s="297"/>
      <c r="AS596" s="297"/>
      <c r="AT596" s="297"/>
      <c r="AU596" s="297"/>
      <c r="AV596" s="297"/>
      <c r="AW596" s="297"/>
      <c r="AX596" s="297"/>
      <c r="AY596" s="297"/>
      <c r="AZ596" s="297"/>
      <c r="BA596" s="297"/>
      <c r="BB596" s="297"/>
    </row>
    <row r="597" spans="1:54" thickBot="1">
      <c r="A597" s="298"/>
      <c r="B597" s="298"/>
      <c r="C597" s="298"/>
      <c r="D597" s="298"/>
      <c r="E597" s="298"/>
      <c r="F597" s="282"/>
      <c r="G597" s="298"/>
      <c r="H597" s="298"/>
      <c r="I597" s="282"/>
      <c r="J597" s="298"/>
      <c r="K597" s="566"/>
      <c r="L597" s="282"/>
      <c r="M597" s="282"/>
      <c r="N597" s="298"/>
      <c r="O597" s="282"/>
      <c r="P597" s="282"/>
      <c r="Q597" s="298"/>
      <c r="R597" s="282"/>
      <c r="S597" s="282"/>
      <c r="T597" s="298"/>
      <c r="U597" s="282"/>
      <c r="V597" s="298"/>
      <c r="W597" s="298"/>
      <c r="X597" s="297"/>
      <c r="Y597" s="297"/>
      <c r="Z597" s="297"/>
      <c r="AA597" s="297"/>
      <c r="AB597" s="297"/>
      <c r="AC597" s="297"/>
      <c r="AD597" s="297"/>
      <c r="AE597" s="297"/>
      <c r="AF597" s="297"/>
      <c r="AG597" s="297"/>
      <c r="AH597" s="297"/>
      <c r="AI597" s="297"/>
      <c r="AJ597" s="297"/>
      <c r="AK597" s="297"/>
      <c r="AL597" s="297"/>
      <c r="AM597" s="297"/>
      <c r="AN597" s="297"/>
      <c r="AO597" s="297"/>
      <c r="AP597" s="297"/>
      <c r="AQ597" s="297"/>
      <c r="AR597" s="297"/>
      <c r="AS597" s="297"/>
      <c r="AT597" s="297"/>
      <c r="AU597" s="297"/>
      <c r="AV597" s="297"/>
      <c r="AW597" s="297"/>
      <c r="AX597" s="297"/>
      <c r="AY597" s="297"/>
      <c r="AZ597" s="297"/>
      <c r="BA597" s="297"/>
      <c r="BB597" s="297"/>
    </row>
    <row r="598" spans="1:54" thickBot="1">
      <c r="A598" s="298"/>
      <c r="B598" s="298"/>
      <c r="C598" s="298"/>
      <c r="D598" s="298"/>
      <c r="E598" s="298"/>
      <c r="F598" s="282"/>
      <c r="G598" s="298"/>
      <c r="H598" s="298"/>
      <c r="I598" s="282"/>
      <c r="J598" s="298"/>
      <c r="K598" s="566"/>
      <c r="L598" s="282"/>
      <c r="M598" s="282"/>
      <c r="N598" s="298"/>
      <c r="O598" s="282"/>
      <c r="P598" s="282"/>
      <c r="Q598" s="298"/>
      <c r="R598" s="282"/>
      <c r="S598" s="282"/>
      <c r="T598" s="298"/>
      <c r="U598" s="282"/>
      <c r="V598" s="298"/>
      <c r="W598" s="298"/>
      <c r="X598" s="297"/>
      <c r="Y598" s="297"/>
      <c r="Z598" s="297"/>
      <c r="AA598" s="297"/>
      <c r="AB598" s="297"/>
      <c r="AC598" s="297"/>
      <c r="AD598" s="297"/>
      <c r="AE598" s="297"/>
      <c r="AF598" s="297"/>
      <c r="AG598" s="297"/>
      <c r="AH598" s="297"/>
      <c r="AI598" s="297"/>
      <c r="AJ598" s="297"/>
      <c r="AK598" s="297"/>
      <c r="AL598" s="297"/>
      <c r="AM598" s="297"/>
      <c r="AN598" s="297"/>
      <c r="AO598" s="297"/>
      <c r="AP598" s="297"/>
      <c r="AQ598" s="297"/>
      <c r="AR598" s="297"/>
      <c r="AS598" s="297"/>
      <c r="AT598" s="297"/>
      <c r="AU598" s="297"/>
      <c r="AV598" s="297"/>
      <c r="AW598" s="297"/>
      <c r="AX598" s="297"/>
      <c r="AY598" s="297"/>
      <c r="AZ598" s="297"/>
      <c r="BA598" s="297"/>
      <c r="BB598" s="297"/>
    </row>
    <row r="599" spans="1:54" thickBot="1">
      <c r="A599" s="298"/>
      <c r="B599" s="298"/>
      <c r="C599" s="298"/>
      <c r="D599" s="298"/>
      <c r="E599" s="298"/>
      <c r="F599" s="282"/>
      <c r="G599" s="298"/>
      <c r="H599" s="298"/>
      <c r="I599" s="282"/>
      <c r="J599" s="298"/>
      <c r="K599" s="566"/>
      <c r="L599" s="282"/>
      <c r="M599" s="282"/>
      <c r="N599" s="298"/>
      <c r="O599" s="282"/>
      <c r="P599" s="282"/>
      <c r="Q599" s="298"/>
      <c r="R599" s="282"/>
      <c r="S599" s="282"/>
      <c r="T599" s="298"/>
      <c r="U599" s="282"/>
      <c r="V599" s="298"/>
      <c r="W599" s="298"/>
      <c r="X599" s="297"/>
      <c r="Y599" s="297"/>
      <c r="Z599" s="297"/>
      <c r="AA599" s="297"/>
      <c r="AB599" s="297"/>
      <c r="AC599" s="297"/>
      <c r="AD599" s="297"/>
      <c r="AE599" s="297"/>
      <c r="AF599" s="297"/>
      <c r="AG599" s="297"/>
      <c r="AH599" s="297"/>
      <c r="AI599" s="297"/>
      <c r="AJ599" s="297"/>
      <c r="AK599" s="297"/>
      <c r="AL599" s="297"/>
      <c r="AM599" s="297"/>
      <c r="AN599" s="297"/>
      <c r="AO599" s="297"/>
      <c r="AP599" s="297"/>
      <c r="AQ599" s="297"/>
      <c r="AR599" s="297"/>
      <c r="AS599" s="297"/>
      <c r="AT599" s="297"/>
      <c r="AU599" s="297"/>
      <c r="AV599" s="297"/>
      <c r="AW599" s="297"/>
      <c r="AX599" s="297"/>
      <c r="AY599" s="297"/>
      <c r="AZ599" s="297"/>
      <c r="BA599" s="297"/>
      <c r="BB599" s="297"/>
    </row>
    <row r="600" spans="1:54" thickBot="1">
      <c r="A600" s="298"/>
      <c r="B600" s="298"/>
      <c r="C600" s="298"/>
      <c r="D600" s="298"/>
      <c r="E600" s="298"/>
      <c r="F600" s="282"/>
      <c r="G600" s="298"/>
      <c r="H600" s="298"/>
      <c r="I600" s="282"/>
      <c r="J600" s="298"/>
      <c r="K600" s="566"/>
      <c r="L600" s="282"/>
      <c r="M600" s="282"/>
      <c r="N600" s="298"/>
      <c r="O600" s="282"/>
      <c r="P600" s="282"/>
      <c r="Q600" s="298"/>
      <c r="R600" s="282"/>
      <c r="S600" s="282"/>
      <c r="T600" s="298"/>
      <c r="U600" s="282"/>
      <c r="V600" s="298"/>
      <c r="W600" s="298"/>
      <c r="X600" s="297"/>
      <c r="Y600" s="297"/>
      <c r="Z600" s="297"/>
      <c r="AA600" s="297"/>
      <c r="AB600" s="297"/>
      <c r="AC600" s="297"/>
      <c r="AD600" s="297"/>
      <c r="AE600" s="297"/>
      <c r="AF600" s="297"/>
      <c r="AG600" s="297"/>
      <c r="AH600" s="297"/>
      <c r="AI600" s="297"/>
      <c r="AJ600" s="297"/>
      <c r="AK600" s="297"/>
      <c r="AL600" s="297"/>
      <c r="AM600" s="297"/>
      <c r="AN600" s="297"/>
      <c r="AO600" s="297"/>
      <c r="AP600" s="297"/>
      <c r="AQ600" s="297"/>
      <c r="AR600" s="297"/>
      <c r="AS600" s="297"/>
      <c r="AT600" s="297"/>
      <c r="AU600" s="297"/>
      <c r="AV600" s="297"/>
      <c r="AW600" s="297"/>
      <c r="AX600" s="297"/>
      <c r="AY600" s="297"/>
      <c r="AZ600" s="297"/>
      <c r="BA600" s="297"/>
      <c r="BB600" s="297"/>
    </row>
    <row r="601" spans="1:54" thickBot="1">
      <c r="A601" s="298"/>
      <c r="B601" s="298"/>
      <c r="C601" s="298"/>
      <c r="D601" s="298"/>
      <c r="E601" s="298"/>
      <c r="F601" s="282"/>
      <c r="G601" s="298"/>
      <c r="H601" s="298"/>
      <c r="I601" s="282"/>
      <c r="J601" s="298"/>
      <c r="K601" s="566"/>
      <c r="L601" s="282"/>
      <c r="M601" s="282"/>
      <c r="N601" s="298"/>
      <c r="O601" s="282"/>
      <c r="P601" s="282"/>
      <c r="Q601" s="298"/>
      <c r="R601" s="282"/>
      <c r="S601" s="282"/>
      <c r="T601" s="298"/>
      <c r="U601" s="282"/>
      <c r="V601" s="298"/>
      <c r="W601" s="298"/>
      <c r="X601" s="297"/>
      <c r="Y601" s="297"/>
      <c r="Z601" s="297"/>
      <c r="AA601" s="297"/>
      <c r="AB601" s="297"/>
      <c r="AC601" s="297"/>
      <c r="AD601" s="297"/>
      <c r="AE601" s="297"/>
      <c r="AF601" s="297"/>
      <c r="AG601" s="297"/>
      <c r="AH601" s="297"/>
      <c r="AI601" s="297"/>
      <c r="AJ601" s="297"/>
      <c r="AK601" s="297"/>
      <c r="AL601" s="297"/>
      <c r="AM601" s="297"/>
      <c r="AN601" s="297"/>
      <c r="AO601" s="297"/>
      <c r="AP601" s="297"/>
      <c r="AQ601" s="297"/>
      <c r="AR601" s="297"/>
      <c r="AS601" s="297"/>
      <c r="AT601" s="297"/>
      <c r="AU601" s="297"/>
      <c r="AV601" s="297"/>
      <c r="AW601" s="297"/>
      <c r="AX601" s="297"/>
      <c r="AY601" s="297"/>
      <c r="AZ601" s="297"/>
      <c r="BA601" s="297"/>
      <c r="BB601" s="297"/>
    </row>
    <row r="602" spans="1:54" thickBot="1">
      <c r="A602" s="298"/>
      <c r="B602" s="298"/>
      <c r="C602" s="298"/>
      <c r="D602" s="298"/>
      <c r="E602" s="298"/>
      <c r="F602" s="282"/>
      <c r="G602" s="298"/>
      <c r="H602" s="298"/>
      <c r="I602" s="282"/>
      <c r="J602" s="298"/>
      <c r="K602" s="566"/>
      <c r="L602" s="282"/>
      <c r="M602" s="282"/>
      <c r="N602" s="298"/>
      <c r="O602" s="282"/>
      <c r="P602" s="282"/>
      <c r="Q602" s="298"/>
      <c r="R602" s="282"/>
      <c r="S602" s="282"/>
      <c r="T602" s="298"/>
      <c r="U602" s="282"/>
      <c r="V602" s="298"/>
      <c r="W602" s="298"/>
      <c r="X602" s="297"/>
      <c r="Y602" s="297"/>
      <c r="Z602" s="297"/>
      <c r="AA602" s="297"/>
      <c r="AB602" s="297"/>
      <c r="AC602" s="297"/>
      <c r="AD602" s="297"/>
      <c r="AE602" s="297"/>
      <c r="AF602" s="297"/>
      <c r="AG602" s="297"/>
      <c r="AH602" s="297"/>
      <c r="AI602" s="297"/>
      <c r="AJ602" s="297"/>
      <c r="AK602" s="297"/>
      <c r="AL602" s="297"/>
      <c r="AM602" s="297"/>
      <c r="AN602" s="297"/>
      <c r="AO602" s="297"/>
      <c r="AP602" s="297"/>
      <c r="AQ602" s="297"/>
      <c r="AR602" s="297"/>
      <c r="AS602" s="297"/>
      <c r="AT602" s="297"/>
      <c r="AU602" s="297"/>
      <c r="AV602" s="297"/>
      <c r="AW602" s="297"/>
      <c r="AX602" s="297"/>
      <c r="AY602" s="297"/>
      <c r="AZ602" s="297"/>
      <c r="BA602" s="297"/>
      <c r="BB602" s="297"/>
    </row>
    <row r="603" spans="1:54" thickBot="1">
      <c r="A603" s="298"/>
      <c r="B603" s="298"/>
      <c r="C603" s="298"/>
      <c r="D603" s="298"/>
      <c r="E603" s="298"/>
      <c r="F603" s="282"/>
      <c r="G603" s="298"/>
      <c r="H603" s="298"/>
      <c r="I603" s="282"/>
      <c r="J603" s="298"/>
      <c r="K603" s="566"/>
      <c r="L603" s="282"/>
      <c r="M603" s="282"/>
      <c r="N603" s="298"/>
      <c r="O603" s="282"/>
      <c r="P603" s="282"/>
      <c r="Q603" s="298"/>
      <c r="R603" s="282"/>
      <c r="S603" s="282"/>
      <c r="T603" s="298"/>
      <c r="U603" s="282"/>
      <c r="V603" s="298"/>
      <c r="W603" s="298"/>
      <c r="X603" s="297"/>
      <c r="Y603" s="297"/>
      <c r="Z603" s="297"/>
      <c r="AA603" s="297"/>
      <c r="AB603" s="297"/>
      <c r="AC603" s="297"/>
      <c r="AD603" s="297"/>
      <c r="AE603" s="297"/>
      <c r="AF603" s="297"/>
      <c r="AG603" s="297"/>
      <c r="AH603" s="297"/>
      <c r="AI603" s="297"/>
      <c r="AJ603" s="297"/>
      <c r="AK603" s="297"/>
      <c r="AL603" s="297"/>
      <c r="AM603" s="297"/>
      <c r="AN603" s="297"/>
      <c r="AO603" s="297"/>
      <c r="AP603" s="297"/>
      <c r="AQ603" s="297"/>
      <c r="AR603" s="297"/>
      <c r="AS603" s="297"/>
      <c r="AT603" s="297"/>
      <c r="AU603" s="297"/>
      <c r="AV603" s="297"/>
      <c r="AW603" s="297"/>
      <c r="AX603" s="297"/>
      <c r="AY603" s="297"/>
      <c r="AZ603" s="297"/>
      <c r="BA603" s="297"/>
      <c r="BB603" s="297"/>
    </row>
    <row r="604" spans="1:54" thickBot="1">
      <c r="A604" s="298"/>
      <c r="B604" s="298"/>
      <c r="C604" s="298"/>
      <c r="D604" s="298"/>
      <c r="E604" s="298"/>
      <c r="F604" s="282"/>
      <c r="G604" s="298"/>
      <c r="H604" s="298"/>
      <c r="I604" s="282"/>
      <c r="J604" s="298"/>
      <c r="K604" s="566"/>
      <c r="L604" s="282"/>
      <c r="M604" s="282"/>
      <c r="N604" s="298"/>
      <c r="O604" s="282"/>
      <c r="P604" s="282"/>
      <c r="Q604" s="298"/>
      <c r="R604" s="282"/>
      <c r="S604" s="282"/>
      <c r="T604" s="298"/>
      <c r="U604" s="282"/>
      <c r="V604" s="298"/>
      <c r="W604" s="298"/>
      <c r="X604" s="297"/>
      <c r="Y604" s="297"/>
      <c r="Z604" s="297"/>
      <c r="AA604" s="297"/>
      <c r="AB604" s="297"/>
      <c r="AC604" s="297"/>
      <c r="AD604" s="297"/>
      <c r="AE604" s="297"/>
      <c r="AF604" s="297"/>
      <c r="AG604" s="297"/>
      <c r="AH604" s="297"/>
      <c r="AI604" s="297"/>
      <c r="AJ604" s="297"/>
      <c r="AK604" s="297"/>
      <c r="AL604" s="297"/>
      <c r="AM604" s="297"/>
      <c r="AN604" s="297"/>
      <c r="AO604" s="297"/>
      <c r="AP604" s="297"/>
      <c r="AQ604" s="297"/>
      <c r="AR604" s="297"/>
      <c r="AS604" s="297"/>
      <c r="AT604" s="297"/>
      <c r="AU604" s="297"/>
      <c r="AV604" s="297"/>
      <c r="AW604" s="297"/>
      <c r="AX604" s="297"/>
      <c r="AY604" s="297"/>
      <c r="AZ604" s="297"/>
      <c r="BA604" s="297"/>
      <c r="BB604" s="297"/>
    </row>
    <row r="605" spans="1:54" thickBot="1">
      <c r="A605" s="298"/>
      <c r="B605" s="298"/>
      <c r="C605" s="298"/>
      <c r="D605" s="298"/>
      <c r="E605" s="298"/>
      <c r="F605" s="282"/>
      <c r="G605" s="298"/>
      <c r="H605" s="298"/>
      <c r="I605" s="282"/>
      <c r="J605" s="298"/>
      <c r="K605" s="566"/>
      <c r="L605" s="282"/>
      <c r="M605" s="282"/>
      <c r="N605" s="298"/>
      <c r="O605" s="282"/>
      <c r="P605" s="282"/>
      <c r="Q605" s="298"/>
      <c r="R605" s="282"/>
      <c r="S605" s="282"/>
      <c r="T605" s="298"/>
      <c r="U605" s="282"/>
      <c r="V605" s="298"/>
      <c r="W605" s="298"/>
      <c r="X605" s="297"/>
      <c r="Y605" s="297"/>
      <c r="Z605" s="297"/>
      <c r="AA605" s="297"/>
      <c r="AB605" s="297"/>
      <c r="AC605" s="297"/>
      <c r="AD605" s="297"/>
      <c r="AE605" s="297"/>
      <c r="AF605" s="297"/>
      <c r="AG605" s="297"/>
      <c r="AH605" s="297"/>
      <c r="AI605" s="297"/>
      <c r="AJ605" s="297"/>
      <c r="AK605" s="297"/>
      <c r="AL605" s="297"/>
      <c r="AM605" s="297"/>
      <c r="AN605" s="297"/>
      <c r="AO605" s="297"/>
      <c r="AP605" s="297"/>
      <c r="AQ605" s="297"/>
      <c r="AR605" s="297"/>
      <c r="AS605" s="297"/>
      <c r="AT605" s="297"/>
      <c r="AU605" s="297"/>
      <c r="AV605" s="297"/>
      <c r="AW605" s="297"/>
      <c r="AX605" s="297"/>
      <c r="AY605" s="297"/>
      <c r="AZ605" s="297"/>
      <c r="BA605" s="297"/>
      <c r="BB605" s="297"/>
    </row>
    <row r="606" spans="1:54" thickBot="1">
      <c r="A606" s="298"/>
      <c r="B606" s="298"/>
      <c r="C606" s="298"/>
      <c r="D606" s="298"/>
      <c r="E606" s="298"/>
      <c r="F606" s="282"/>
      <c r="G606" s="298"/>
      <c r="H606" s="298"/>
      <c r="I606" s="282"/>
      <c r="J606" s="298"/>
      <c r="K606" s="566"/>
      <c r="L606" s="282"/>
      <c r="M606" s="282"/>
      <c r="N606" s="298"/>
      <c r="O606" s="282"/>
      <c r="P606" s="282"/>
      <c r="Q606" s="298"/>
      <c r="R606" s="282"/>
      <c r="S606" s="282"/>
      <c r="T606" s="298"/>
      <c r="U606" s="282"/>
      <c r="V606" s="298"/>
      <c r="W606" s="298"/>
      <c r="X606" s="297"/>
      <c r="Y606" s="297"/>
      <c r="Z606" s="297"/>
      <c r="AA606" s="297"/>
      <c r="AB606" s="297"/>
      <c r="AC606" s="297"/>
      <c r="AD606" s="297"/>
      <c r="AE606" s="297"/>
      <c r="AF606" s="297"/>
      <c r="AG606" s="297"/>
      <c r="AH606" s="297"/>
      <c r="AI606" s="297"/>
      <c r="AJ606" s="297"/>
      <c r="AK606" s="297"/>
      <c r="AL606" s="297"/>
      <c r="AM606" s="297"/>
      <c r="AN606" s="297"/>
      <c r="AO606" s="297"/>
      <c r="AP606" s="297"/>
      <c r="AQ606" s="297"/>
      <c r="AR606" s="297"/>
      <c r="AS606" s="297"/>
      <c r="AT606" s="297"/>
      <c r="AU606" s="297"/>
      <c r="AV606" s="297"/>
      <c r="AW606" s="297"/>
      <c r="AX606" s="297"/>
      <c r="AY606" s="297"/>
      <c r="AZ606" s="297"/>
      <c r="BA606" s="297"/>
      <c r="BB606" s="297"/>
    </row>
    <row r="607" spans="1:54" thickBot="1">
      <c r="A607" s="298"/>
      <c r="B607" s="298"/>
      <c r="C607" s="298"/>
      <c r="D607" s="298"/>
      <c r="E607" s="298"/>
      <c r="F607" s="282"/>
      <c r="G607" s="298"/>
      <c r="H607" s="298"/>
      <c r="I607" s="282"/>
      <c r="J607" s="298"/>
      <c r="K607" s="566"/>
      <c r="L607" s="282"/>
      <c r="M607" s="282"/>
      <c r="N607" s="298"/>
      <c r="O607" s="282"/>
      <c r="P607" s="282"/>
      <c r="Q607" s="298"/>
      <c r="R607" s="282"/>
      <c r="S607" s="282"/>
      <c r="T607" s="298"/>
      <c r="U607" s="282"/>
      <c r="V607" s="298"/>
      <c r="W607" s="298"/>
      <c r="X607" s="297"/>
      <c r="Y607" s="297"/>
      <c r="Z607" s="297"/>
      <c r="AA607" s="297"/>
      <c r="AB607" s="297"/>
      <c r="AC607" s="297"/>
      <c r="AD607" s="297"/>
      <c r="AE607" s="297"/>
      <c r="AF607" s="297"/>
      <c r="AG607" s="297"/>
      <c r="AH607" s="297"/>
      <c r="AI607" s="297"/>
      <c r="AJ607" s="297"/>
      <c r="AK607" s="297"/>
      <c r="AL607" s="297"/>
      <c r="AM607" s="297"/>
      <c r="AN607" s="297"/>
      <c r="AO607" s="297"/>
      <c r="AP607" s="297"/>
      <c r="AQ607" s="297"/>
      <c r="AR607" s="297"/>
      <c r="AS607" s="297"/>
      <c r="AT607" s="297"/>
      <c r="AU607" s="297"/>
      <c r="AV607" s="297"/>
      <c r="AW607" s="297"/>
      <c r="AX607" s="297"/>
      <c r="AY607" s="297"/>
      <c r="AZ607" s="297"/>
      <c r="BA607" s="297"/>
      <c r="BB607" s="297"/>
    </row>
    <row r="608" spans="1:54" thickBot="1">
      <c r="A608" s="298"/>
      <c r="B608" s="298"/>
      <c r="C608" s="298"/>
      <c r="D608" s="298"/>
      <c r="E608" s="298"/>
      <c r="F608" s="282"/>
      <c r="G608" s="298"/>
      <c r="H608" s="298"/>
      <c r="I608" s="282"/>
      <c r="J608" s="298"/>
      <c r="K608" s="566"/>
      <c r="L608" s="282"/>
      <c r="M608" s="282"/>
      <c r="N608" s="298"/>
      <c r="O608" s="282"/>
      <c r="P608" s="282"/>
      <c r="Q608" s="298"/>
      <c r="R608" s="282"/>
      <c r="S608" s="282"/>
      <c r="T608" s="298"/>
      <c r="U608" s="282"/>
      <c r="V608" s="298"/>
      <c r="W608" s="298"/>
      <c r="X608" s="297"/>
      <c r="Y608" s="297"/>
      <c r="Z608" s="297"/>
      <c r="AA608" s="297"/>
      <c r="AB608" s="297"/>
      <c r="AC608" s="297"/>
      <c r="AD608" s="297"/>
      <c r="AE608" s="297"/>
      <c r="AF608" s="297"/>
      <c r="AG608" s="297"/>
      <c r="AH608" s="297"/>
      <c r="AI608" s="297"/>
      <c r="AJ608" s="297"/>
      <c r="AK608" s="297"/>
      <c r="AL608" s="297"/>
      <c r="AM608" s="297"/>
      <c r="AN608" s="297"/>
      <c r="AO608" s="297"/>
      <c r="AP608" s="297"/>
      <c r="AQ608" s="297"/>
      <c r="AR608" s="297"/>
      <c r="AS608" s="297"/>
      <c r="AT608" s="297"/>
      <c r="AU608" s="297"/>
      <c r="AV608" s="297"/>
      <c r="AW608" s="297"/>
      <c r="AX608" s="297"/>
      <c r="AY608" s="297"/>
      <c r="AZ608" s="297"/>
      <c r="BA608" s="297"/>
      <c r="BB608" s="297"/>
    </row>
    <row r="609" spans="1:54" thickBot="1">
      <c r="A609" s="298"/>
      <c r="B609" s="298"/>
      <c r="C609" s="298"/>
      <c r="D609" s="298"/>
      <c r="E609" s="298"/>
      <c r="F609" s="282"/>
      <c r="G609" s="298"/>
      <c r="H609" s="298"/>
      <c r="I609" s="282"/>
      <c r="J609" s="298"/>
      <c r="K609" s="566"/>
      <c r="L609" s="282"/>
      <c r="M609" s="282"/>
      <c r="N609" s="298"/>
      <c r="O609" s="282"/>
      <c r="P609" s="282"/>
      <c r="Q609" s="298"/>
      <c r="R609" s="282"/>
      <c r="S609" s="282"/>
      <c r="T609" s="298"/>
      <c r="U609" s="282"/>
      <c r="V609" s="298"/>
      <c r="W609" s="298"/>
      <c r="X609" s="297"/>
      <c r="Y609" s="297"/>
      <c r="Z609" s="297"/>
      <c r="AA609" s="297"/>
      <c r="AB609" s="297"/>
      <c r="AC609" s="297"/>
      <c r="AD609" s="297"/>
      <c r="AE609" s="297"/>
      <c r="AF609" s="297"/>
      <c r="AG609" s="297"/>
      <c r="AH609" s="297"/>
      <c r="AI609" s="297"/>
      <c r="AJ609" s="297"/>
      <c r="AK609" s="297"/>
      <c r="AL609" s="297"/>
      <c r="AM609" s="297"/>
      <c r="AN609" s="297"/>
      <c r="AO609" s="297"/>
      <c r="AP609" s="297"/>
      <c r="AQ609" s="297"/>
      <c r="AR609" s="297"/>
      <c r="AS609" s="297"/>
      <c r="AT609" s="297"/>
      <c r="AU609" s="297"/>
      <c r="AV609" s="297"/>
      <c r="AW609" s="297"/>
      <c r="AX609" s="297"/>
      <c r="AY609" s="297"/>
      <c r="AZ609" s="297"/>
      <c r="BA609" s="297"/>
      <c r="BB609" s="297"/>
    </row>
    <row r="610" spans="1:54" thickBot="1">
      <c r="A610" s="298"/>
      <c r="B610" s="298"/>
      <c r="C610" s="298"/>
      <c r="D610" s="298"/>
      <c r="E610" s="298"/>
      <c r="F610" s="282"/>
      <c r="G610" s="298"/>
      <c r="H610" s="298"/>
      <c r="I610" s="282"/>
      <c r="J610" s="298"/>
      <c r="K610" s="566"/>
      <c r="L610" s="282"/>
      <c r="M610" s="282"/>
      <c r="N610" s="298"/>
      <c r="O610" s="282"/>
      <c r="P610" s="282"/>
      <c r="Q610" s="298"/>
      <c r="R610" s="282"/>
      <c r="S610" s="282"/>
      <c r="T610" s="298"/>
      <c r="U610" s="282"/>
      <c r="V610" s="298"/>
      <c r="W610" s="298"/>
      <c r="X610" s="297"/>
      <c r="Y610" s="297"/>
      <c r="Z610" s="297"/>
      <c r="AA610" s="297"/>
      <c r="AB610" s="297"/>
      <c r="AC610" s="297"/>
      <c r="AD610" s="297"/>
      <c r="AE610" s="297"/>
      <c r="AF610" s="297"/>
      <c r="AG610" s="297"/>
      <c r="AH610" s="297"/>
      <c r="AI610" s="297"/>
      <c r="AJ610" s="297"/>
      <c r="AK610" s="297"/>
      <c r="AL610" s="297"/>
      <c r="AM610" s="297"/>
      <c r="AN610" s="297"/>
      <c r="AO610" s="297"/>
      <c r="AP610" s="297"/>
      <c r="AQ610" s="297"/>
      <c r="AR610" s="297"/>
      <c r="AS610" s="297"/>
      <c r="AT610" s="297"/>
      <c r="AU610" s="297"/>
      <c r="AV610" s="297"/>
      <c r="AW610" s="297"/>
      <c r="AX610" s="297"/>
      <c r="AY610" s="297"/>
      <c r="AZ610" s="297"/>
      <c r="BA610" s="297"/>
      <c r="BB610" s="297"/>
    </row>
    <row r="611" spans="1:54" thickBot="1">
      <c r="A611" s="298"/>
      <c r="B611" s="298"/>
      <c r="C611" s="298"/>
      <c r="D611" s="298"/>
      <c r="E611" s="298"/>
      <c r="F611" s="282"/>
      <c r="G611" s="298"/>
      <c r="H611" s="298"/>
      <c r="I611" s="282"/>
      <c r="J611" s="298"/>
      <c r="K611" s="566"/>
      <c r="L611" s="282"/>
      <c r="M611" s="282"/>
      <c r="N611" s="298"/>
      <c r="O611" s="282"/>
      <c r="P611" s="282"/>
      <c r="Q611" s="298"/>
      <c r="R611" s="282"/>
      <c r="S611" s="282"/>
      <c r="T611" s="298"/>
      <c r="U611" s="282"/>
      <c r="V611" s="298"/>
      <c r="W611" s="298"/>
      <c r="X611" s="297"/>
      <c r="Y611" s="297"/>
      <c r="Z611" s="297"/>
      <c r="AA611" s="297"/>
      <c r="AB611" s="297"/>
      <c r="AC611" s="297"/>
      <c r="AD611" s="297"/>
      <c r="AE611" s="297"/>
      <c r="AF611" s="297"/>
      <c r="AG611" s="297"/>
      <c r="AH611" s="297"/>
      <c r="AI611" s="297"/>
      <c r="AJ611" s="297"/>
      <c r="AK611" s="297"/>
      <c r="AL611" s="297"/>
      <c r="AM611" s="297"/>
      <c r="AN611" s="297"/>
      <c r="AO611" s="297"/>
      <c r="AP611" s="297"/>
      <c r="AQ611" s="297"/>
      <c r="AR611" s="297"/>
      <c r="AS611" s="297"/>
      <c r="AT611" s="297"/>
      <c r="AU611" s="297"/>
      <c r="AV611" s="297"/>
      <c r="AW611" s="297"/>
      <c r="AX611" s="297"/>
      <c r="AY611" s="297"/>
      <c r="AZ611" s="297"/>
      <c r="BA611" s="297"/>
      <c r="BB611" s="297"/>
    </row>
    <row r="612" spans="1:54" thickBot="1">
      <c r="A612" s="298"/>
      <c r="B612" s="298"/>
      <c r="C612" s="298"/>
      <c r="D612" s="298"/>
      <c r="E612" s="298"/>
      <c r="F612" s="282"/>
      <c r="G612" s="298"/>
      <c r="H612" s="298"/>
      <c r="I612" s="282"/>
      <c r="J612" s="298"/>
      <c r="K612" s="566"/>
      <c r="L612" s="282"/>
      <c r="M612" s="282"/>
      <c r="N612" s="298"/>
      <c r="O612" s="282"/>
      <c r="P612" s="282"/>
      <c r="Q612" s="298"/>
      <c r="R612" s="282"/>
      <c r="S612" s="282"/>
      <c r="T612" s="298"/>
      <c r="U612" s="282"/>
      <c r="V612" s="298"/>
      <c r="W612" s="298"/>
      <c r="X612" s="297"/>
      <c r="Y612" s="297"/>
      <c r="Z612" s="297"/>
      <c r="AA612" s="297"/>
      <c r="AB612" s="297"/>
      <c r="AC612" s="297"/>
      <c r="AD612" s="297"/>
      <c r="AE612" s="297"/>
      <c r="AF612" s="297"/>
      <c r="AG612" s="297"/>
      <c r="AH612" s="297"/>
      <c r="AI612" s="297"/>
      <c r="AJ612" s="297"/>
      <c r="AK612" s="297"/>
      <c r="AL612" s="297"/>
      <c r="AM612" s="297"/>
      <c r="AN612" s="297"/>
      <c r="AO612" s="297"/>
      <c r="AP612" s="297"/>
      <c r="AQ612" s="297"/>
      <c r="AR612" s="297"/>
      <c r="AS612" s="297"/>
      <c r="AT612" s="297"/>
      <c r="AU612" s="297"/>
      <c r="AV612" s="297"/>
      <c r="AW612" s="297"/>
      <c r="AX612" s="297"/>
      <c r="AY612" s="297"/>
      <c r="AZ612" s="297"/>
      <c r="BA612" s="297"/>
      <c r="BB612" s="297"/>
    </row>
    <row r="613" spans="1:54" thickBot="1">
      <c r="A613" s="298"/>
      <c r="B613" s="298"/>
      <c r="C613" s="298"/>
      <c r="D613" s="298"/>
      <c r="E613" s="298"/>
      <c r="F613" s="282"/>
      <c r="G613" s="298"/>
      <c r="H613" s="298"/>
      <c r="I613" s="282"/>
      <c r="J613" s="298"/>
      <c r="K613" s="566"/>
      <c r="L613" s="282"/>
      <c r="M613" s="282"/>
      <c r="N613" s="298"/>
      <c r="O613" s="282"/>
      <c r="P613" s="282"/>
      <c r="Q613" s="298"/>
      <c r="R613" s="282"/>
      <c r="S613" s="282"/>
      <c r="T613" s="298"/>
      <c r="U613" s="282"/>
      <c r="V613" s="298"/>
      <c r="W613" s="298"/>
      <c r="X613" s="297"/>
      <c r="Y613" s="297"/>
      <c r="Z613" s="297"/>
      <c r="AA613" s="297"/>
      <c r="AB613" s="297"/>
      <c r="AC613" s="297"/>
      <c r="AD613" s="297"/>
      <c r="AE613" s="297"/>
      <c r="AF613" s="297"/>
      <c r="AG613" s="297"/>
      <c r="AH613" s="297"/>
      <c r="AI613" s="297"/>
      <c r="AJ613" s="297"/>
      <c r="AK613" s="297"/>
      <c r="AL613" s="297"/>
      <c r="AM613" s="297"/>
      <c r="AN613" s="297"/>
      <c r="AO613" s="297"/>
      <c r="AP613" s="297"/>
      <c r="AQ613" s="297"/>
      <c r="AR613" s="297"/>
      <c r="AS613" s="297"/>
      <c r="AT613" s="297"/>
      <c r="AU613" s="297"/>
      <c r="AV613" s="297"/>
      <c r="AW613" s="297"/>
      <c r="AX613" s="297"/>
      <c r="AY613" s="297"/>
      <c r="AZ613" s="297"/>
      <c r="BA613" s="297"/>
      <c r="BB613" s="297"/>
    </row>
    <row r="614" spans="1:54" thickBot="1">
      <c r="A614" s="298"/>
      <c r="B614" s="298"/>
      <c r="C614" s="298"/>
      <c r="D614" s="298"/>
      <c r="E614" s="298"/>
      <c r="F614" s="282"/>
      <c r="G614" s="298"/>
      <c r="H614" s="298"/>
      <c r="I614" s="282"/>
      <c r="J614" s="298"/>
      <c r="K614" s="566"/>
      <c r="L614" s="282"/>
      <c r="M614" s="282"/>
      <c r="N614" s="298"/>
      <c r="O614" s="282"/>
      <c r="P614" s="282"/>
      <c r="Q614" s="298"/>
      <c r="R614" s="282"/>
      <c r="S614" s="282"/>
      <c r="T614" s="298"/>
      <c r="U614" s="282"/>
      <c r="V614" s="298"/>
      <c r="W614" s="298"/>
      <c r="X614" s="297"/>
      <c r="Y614" s="297"/>
      <c r="Z614" s="297"/>
      <c r="AA614" s="297"/>
      <c r="AB614" s="297"/>
      <c r="AC614" s="297"/>
      <c r="AD614" s="297"/>
      <c r="AE614" s="297"/>
      <c r="AF614" s="297"/>
      <c r="AG614" s="297"/>
      <c r="AH614" s="297"/>
      <c r="AI614" s="297"/>
      <c r="AJ614" s="297"/>
      <c r="AK614" s="297"/>
      <c r="AL614" s="297"/>
      <c r="AM614" s="297"/>
      <c r="AN614" s="297"/>
      <c r="AO614" s="297"/>
      <c r="AP614" s="297"/>
      <c r="AQ614" s="297"/>
      <c r="AR614" s="297"/>
      <c r="AS614" s="297"/>
      <c r="AT614" s="297"/>
      <c r="AU614" s="297"/>
      <c r="AV614" s="297"/>
      <c r="AW614" s="297"/>
      <c r="AX614" s="297"/>
      <c r="AY614" s="297"/>
      <c r="AZ614" s="297"/>
      <c r="BA614" s="297"/>
      <c r="BB614" s="297"/>
    </row>
    <row r="615" spans="1:54" thickBot="1">
      <c r="A615" s="298"/>
      <c r="B615" s="298"/>
      <c r="C615" s="298"/>
      <c r="D615" s="298"/>
      <c r="E615" s="298"/>
      <c r="F615" s="282"/>
      <c r="G615" s="298"/>
      <c r="H615" s="298"/>
      <c r="I615" s="282"/>
      <c r="J615" s="298"/>
      <c r="K615" s="566"/>
      <c r="L615" s="282"/>
      <c r="M615" s="282"/>
      <c r="N615" s="298"/>
      <c r="O615" s="282"/>
      <c r="P615" s="282"/>
      <c r="Q615" s="298"/>
      <c r="R615" s="282"/>
      <c r="S615" s="282"/>
      <c r="T615" s="298"/>
      <c r="U615" s="282"/>
      <c r="V615" s="298"/>
      <c r="W615" s="298"/>
      <c r="X615" s="297"/>
      <c r="Y615" s="297"/>
      <c r="Z615" s="297"/>
      <c r="AA615" s="297"/>
      <c r="AB615" s="297"/>
      <c r="AC615" s="297"/>
      <c r="AD615" s="297"/>
      <c r="AE615" s="297"/>
      <c r="AF615" s="297"/>
      <c r="AG615" s="297"/>
      <c r="AH615" s="297"/>
      <c r="AI615" s="297"/>
      <c r="AJ615" s="297"/>
      <c r="AK615" s="297"/>
      <c r="AL615" s="297"/>
      <c r="AM615" s="297"/>
      <c r="AN615" s="297"/>
      <c r="AO615" s="297"/>
      <c r="AP615" s="297"/>
      <c r="AQ615" s="297"/>
      <c r="AR615" s="297"/>
      <c r="AS615" s="297"/>
      <c r="AT615" s="297"/>
      <c r="AU615" s="297"/>
      <c r="AV615" s="297"/>
      <c r="AW615" s="297"/>
      <c r="AX615" s="297"/>
      <c r="AY615" s="297"/>
      <c r="AZ615" s="297"/>
      <c r="BA615" s="297"/>
      <c r="BB615" s="297"/>
    </row>
    <row r="616" spans="1:54" thickBot="1">
      <c r="A616" s="298"/>
      <c r="B616" s="298"/>
      <c r="C616" s="298"/>
      <c r="D616" s="298"/>
      <c r="E616" s="298"/>
      <c r="F616" s="282"/>
      <c r="G616" s="298"/>
      <c r="H616" s="298"/>
      <c r="I616" s="282"/>
      <c r="J616" s="298"/>
      <c r="K616" s="566"/>
      <c r="L616" s="282"/>
      <c r="M616" s="282"/>
      <c r="N616" s="298"/>
      <c r="O616" s="282"/>
      <c r="P616" s="282"/>
      <c r="Q616" s="298"/>
      <c r="R616" s="282"/>
      <c r="S616" s="282"/>
      <c r="T616" s="298"/>
      <c r="U616" s="282"/>
      <c r="V616" s="298"/>
      <c r="W616" s="298"/>
      <c r="X616" s="297"/>
      <c r="Y616" s="297"/>
      <c r="Z616" s="297"/>
      <c r="AA616" s="297"/>
      <c r="AB616" s="297"/>
      <c r="AC616" s="297"/>
      <c r="AD616" s="297"/>
      <c r="AE616" s="297"/>
      <c r="AF616" s="297"/>
      <c r="AG616" s="297"/>
      <c r="AH616" s="297"/>
      <c r="AI616" s="297"/>
      <c r="AJ616" s="297"/>
      <c r="AK616" s="297"/>
      <c r="AL616" s="297"/>
      <c r="AM616" s="297"/>
      <c r="AN616" s="297"/>
      <c r="AO616" s="297"/>
      <c r="AP616" s="297"/>
      <c r="AQ616" s="297"/>
      <c r="AR616" s="297"/>
      <c r="AS616" s="297"/>
      <c r="AT616" s="297"/>
      <c r="AU616" s="297"/>
      <c r="AV616" s="297"/>
      <c r="AW616" s="297"/>
      <c r="AX616" s="297"/>
      <c r="AY616" s="297"/>
      <c r="AZ616" s="297"/>
      <c r="BA616" s="297"/>
      <c r="BB616" s="297"/>
    </row>
    <row r="617" spans="1:54" thickBot="1">
      <c r="A617" s="298"/>
      <c r="B617" s="298"/>
      <c r="C617" s="298"/>
      <c r="D617" s="298"/>
      <c r="E617" s="298"/>
      <c r="F617" s="282"/>
      <c r="G617" s="298"/>
      <c r="H617" s="298"/>
      <c r="I617" s="282"/>
      <c r="J617" s="298"/>
      <c r="K617" s="566"/>
      <c r="L617" s="282"/>
      <c r="M617" s="282"/>
      <c r="N617" s="298"/>
      <c r="O617" s="282"/>
      <c r="P617" s="282"/>
      <c r="Q617" s="298"/>
      <c r="R617" s="282"/>
      <c r="S617" s="282"/>
      <c r="T617" s="298"/>
      <c r="U617" s="282"/>
      <c r="V617" s="298"/>
      <c r="W617" s="298"/>
      <c r="X617" s="297"/>
      <c r="Y617" s="297"/>
      <c r="Z617" s="297"/>
      <c r="AA617" s="297"/>
      <c r="AB617" s="297"/>
      <c r="AC617" s="297"/>
      <c r="AD617" s="297"/>
      <c r="AE617" s="297"/>
      <c r="AF617" s="297"/>
      <c r="AG617" s="297"/>
      <c r="AH617" s="297"/>
      <c r="AI617" s="297"/>
      <c r="AJ617" s="297"/>
      <c r="AK617" s="297"/>
      <c r="AL617" s="297"/>
      <c r="AM617" s="297"/>
      <c r="AN617" s="297"/>
      <c r="AO617" s="297"/>
      <c r="AP617" s="297"/>
      <c r="AQ617" s="297"/>
      <c r="AR617" s="297"/>
      <c r="AS617" s="297"/>
      <c r="AT617" s="297"/>
      <c r="AU617" s="297"/>
      <c r="AV617" s="297"/>
      <c r="AW617" s="297"/>
      <c r="AX617" s="297"/>
      <c r="AY617" s="297"/>
      <c r="AZ617" s="297"/>
      <c r="BA617" s="297"/>
      <c r="BB617" s="297"/>
    </row>
    <row r="618" spans="1:54" thickBot="1">
      <c r="A618" s="298"/>
      <c r="B618" s="298"/>
      <c r="C618" s="298"/>
      <c r="D618" s="298"/>
      <c r="E618" s="298"/>
      <c r="F618" s="282"/>
      <c r="G618" s="298"/>
      <c r="H618" s="298"/>
      <c r="I618" s="282"/>
      <c r="J618" s="298"/>
      <c r="K618" s="566"/>
      <c r="L618" s="282"/>
      <c r="M618" s="282"/>
      <c r="N618" s="298"/>
      <c r="O618" s="282"/>
      <c r="P618" s="282"/>
      <c r="Q618" s="298"/>
      <c r="R618" s="282"/>
      <c r="S618" s="282"/>
      <c r="T618" s="298"/>
      <c r="U618" s="282"/>
      <c r="V618" s="298"/>
      <c r="W618" s="298"/>
      <c r="X618" s="297"/>
      <c r="Y618" s="297"/>
      <c r="Z618" s="297"/>
      <c r="AA618" s="297"/>
      <c r="AB618" s="297"/>
      <c r="AC618" s="297"/>
      <c r="AD618" s="297"/>
      <c r="AE618" s="297"/>
      <c r="AF618" s="297"/>
      <c r="AG618" s="297"/>
      <c r="AH618" s="297"/>
      <c r="AI618" s="297"/>
      <c r="AJ618" s="297"/>
      <c r="AK618" s="297"/>
      <c r="AL618" s="297"/>
      <c r="AM618" s="297"/>
      <c r="AN618" s="297"/>
      <c r="AO618" s="297"/>
      <c r="AP618" s="297"/>
      <c r="AQ618" s="297"/>
      <c r="AR618" s="297"/>
      <c r="AS618" s="297"/>
      <c r="AT618" s="297"/>
      <c r="AU618" s="297"/>
      <c r="AV618" s="297"/>
      <c r="AW618" s="297"/>
      <c r="AX618" s="297"/>
      <c r="AY618" s="297"/>
      <c r="AZ618" s="297"/>
      <c r="BA618" s="297"/>
      <c r="BB618" s="297"/>
    </row>
    <row r="619" spans="1:54" thickBot="1">
      <c r="A619" s="298"/>
      <c r="B619" s="298"/>
      <c r="C619" s="298"/>
      <c r="D619" s="298"/>
      <c r="E619" s="298"/>
      <c r="F619" s="282"/>
      <c r="G619" s="298"/>
      <c r="H619" s="298"/>
      <c r="I619" s="282"/>
      <c r="J619" s="298"/>
      <c r="K619" s="566"/>
      <c r="L619" s="282"/>
      <c r="M619" s="282"/>
      <c r="N619" s="298"/>
      <c r="O619" s="282"/>
      <c r="P619" s="282"/>
      <c r="Q619" s="298"/>
      <c r="R619" s="282"/>
      <c r="S619" s="282"/>
      <c r="T619" s="298"/>
      <c r="U619" s="282"/>
      <c r="V619" s="298"/>
      <c r="W619" s="298"/>
      <c r="X619" s="297"/>
      <c r="Y619" s="297"/>
      <c r="Z619" s="297"/>
      <c r="AA619" s="297"/>
      <c r="AB619" s="297"/>
      <c r="AC619" s="297"/>
      <c r="AD619" s="297"/>
      <c r="AE619" s="297"/>
      <c r="AF619" s="297"/>
      <c r="AG619" s="297"/>
      <c r="AH619" s="297"/>
      <c r="AI619" s="297"/>
      <c r="AJ619" s="297"/>
      <c r="AK619" s="297"/>
      <c r="AL619" s="297"/>
      <c r="AM619" s="297"/>
      <c r="AN619" s="297"/>
      <c r="AO619" s="297"/>
      <c r="AP619" s="297"/>
      <c r="AQ619" s="297"/>
      <c r="AR619" s="297"/>
      <c r="AS619" s="297"/>
      <c r="AT619" s="297"/>
      <c r="AU619" s="297"/>
      <c r="AV619" s="297"/>
      <c r="AW619" s="297"/>
      <c r="AX619" s="297"/>
      <c r="AY619" s="297"/>
      <c r="AZ619" s="297"/>
      <c r="BA619" s="297"/>
      <c r="BB619" s="297"/>
    </row>
    <row r="620" spans="1:54" thickBot="1">
      <c r="A620" s="298"/>
      <c r="B620" s="298"/>
      <c r="C620" s="298"/>
      <c r="D620" s="298"/>
      <c r="E620" s="298"/>
      <c r="F620" s="282"/>
      <c r="G620" s="298"/>
      <c r="H620" s="298"/>
      <c r="I620" s="282"/>
      <c r="J620" s="298"/>
      <c r="K620" s="566"/>
      <c r="L620" s="282"/>
      <c r="M620" s="282"/>
      <c r="N620" s="298"/>
      <c r="O620" s="282"/>
      <c r="P620" s="282"/>
      <c r="Q620" s="298"/>
      <c r="R620" s="282"/>
      <c r="S620" s="282"/>
      <c r="T620" s="298"/>
      <c r="U620" s="282"/>
      <c r="V620" s="298"/>
      <c r="W620" s="298"/>
      <c r="X620" s="297"/>
      <c r="Y620" s="297"/>
      <c r="Z620" s="297"/>
      <c r="AA620" s="297"/>
      <c r="AB620" s="297"/>
      <c r="AC620" s="297"/>
      <c r="AD620" s="297"/>
      <c r="AE620" s="297"/>
      <c r="AF620" s="297"/>
      <c r="AG620" s="297"/>
      <c r="AH620" s="297"/>
      <c r="AI620" s="297"/>
      <c r="AJ620" s="297"/>
      <c r="AK620" s="297"/>
      <c r="AL620" s="297"/>
      <c r="AM620" s="297"/>
      <c r="AN620" s="297"/>
      <c r="AO620" s="297"/>
      <c r="AP620" s="297"/>
      <c r="AQ620" s="297"/>
      <c r="AR620" s="297"/>
      <c r="AS620" s="297"/>
      <c r="AT620" s="297"/>
      <c r="AU620" s="297"/>
      <c r="AV620" s="297"/>
      <c r="AW620" s="297"/>
      <c r="AX620" s="297"/>
      <c r="AY620" s="297"/>
      <c r="AZ620" s="297"/>
      <c r="BA620" s="297"/>
      <c r="BB620" s="297"/>
    </row>
    <row r="621" spans="1:54" thickBot="1">
      <c r="A621" s="298"/>
      <c r="B621" s="298"/>
      <c r="C621" s="298"/>
      <c r="D621" s="298"/>
      <c r="E621" s="298"/>
      <c r="F621" s="282"/>
      <c r="G621" s="298"/>
      <c r="H621" s="298"/>
      <c r="I621" s="282"/>
      <c r="J621" s="298"/>
      <c r="K621" s="566"/>
      <c r="L621" s="282"/>
      <c r="M621" s="282"/>
      <c r="N621" s="298"/>
      <c r="O621" s="282"/>
      <c r="P621" s="282"/>
      <c r="Q621" s="298"/>
      <c r="R621" s="282"/>
      <c r="S621" s="282"/>
      <c r="T621" s="298"/>
      <c r="U621" s="282"/>
      <c r="V621" s="298"/>
      <c r="W621" s="298"/>
      <c r="X621" s="297"/>
      <c r="Y621" s="297"/>
      <c r="Z621" s="297"/>
      <c r="AA621" s="297"/>
      <c r="AB621" s="297"/>
      <c r="AC621" s="297"/>
      <c r="AD621" s="297"/>
      <c r="AE621" s="297"/>
      <c r="AF621" s="297"/>
      <c r="AG621" s="297"/>
      <c r="AH621" s="297"/>
      <c r="AI621" s="297"/>
      <c r="AJ621" s="297"/>
      <c r="AK621" s="297"/>
      <c r="AL621" s="297"/>
      <c r="AM621" s="297"/>
      <c r="AN621" s="297"/>
      <c r="AO621" s="297"/>
      <c r="AP621" s="297"/>
      <c r="AQ621" s="297"/>
      <c r="AR621" s="297"/>
      <c r="AS621" s="297"/>
      <c r="AT621" s="297"/>
      <c r="AU621" s="297"/>
      <c r="AV621" s="297"/>
      <c r="AW621" s="297"/>
      <c r="AX621" s="297"/>
      <c r="AY621" s="297"/>
      <c r="AZ621" s="297"/>
      <c r="BA621" s="297"/>
      <c r="BB621" s="297"/>
    </row>
    <row r="622" spans="1:54" thickBot="1">
      <c r="A622" s="298"/>
      <c r="B622" s="298"/>
      <c r="C622" s="298"/>
      <c r="D622" s="298"/>
      <c r="E622" s="298"/>
      <c r="F622" s="282"/>
      <c r="G622" s="298"/>
      <c r="H622" s="298"/>
      <c r="I622" s="282"/>
      <c r="J622" s="298"/>
      <c r="K622" s="566"/>
      <c r="L622" s="282"/>
      <c r="M622" s="282"/>
      <c r="N622" s="298"/>
      <c r="O622" s="282"/>
      <c r="P622" s="282"/>
      <c r="Q622" s="298"/>
      <c r="R622" s="282"/>
      <c r="S622" s="282"/>
      <c r="T622" s="298"/>
      <c r="U622" s="282"/>
      <c r="V622" s="298"/>
      <c r="W622" s="298"/>
      <c r="X622" s="297"/>
      <c r="Y622" s="297"/>
      <c r="Z622" s="297"/>
      <c r="AA622" s="297"/>
      <c r="AB622" s="297"/>
      <c r="AC622" s="297"/>
      <c r="AD622" s="297"/>
      <c r="AE622" s="297"/>
      <c r="AF622" s="297"/>
      <c r="AG622" s="297"/>
      <c r="AH622" s="297"/>
      <c r="AI622" s="297"/>
      <c r="AJ622" s="297"/>
      <c r="AK622" s="297"/>
      <c r="AL622" s="297"/>
      <c r="AM622" s="297"/>
      <c r="AN622" s="297"/>
      <c r="AO622" s="297"/>
      <c r="AP622" s="297"/>
      <c r="AQ622" s="297"/>
      <c r="AR622" s="297"/>
      <c r="AS622" s="297"/>
      <c r="AT622" s="297"/>
      <c r="AU622" s="297"/>
      <c r="AV622" s="297"/>
      <c r="AW622" s="297"/>
      <c r="AX622" s="297"/>
      <c r="AY622" s="297"/>
      <c r="AZ622" s="297"/>
      <c r="BA622" s="297"/>
      <c r="BB622" s="297"/>
    </row>
    <row r="623" spans="1:54" thickBot="1">
      <c r="A623" s="298"/>
      <c r="B623" s="298"/>
      <c r="C623" s="298"/>
      <c r="D623" s="298"/>
      <c r="E623" s="298"/>
      <c r="F623" s="282"/>
      <c r="G623" s="298"/>
      <c r="H623" s="298"/>
      <c r="I623" s="282"/>
      <c r="J623" s="298"/>
      <c r="K623" s="566"/>
      <c r="L623" s="282"/>
      <c r="M623" s="282"/>
      <c r="N623" s="298"/>
      <c r="O623" s="282"/>
      <c r="P623" s="282"/>
      <c r="Q623" s="298"/>
      <c r="R623" s="282"/>
      <c r="S623" s="282"/>
      <c r="T623" s="298"/>
      <c r="U623" s="282"/>
      <c r="V623" s="298"/>
      <c r="W623" s="298"/>
      <c r="X623" s="297"/>
      <c r="Y623" s="297"/>
      <c r="Z623" s="297"/>
      <c r="AA623" s="297"/>
      <c r="AB623" s="297"/>
      <c r="AC623" s="297"/>
      <c r="AD623" s="297"/>
      <c r="AE623" s="297"/>
      <c r="AF623" s="297"/>
      <c r="AG623" s="297"/>
      <c r="AH623" s="297"/>
      <c r="AI623" s="297"/>
      <c r="AJ623" s="297"/>
      <c r="AK623" s="297"/>
      <c r="AL623" s="297"/>
      <c r="AM623" s="297"/>
      <c r="AN623" s="297"/>
      <c r="AO623" s="297"/>
      <c r="AP623" s="297"/>
      <c r="AQ623" s="297"/>
      <c r="AR623" s="297"/>
      <c r="AS623" s="297"/>
      <c r="AT623" s="297"/>
      <c r="AU623" s="297"/>
      <c r="AV623" s="297"/>
      <c r="AW623" s="297"/>
      <c r="AX623" s="297"/>
      <c r="AY623" s="297"/>
      <c r="AZ623" s="297"/>
      <c r="BA623" s="297"/>
      <c r="BB623" s="297"/>
    </row>
    <row r="624" spans="1:54" thickBot="1">
      <c r="A624" s="298"/>
      <c r="B624" s="298"/>
      <c r="C624" s="298"/>
      <c r="D624" s="298"/>
      <c r="E624" s="298"/>
      <c r="F624" s="282"/>
      <c r="G624" s="298"/>
      <c r="H624" s="298"/>
      <c r="I624" s="282"/>
      <c r="J624" s="298"/>
      <c r="K624" s="566"/>
      <c r="L624" s="282"/>
      <c r="M624" s="282"/>
      <c r="N624" s="298"/>
      <c r="O624" s="282"/>
      <c r="P624" s="282"/>
      <c r="Q624" s="298"/>
      <c r="R624" s="282"/>
      <c r="S624" s="282"/>
      <c r="T624" s="298"/>
      <c r="U624" s="282"/>
      <c r="V624" s="298"/>
      <c r="W624" s="298"/>
      <c r="X624" s="297"/>
      <c r="Y624" s="297"/>
      <c r="Z624" s="297"/>
      <c r="AA624" s="297"/>
      <c r="AB624" s="297"/>
      <c r="AC624" s="297"/>
      <c r="AD624" s="297"/>
      <c r="AE624" s="297"/>
      <c r="AF624" s="297"/>
      <c r="AG624" s="297"/>
      <c r="AH624" s="297"/>
      <c r="AI624" s="297"/>
      <c r="AJ624" s="297"/>
      <c r="AK624" s="297"/>
      <c r="AL624" s="297"/>
      <c r="AM624" s="297"/>
      <c r="AN624" s="297"/>
      <c r="AO624" s="297"/>
      <c r="AP624" s="297"/>
      <c r="AQ624" s="297"/>
      <c r="AR624" s="297"/>
      <c r="AS624" s="297"/>
      <c r="AT624" s="297"/>
      <c r="AU624" s="297"/>
      <c r="AV624" s="297"/>
      <c r="AW624" s="297"/>
      <c r="AX624" s="297"/>
      <c r="AY624" s="297"/>
      <c r="AZ624" s="297"/>
      <c r="BA624" s="297"/>
      <c r="BB624" s="297"/>
    </row>
    <row r="625" spans="1:54" thickBot="1">
      <c r="A625" s="298"/>
      <c r="B625" s="298"/>
      <c r="C625" s="298"/>
      <c r="D625" s="298"/>
      <c r="E625" s="298"/>
      <c r="F625" s="282"/>
      <c r="G625" s="298"/>
      <c r="H625" s="298"/>
      <c r="I625" s="282"/>
      <c r="J625" s="298"/>
      <c r="K625" s="566"/>
      <c r="L625" s="282"/>
      <c r="M625" s="282"/>
      <c r="N625" s="298"/>
      <c r="O625" s="282"/>
      <c r="P625" s="282"/>
      <c r="Q625" s="298"/>
      <c r="R625" s="282"/>
      <c r="S625" s="282"/>
      <c r="T625" s="298"/>
      <c r="U625" s="282"/>
      <c r="V625" s="298"/>
      <c r="W625" s="298"/>
      <c r="X625" s="297"/>
      <c r="Y625" s="297"/>
      <c r="Z625" s="297"/>
      <c r="AA625" s="297"/>
      <c r="AB625" s="297"/>
      <c r="AC625" s="297"/>
      <c r="AD625" s="297"/>
      <c r="AE625" s="297"/>
      <c r="AF625" s="297"/>
      <c r="AG625" s="297"/>
      <c r="AH625" s="297"/>
      <c r="AI625" s="297"/>
      <c r="AJ625" s="297"/>
      <c r="AK625" s="297"/>
      <c r="AL625" s="297"/>
      <c r="AM625" s="297"/>
      <c r="AN625" s="297"/>
      <c r="AO625" s="297"/>
      <c r="AP625" s="297"/>
      <c r="AQ625" s="297"/>
      <c r="AR625" s="297"/>
      <c r="AS625" s="297"/>
      <c r="AT625" s="297"/>
      <c r="AU625" s="297"/>
      <c r="AV625" s="297"/>
      <c r="AW625" s="297"/>
      <c r="AX625" s="297"/>
      <c r="AY625" s="297"/>
      <c r="AZ625" s="297"/>
      <c r="BA625" s="297"/>
      <c r="BB625" s="297"/>
    </row>
    <row r="626" spans="1:54" thickBot="1">
      <c r="A626" s="298"/>
      <c r="B626" s="298"/>
      <c r="C626" s="298"/>
      <c r="D626" s="298"/>
      <c r="E626" s="298"/>
      <c r="F626" s="282"/>
      <c r="G626" s="298"/>
      <c r="H626" s="298"/>
      <c r="I626" s="282"/>
      <c r="J626" s="298"/>
      <c r="K626" s="566"/>
      <c r="L626" s="282"/>
      <c r="M626" s="282"/>
      <c r="N626" s="298"/>
      <c r="O626" s="282"/>
      <c r="P626" s="282"/>
      <c r="Q626" s="298"/>
      <c r="R626" s="282"/>
      <c r="S626" s="282"/>
      <c r="T626" s="298"/>
      <c r="U626" s="282"/>
      <c r="V626" s="298"/>
      <c r="W626" s="298"/>
      <c r="X626" s="297"/>
      <c r="Y626" s="297"/>
      <c r="Z626" s="297"/>
      <c r="AA626" s="297"/>
      <c r="AB626" s="297"/>
      <c r="AC626" s="297"/>
      <c r="AD626" s="297"/>
      <c r="AE626" s="297"/>
      <c r="AF626" s="297"/>
      <c r="AG626" s="297"/>
      <c r="AH626" s="297"/>
      <c r="AI626" s="297"/>
      <c r="AJ626" s="297"/>
      <c r="AK626" s="297"/>
      <c r="AL626" s="297"/>
      <c r="AM626" s="297"/>
      <c r="AN626" s="297"/>
      <c r="AO626" s="297"/>
      <c r="AP626" s="297"/>
      <c r="AQ626" s="297"/>
      <c r="AR626" s="297"/>
      <c r="AS626" s="297"/>
      <c r="AT626" s="297"/>
      <c r="AU626" s="297"/>
      <c r="AV626" s="297"/>
      <c r="AW626" s="297"/>
      <c r="AX626" s="297"/>
      <c r="AY626" s="297"/>
      <c r="AZ626" s="297"/>
      <c r="BA626" s="297"/>
      <c r="BB626" s="297"/>
    </row>
    <row r="627" spans="1:54" thickBot="1">
      <c r="A627" s="298"/>
      <c r="B627" s="298"/>
      <c r="C627" s="298"/>
      <c r="D627" s="298"/>
      <c r="E627" s="298"/>
      <c r="F627" s="282"/>
      <c r="G627" s="298"/>
      <c r="H627" s="298"/>
      <c r="I627" s="282"/>
      <c r="J627" s="298"/>
      <c r="K627" s="566"/>
      <c r="L627" s="282"/>
      <c r="M627" s="282"/>
      <c r="N627" s="298"/>
      <c r="O627" s="282"/>
      <c r="P627" s="282"/>
      <c r="Q627" s="298"/>
      <c r="R627" s="282"/>
      <c r="S627" s="282"/>
      <c r="T627" s="298"/>
      <c r="U627" s="282"/>
      <c r="V627" s="298"/>
      <c r="W627" s="298"/>
      <c r="X627" s="297"/>
      <c r="Y627" s="297"/>
      <c r="Z627" s="297"/>
      <c r="AA627" s="297"/>
      <c r="AB627" s="297"/>
      <c r="AC627" s="297"/>
      <c r="AD627" s="297"/>
      <c r="AE627" s="297"/>
      <c r="AF627" s="297"/>
      <c r="AG627" s="297"/>
      <c r="AH627" s="297"/>
      <c r="AI627" s="297"/>
      <c r="AJ627" s="297"/>
      <c r="AK627" s="297"/>
      <c r="AL627" s="297"/>
      <c r="AM627" s="297"/>
      <c r="AN627" s="297"/>
      <c r="AO627" s="297"/>
      <c r="AP627" s="297"/>
      <c r="AQ627" s="297"/>
      <c r="AR627" s="297"/>
      <c r="AS627" s="297"/>
      <c r="AT627" s="297"/>
      <c r="AU627" s="297"/>
      <c r="AV627" s="297"/>
      <c r="AW627" s="297"/>
      <c r="AX627" s="297"/>
      <c r="AY627" s="297"/>
      <c r="AZ627" s="297"/>
      <c r="BA627" s="297"/>
      <c r="BB627" s="297"/>
    </row>
    <row r="628" spans="1:54" thickBot="1">
      <c r="A628" s="298"/>
      <c r="B628" s="298"/>
      <c r="C628" s="298"/>
      <c r="D628" s="298"/>
      <c r="E628" s="298"/>
      <c r="F628" s="282"/>
      <c r="G628" s="298"/>
      <c r="H628" s="298"/>
      <c r="I628" s="282"/>
      <c r="J628" s="298"/>
      <c r="K628" s="566"/>
      <c r="L628" s="282"/>
      <c r="M628" s="282"/>
      <c r="N628" s="298"/>
      <c r="O628" s="282"/>
      <c r="P628" s="282"/>
      <c r="Q628" s="298"/>
      <c r="R628" s="282"/>
      <c r="S628" s="282"/>
      <c r="T628" s="298"/>
      <c r="U628" s="282"/>
      <c r="V628" s="298"/>
      <c r="W628" s="298"/>
      <c r="X628" s="297"/>
      <c r="Y628" s="297"/>
      <c r="Z628" s="297"/>
      <c r="AA628" s="297"/>
      <c r="AB628" s="297"/>
      <c r="AC628" s="297"/>
      <c r="AD628" s="297"/>
      <c r="AE628" s="297"/>
      <c r="AF628" s="297"/>
      <c r="AG628" s="297"/>
      <c r="AH628" s="297"/>
      <c r="AI628" s="297"/>
      <c r="AJ628" s="297"/>
      <c r="AK628" s="297"/>
      <c r="AL628" s="297"/>
      <c r="AM628" s="297"/>
      <c r="AN628" s="297"/>
      <c r="AO628" s="297"/>
      <c r="AP628" s="297"/>
      <c r="AQ628" s="297"/>
      <c r="AR628" s="297"/>
      <c r="AS628" s="297"/>
      <c r="AT628" s="297"/>
      <c r="AU628" s="297"/>
      <c r="AV628" s="297"/>
      <c r="AW628" s="297"/>
      <c r="AX628" s="297"/>
      <c r="AY628" s="297"/>
      <c r="AZ628" s="297"/>
      <c r="BA628" s="297"/>
      <c r="BB628" s="297"/>
    </row>
    <row r="629" spans="1:54" thickBot="1">
      <c r="A629" s="298"/>
      <c r="B629" s="298"/>
      <c r="C629" s="298"/>
      <c r="D629" s="298"/>
      <c r="E629" s="298"/>
      <c r="F629" s="282"/>
      <c r="G629" s="298"/>
      <c r="H629" s="298"/>
      <c r="I629" s="282"/>
      <c r="J629" s="298"/>
      <c r="K629" s="566"/>
      <c r="L629" s="282"/>
      <c r="M629" s="282"/>
      <c r="N629" s="298"/>
      <c r="O629" s="282"/>
      <c r="P629" s="282"/>
      <c r="Q629" s="298"/>
      <c r="R629" s="282"/>
      <c r="S629" s="282"/>
      <c r="T629" s="298"/>
      <c r="U629" s="282"/>
      <c r="V629" s="298"/>
      <c r="W629" s="298"/>
      <c r="X629" s="297"/>
      <c r="Y629" s="297"/>
      <c r="Z629" s="297"/>
      <c r="AA629" s="297"/>
      <c r="AB629" s="297"/>
      <c r="AC629" s="297"/>
      <c r="AD629" s="297"/>
      <c r="AE629" s="297"/>
      <c r="AF629" s="297"/>
      <c r="AG629" s="297"/>
      <c r="AH629" s="297"/>
      <c r="AI629" s="297"/>
      <c r="AJ629" s="297"/>
      <c r="AK629" s="297"/>
      <c r="AL629" s="297"/>
      <c r="AM629" s="297"/>
      <c r="AN629" s="297"/>
      <c r="AO629" s="297"/>
      <c r="AP629" s="297"/>
      <c r="AQ629" s="297"/>
      <c r="AR629" s="297"/>
      <c r="AS629" s="297"/>
      <c r="AT629" s="297"/>
      <c r="AU629" s="297"/>
      <c r="AV629" s="297"/>
      <c r="AW629" s="297"/>
      <c r="AX629" s="297"/>
      <c r="AY629" s="297"/>
      <c r="AZ629" s="297"/>
      <c r="BA629" s="297"/>
      <c r="BB629" s="297"/>
    </row>
    <row r="630" spans="1:54" thickBot="1">
      <c r="A630" s="298"/>
      <c r="B630" s="298"/>
      <c r="C630" s="298"/>
      <c r="D630" s="298"/>
      <c r="E630" s="298"/>
      <c r="F630" s="282"/>
      <c r="G630" s="298"/>
      <c r="H630" s="298"/>
      <c r="I630" s="282"/>
      <c r="J630" s="298"/>
      <c r="K630" s="566"/>
      <c r="L630" s="282"/>
      <c r="M630" s="282"/>
      <c r="N630" s="298"/>
      <c r="O630" s="282"/>
      <c r="P630" s="282"/>
      <c r="Q630" s="298"/>
      <c r="R630" s="282"/>
      <c r="S630" s="282"/>
      <c r="T630" s="298"/>
      <c r="U630" s="282"/>
      <c r="V630" s="298"/>
      <c r="W630" s="298"/>
      <c r="X630" s="297"/>
      <c r="Y630" s="297"/>
      <c r="Z630" s="297"/>
      <c r="AA630" s="297"/>
      <c r="AB630" s="297"/>
      <c r="AC630" s="297"/>
      <c r="AD630" s="297"/>
      <c r="AE630" s="297"/>
      <c r="AF630" s="297"/>
      <c r="AG630" s="297"/>
      <c r="AH630" s="297"/>
      <c r="AI630" s="297"/>
      <c r="AJ630" s="297"/>
      <c r="AK630" s="297"/>
      <c r="AL630" s="297"/>
      <c r="AM630" s="297"/>
      <c r="AN630" s="297"/>
      <c r="AO630" s="297"/>
      <c r="AP630" s="297"/>
      <c r="AQ630" s="297"/>
      <c r="AR630" s="297"/>
      <c r="AS630" s="297"/>
      <c r="AT630" s="297"/>
      <c r="AU630" s="297"/>
      <c r="AV630" s="297"/>
      <c r="AW630" s="297"/>
      <c r="AX630" s="297"/>
      <c r="AY630" s="297"/>
      <c r="AZ630" s="297"/>
      <c r="BA630" s="297"/>
      <c r="BB630" s="297"/>
    </row>
    <row r="631" spans="1:54" thickBot="1">
      <c r="A631" s="298"/>
      <c r="B631" s="298"/>
      <c r="C631" s="298"/>
      <c r="D631" s="298"/>
      <c r="E631" s="298"/>
      <c r="F631" s="282"/>
      <c r="G631" s="298"/>
      <c r="H631" s="298"/>
      <c r="I631" s="282"/>
      <c r="J631" s="298"/>
      <c r="K631" s="566"/>
      <c r="L631" s="282"/>
      <c r="M631" s="282"/>
      <c r="N631" s="298"/>
      <c r="O631" s="282"/>
      <c r="P631" s="282"/>
      <c r="Q631" s="298"/>
      <c r="R631" s="282"/>
      <c r="S631" s="282"/>
      <c r="T631" s="298"/>
      <c r="U631" s="282"/>
      <c r="V631" s="298"/>
      <c r="W631" s="298"/>
      <c r="X631" s="297"/>
      <c r="Y631" s="297"/>
      <c r="Z631" s="297"/>
      <c r="AA631" s="297"/>
      <c r="AB631" s="297"/>
      <c r="AC631" s="297"/>
      <c r="AD631" s="297"/>
      <c r="AE631" s="297"/>
      <c r="AF631" s="297"/>
      <c r="AG631" s="297"/>
      <c r="AH631" s="297"/>
      <c r="AI631" s="297"/>
      <c r="AJ631" s="297"/>
      <c r="AK631" s="297"/>
      <c r="AL631" s="297"/>
      <c r="AM631" s="297"/>
      <c r="AN631" s="297"/>
      <c r="AO631" s="297"/>
      <c r="AP631" s="297"/>
      <c r="AQ631" s="297"/>
      <c r="AR631" s="297"/>
      <c r="AS631" s="297"/>
      <c r="AT631" s="297"/>
      <c r="AU631" s="297"/>
      <c r="AV631" s="297"/>
      <c r="AW631" s="297"/>
      <c r="AX631" s="297"/>
      <c r="AY631" s="297"/>
      <c r="AZ631" s="297"/>
      <c r="BA631" s="297"/>
      <c r="BB631" s="297"/>
    </row>
    <row r="632" spans="1:54" thickBot="1">
      <c r="A632" s="298"/>
      <c r="B632" s="298"/>
      <c r="C632" s="298"/>
      <c r="D632" s="298"/>
      <c r="E632" s="298"/>
      <c r="F632" s="282"/>
      <c r="G632" s="298"/>
      <c r="H632" s="298"/>
      <c r="I632" s="282"/>
      <c r="J632" s="298"/>
      <c r="K632" s="566"/>
      <c r="L632" s="282"/>
      <c r="M632" s="282"/>
      <c r="N632" s="298"/>
      <c r="O632" s="282"/>
      <c r="P632" s="282"/>
      <c r="Q632" s="298"/>
      <c r="R632" s="282"/>
      <c r="S632" s="282"/>
      <c r="T632" s="298"/>
      <c r="U632" s="282"/>
      <c r="V632" s="298"/>
      <c r="W632" s="298"/>
      <c r="X632" s="297"/>
      <c r="Y632" s="297"/>
      <c r="Z632" s="297"/>
      <c r="AA632" s="297"/>
      <c r="AB632" s="297"/>
      <c r="AC632" s="297"/>
      <c r="AD632" s="297"/>
      <c r="AE632" s="297"/>
      <c r="AF632" s="297"/>
      <c r="AG632" s="297"/>
      <c r="AH632" s="297"/>
      <c r="AI632" s="297"/>
      <c r="AJ632" s="297"/>
      <c r="AK632" s="297"/>
      <c r="AL632" s="297"/>
      <c r="AM632" s="297"/>
      <c r="AN632" s="297"/>
      <c r="AO632" s="297"/>
      <c r="AP632" s="297"/>
      <c r="AQ632" s="297"/>
      <c r="AR632" s="297"/>
      <c r="AS632" s="297"/>
      <c r="AT632" s="297"/>
      <c r="AU632" s="297"/>
      <c r="AV632" s="297"/>
      <c r="AW632" s="297"/>
      <c r="AX632" s="297"/>
      <c r="AY632" s="297"/>
      <c r="AZ632" s="297"/>
      <c r="BA632" s="297"/>
      <c r="BB632" s="297"/>
    </row>
    <row r="633" spans="1:54" thickBot="1">
      <c r="A633" s="298"/>
      <c r="B633" s="298"/>
      <c r="C633" s="298"/>
      <c r="D633" s="298"/>
      <c r="E633" s="298"/>
      <c r="F633" s="282"/>
      <c r="G633" s="298"/>
      <c r="H633" s="298"/>
      <c r="I633" s="282"/>
      <c r="J633" s="298"/>
      <c r="K633" s="566"/>
      <c r="L633" s="282"/>
      <c r="M633" s="282"/>
      <c r="N633" s="298"/>
      <c r="O633" s="282"/>
      <c r="P633" s="282"/>
      <c r="Q633" s="298"/>
      <c r="R633" s="282"/>
      <c r="S633" s="282"/>
      <c r="T633" s="298"/>
      <c r="U633" s="282"/>
      <c r="V633" s="298"/>
      <c r="W633" s="298"/>
      <c r="X633" s="297"/>
      <c r="Y633" s="297"/>
      <c r="Z633" s="297"/>
      <c r="AA633" s="297"/>
      <c r="AB633" s="297"/>
      <c r="AC633" s="297"/>
      <c r="AD633" s="297"/>
      <c r="AE633" s="297"/>
      <c r="AF633" s="297"/>
      <c r="AG633" s="297"/>
      <c r="AH633" s="297"/>
      <c r="AI633" s="297"/>
      <c r="AJ633" s="297"/>
      <c r="AK633" s="297"/>
      <c r="AL633" s="297"/>
      <c r="AM633" s="297"/>
      <c r="AN633" s="297"/>
      <c r="AO633" s="297"/>
      <c r="AP633" s="297"/>
      <c r="AQ633" s="297"/>
      <c r="AR633" s="297"/>
      <c r="AS633" s="297"/>
      <c r="AT633" s="297"/>
      <c r="AU633" s="297"/>
      <c r="AV633" s="297"/>
      <c r="AW633" s="297"/>
      <c r="AX633" s="297"/>
      <c r="AY633" s="297"/>
      <c r="AZ633" s="297"/>
      <c r="BA633" s="297"/>
      <c r="BB633" s="297"/>
    </row>
    <row r="634" spans="1:54" thickBot="1">
      <c r="A634" s="298"/>
      <c r="B634" s="298"/>
      <c r="C634" s="298"/>
      <c r="D634" s="298"/>
      <c r="E634" s="298"/>
      <c r="F634" s="282"/>
      <c r="G634" s="298"/>
      <c r="H634" s="298"/>
      <c r="I634" s="282"/>
      <c r="J634" s="298"/>
      <c r="K634" s="566"/>
      <c r="L634" s="282"/>
      <c r="M634" s="282"/>
      <c r="N634" s="298"/>
      <c r="O634" s="282"/>
      <c r="P634" s="282"/>
      <c r="Q634" s="298"/>
      <c r="R634" s="282"/>
      <c r="S634" s="282"/>
      <c r="T634" s="298"/>
      <c r="U634" s="282"/>
      <c r="V634" s="298"/>
      <c r="W634" s="298"/>
      <c r="X634" s="297"/>
      <c r="Y634" s="297"/>
      <c r="Z634" s="297"/>
      <c r="AA634" s="297"/>
      <c r="AB634" s="297"/>
      <c r="AC634" s="297"/>
      <c r="AD634" s="297"/>
      <c r="AE634" s="297"/>
      <c r="AF634" s="297"/>
      <c r="AG634" s="297"/>
      <c r="AH634" s="297"/>
      <c r="AI634" s="297"/>
      <c r="AJ634" s="297"/>
      <c r="AK634" s="297"/>
      <c r="AL634" s="297"/>
      <c r="AM634" s="297"/>
      <c r="AN634" s="297"/>
      <c r="AO634" s="297"/>
      <c r="AP634" s="297"/>
      <c r="AQ634" s="297"/>
      <c r="AR634" s="297"/>
      <c r="AS634" s="297"/>
      <c r="AT634" s="297"/>
      <c r="AU634" s="297"/>
      <c r="AV634" s="297"/>
      <c r="AW634" s="297"/>
      <c r="AX634" s="297"/>
      <c r="AY634" s="297"/>
      <c r="AZ634" s="297"/>
      <c r="BA634" s="297"/>
      <c r="BB634" s="297"/>
    </row>
    <row r="635" spans="1:54" thickBot="1">
      <c r="A635" s="298"/>
      <c r="B635" s="298"/>
      <c r="C635" s="298"/>
      <c r="D635" s="298"/>
      <c r="E635" s="298"/>
      <c r="F635" s="282"/>
      <c r="G635" s="298"/>
      <c r="H635" s="298"/>
      <c r="I635" s="282"/>
      <c r="J635" s="298"/>
      <c r="K635" s="566"/>
      <c r="L635" s="282"/>
      <c r="M635" s="282"/>
      <c r="N635" s="298"/>
      <c r="O635" s="282"/>
      <c r="P635" s="282"/>
      <c r="Q635" s="298"/>
      <c r="R635" s="282"/>
      <c r="S635" s="282"/>
      <c r="T635" s="298"/>
      <c r="U635" s="282"/>
      <c r="V635" s="298"/>
      <c r="W635" s="298"/>
      <c r="X635" s="297"/>
      <c r="Y635" s="297"/>
      <c r="Z635" s="297"/>
      <c r="AA635" s="297"/>
      <c r="AB635" s="297"/>
      <c r="AC635" s="297"/>
      <c r="AD635" s="297"/>
      <c r="AE635" s="297"/>
      <c r="AF635" s="297"/>
      <c r="AG635" s="297"/>
      <c r="AH635" s="297"/>
      <c r="AI635" s="297"/>
      <c r="AJ635" s="297"/>
      <c r="AK635" s="297"/>
      <c r="AL635" s="297"/>
      <c r="AM635" s="297"/>
      <c r="AN635" s="297"/>
      <c r="AO635" s="297"/>
      <c r="AP635" s="297"/>
      <c r="AQ635" s="297"/>
      <c r="AR635" s="297"/>
      <c r="AS635" s="297"/>
      <c r="AT635" s="297"/>
      <c r="AU635" s="297"/>
      <c r="AV635" s="297"/>
      <c r="AW635" s="297"/>
      <c r="AX635" s="297"/>
      <c r="AY635" s="297"/>
      <c r="AZ635" s="297"/>
      <c r="BA635" s="297"/>
      <c r="BB635" s="297"/>
    </row>
    <row r="636" spans="1:54" thickBot="1">
      <c r="A636" s="298"/>
      <c r="B636" s="298"/>
      <c r="C636" s="298"/>
      <c r="D636" s="298"/>
      <c r="E636" s="298"/>
      <c r="F636" s="282"/>
      <c r="G636" s="298"/>
      <c r="H636" s="298"/>
      <c r="I636" s="282"/>
      <c r="J636" s="298"/>
      <c r="K636" s="566"/>
      <c r="L636" s="282"/>
      <c r="M636" s="282"/>
      <c r="N636" s="298"/>
      <c r="O636" s="282"/>
      <c r="P636" s="282"/>
      <c r="Q636" s="298"/>
      <c r="R636" s="282"/>
      <c r="S636" s="282"/>
      <c r="T636" s="298"/>
      <c r="U636" s="282"/>
      <c r="V636" s="298"/>
      <c r="W636" s="298"/>
      <c r="X636" s="297"/>
      <c r="Y636" s="297"/>
      <c r="Z636" s="297"/>
      <c r="AA636" s="297"/>
      <c r="AB636" s="297"/>
      <c r="AC636" s="297"/>
      <c r="AD636" s="297"/>
      <c r="AE636" s="297"/>
      <c r="AF636" s="297"/>
      <c r="AG636" s="297"/>
      <c r="AH636" s="297"/>
      <c r="AI636" s="297"/>
      <c r="AJ636" s="297"/>
      <c r="AK636" s="297"/>
      <c r="AL636" s="297"/>
      <c r="AM636" s="297"/>
      <c r="AN636" s="297"/>
      <c r="AO636" s="297"/>
      <c r="AP636" s="297"/>
      <c r="AQ636" s="297"/>
      <c r="AR636" s="297"/>
      <c r="AS636" s="297"/>
      <c r="AT636" s="297"/>
      <c r="AU636" s="297"/>
      <c r="AV636" s="297"/>
      <c r="AW636" s="297"/>
      <c r="AX636" s="297"/>
      <c r="AY636" s="297"/>
      <c r="AZ636" s="297"/>
      <c r="BA636" s="297"/>
      <c r="BB636" s="297"/>
    </row>
    <row r="637" spans="1:54" thickBot="1">
      <c r="A637" s="298"/>
      <c r="B637" s="298"/>
      <c r="C637" s="298"/>
      <c r="D637" s="298"/>
      <c r="E637" s="298"/>
      <c r="F637" s="282"/>
      <c r="G637" s="298"/>
      <c r="H637" s="298"/>
      <c r="I637" s="282"/>
      <c r="J637" s="298"/>
      <c r="K637" s="566"/>
      <c r="L637" s="282"/>
      <c r="M637" s="282"/>
      <c r="N637" s="298"/>
      <c r="O637" s="282"/>
      <c r="P637" s="282"/>
      <c r="Q637" s="298"/>
      <c r="R637" s="282"/>
      <c r="S637" s="282"/>
      <c r="T637" s="298"/>
      <c r="U637" s="282"/>
      <c r="V637" s="298"/>
      <c r="W637" s="298"/>
      <c r="X637" s="297"/>
      <c r="Y637" s="297"/>
      <c r="Z637" s="297"/>
      <c r="AA637" s="297"/>
      <c r="AB637" s="297"/>
      <c r="AC637" s="297"/>
      <c r="AD637" s="297"/>
      <c r="AE637" s="297"/>
      <c r="AF637" s="297"/>
      <c r="AG637" s="297"/>
      <c r="AH637" s="297"/>
      <c r="AI637" s="297"/>
      <c r="AJ637" s="297"/>
      <c r="AK637" s="297"/>
      <c r="AL637" s="297"/>
      <c r="AM637" s="297"/>
      <c r="AN637" s="297"/>
      <c r="AO637" s="297"/>
      <c r="AP637" s="297"/>
      <c r="AQ637" s="297"/>
      <c r="AR637" s="297"/>
      <c r="AS637" s="297"/>
      <c r="AT637" s="297"/>
      <c r="AU637" s="297"/>
      <c r="AV637" s="297"/>
      <c r="AW637" s="297"/>
      <c r="AX637" s="297"/>
      <c r="AY637" s="297"/>
      <c r="AZ637" s="297"/>
      <c r="BA637" s="297"/>
      <c r="BB637" s="297"/>
    </row>
    <row r="638" spans="1:54" thickBot="1">
      <c r="A638" s="298"/>
      <c r="B638" s="298"/>
      <c r="C638" s="298"/>
      <c r="D638" s="298"/>
      <c r="E638" s="298"/>
      <c r="F638" s="282"/>
      <c r="G638" s="298"/>
      <c r="H638" s="298"/>
      <c r="I638" s="282"/>
      <c r="J638" s="298"/>
      <c r="K638" s="566"/>
      <c r="L638" s="282"/>
      <c r="M638" s="282"/>
      <c r="N638" s="298"/>
      <c r="O638" s="282"/>
      <c r="P638" s="282"/>
      <c r="Q638" s="298"/>
      <c r="R638" s="282"/>
      <c r="S638" s="282"/>
      <c r="T638" s="298"/>
      <c r="U638" s="282"/>
      <c r="V638" s="298"/>
      <c r="W638" s="298"/>
      <c r="X638" s="297"/>
      <c r="Y638" s="297"/>
      <c r="Z638" s="297"/>
      <c r="AA638" s="297"/>
      <c r="AB638" s="297"/>
      <c r="AC638" s="297"/>
      <c r="AD638" s="297"/>
      <c r="AE638" s="297"/>
      <c r="AF638" s="297"/>
      <c r="AG638" s="297"/>
      <c r="AH638" s="297"/>
      <c r="AI638" s="297"/>
      <c r="AJ638" s="297"/>
      <c r="AK638" s="297"/>
      <c r="AL638" s="297"/>
      <c r="AM638" s="297"/>
      <c r="AN638" s="297"/>
      <c r="AO638" s="297"/>
      <c r="AP638" s="297"/>
      <c r="AQ638" s="297"/>
      <c r="AR638" s="297"/>
      <c r="AS638" s="297"/>
      <c r="AT638" s="297"/>
      <c r="AU638" s="297"/>
      <c r="AV638" s="297"/>
      <c r="AW638" s="297"/>
      <c r="AX638" s="297"/>
      <c r="AY638" s="297"/>
      <c r="AZ638" s="297"/>
      <c r="BA638" s="297"/>
      <c r="BB638" s="297"/>
    </row>
    <row r="639" spans="1:54" thickBot="1">
      <c r="A639" s="298"/>
      <c r="B639" s="298"/>
      <c r="C639" s="298"/>
      <c r="D639" s="298"/>
      <c r="E639" s="298"/>
      <c r="F639" s="282"/>
      <c r="G639" s="298"/>
      <c r="H639" s="298"/>
      <c r="I639" s="282"/>
      <c r="J639" s="298"/>
      <c r="K639" s="566"/>
      <c r="L639" s="282"/>
      <c r="M639" s="282"/>
      <c r="N639" s="298"/>
      <c r="O639" s="282"/>
      <c r="P639" s="282"/>
      <c r="Q639" s="298"/>
      <c r="R639" s="282"/>
      <c r="S639" s="282"/>
      <c r="T639" s="298"/>
      <c r="U639" s="282"/>
      <c r="V639" s="298"/>
      <c r="W639" s="298"/>
      <c r="X639" s="297"/>
      <c r="Y639" s="297"/>
      <c r="Z639" s="297"/>
      <c r="AA639" s="297"/>
      <c r="AB639" s="297"/>
      <c r="AC639" s="297"/>
      <c r="AD639" s="297"/>
      <c r="AE639" s="297"/>
      <c r="AF639" s="297"/>
      <c r="AG639" s="297"/>
      <c r="AH639" s="297"/>
      <c r="AI639" s="297"/>
      <c r="AJ639" s="297"/>
      <c r="AK639" s="297"/>
      <c r="AL639" s="297"/>
      <c r="AM639" s="297"/>
      <c r="AN639" s="297"/>
      <c r="AO639" s="297"/>
      <c r="AP639" s="297"/>
      <c r="AQ639" s="297"/>
      <c r="AR639" s="297"/>
      <c r="AS639" s="297"/>
      <c r="AT639" s="297"/>
      <c r="AU639" s="297"/>
      <c r="AV639" s="297"/>
      <c r="AW639" s="297"/>
      <c r="AX639" s="297"/>
      <c r="AY639" s="297"/>
      <c r="AZ639" s="297"/>
      <c r="BA639" s="297"/>
      <c r="BB639" s="297"/>
    </row>
    <row r="640" spans="1:54" thickBot="1">
      <c r="A640" s="298"/>
      <c r="B640" s="298"/>
      <c r="C640" s="298"/>
      <c r="D640" s="298"/>
      <c r="E640" s="298"/>
      <c r="F640" s="282"/>
      <c r="G640" s="298"/>
      <c r="H640" s="298"/>
      <c r="I640" s="282"/>
      <c r="J640" s="298"/>
      <c r="K640" s="566"/>
      <c r="L640" s="282"/>
      <c r="M640" s="282"/>
      <c r="N640" s="298"/>
      <c r="O640" s="282"/>
      <c r="P640" s="282"/>
      <c r="Q640" s="298"/>
      <c r="R640" s="282"/>
      <c r="S640" s="282"/>
      <c r="T640" s="298"/>
      <c r="U640" s="282"/>
      <c r="V640" s="298"/>
      <c r="W640" s="298"/>
      <c r="X640" s="297"/>
      <c r="Y640" s="297"/>
      <c r="Z640" s="297"/>
      <c r="AA640" s="297"/>
      <c r="AB640" s="297"/>
      <c r="AC640" s="297"/>
      <c r="AD640" s="297"/>
      <c r="AE640" s="297"/>
      <c r="AF640" s="297"/>
      <c r="AG640" s="297"/>
      <c r="AH640" s="297"/>
      <c r="AI640" s="297"/>
      <c r="AJ640" s="297"/>
      <c r="AK640" s="297"/>
      <c r="AL640" s="297"/>
      <c r="AM640" s="297"/>
      <c r="AN640" s="297"/>
      <c r="AO640" s="297"/>
      <c r="AP640" s="297"/>
      <c r="AQ640" s="297"/>
      <c r="AR640" s="297"/>
      <c r="AS640" s="297"/>
      <c r="AT640" s="297"/>
      <c r="AU640" s="297"/>
      <c r="AV640" s="297"/>
      <c r="AW640" s="297"/>
      <c r="AX640" s="297"/>
      <c r="AY640" s="297"/>
      <c r="AZ640" s="297"/>
      <c r="BA640" s="297"/>
      <c r="BB640" s="297"/>
    </row>
    <row r="641" spans="1:54" thickBot="1">
      <c r="A641" s="298"/>
      <c r="B641" s="298"/>
      <c r="C641" s="298"/>
      <c r="D641" s="298"/>
      <c r="E641" s="298"/>
      <c r="F641" s="282"/>
      <c r="G641" s="298"/>
      <c r="H641" s="298"/>
      <c r="I641" s="282"/>
      <c r="J641" s="298"/>
      <c r="K641" s="566"/>
      <c r="L641" s="282"/>
      <c r="M641" s="282"/>
      <c r="N641" s="298"/>
      <c r="O641" s="282"/>
      <c r="P641" s="282"/>
      <c r="Q641" s="298"/>
      <c r="R641" s="282"/>
      <c r="S641" s="282"/>
      <c r="T641" s="298"/>
      <c r="U641" s="282"/>
      <c r="V641" s="298"/>
      <c r="W641" s="298"/>
      <c r="X641" s="297"/>
      <c r="Y641" s="297"/>
      <c r="Z641" s="297"/>
      <c r="AA641" s="297"/>
      <c r="AB641" s="297"/>
      <c r="AC641" s="297"/>
      <c r="AD641" s="297"/>
      <c r="AE641" s="297"/>
      <c r="AF641" s="297"/>
      <c r="AG641" s="297"/>
      <c r="AH641" s="297"/>
      <c r="AI641" s="297"/>
      <c r="AJ641" s="297"/>
      <c r="AK641" s="297"/>
      <c r="AL641" s="297"/>
      <c r="AM641" s="297"/>
      <c r="AN641" s="297"/>
      <c r="AO641" s="297"/>
      <c r="AP641" s="297"/>
      <c r="AQ641" s="297"/>
      <c r="AR641" s="297"/>
      <c r="AS641" s="297"/>
      <c r="AT641" s="297"/>
      <c r="AU641" s="297"/>
      <c r="AV641" s="297"/>
      <c r="AW641" s="297"/>
      <c r="AX641" s="297"/>
      <c r="AY641" s="297"/>
      <c r="AZ641" s="297"/>
      <c r="BA641" s="297"/>
      <c r="BB641" s="297"/>
    </row>
    <row r="642" spans="1:54" thickBot="1">
      <c r="A642" s="298"/>
      <c r="B642" s="298"/>
      <c r="C642" s="298"/>
      <c r="D642" s="298"/>
      <c r="E642" s="298"/>
      <c r="F642" s="282"/>
      <c r="G642" s="298"/>
      <c r="H642" s="298"/>
      <c r="I642" s="282"/>
      <c r="J642" s="298"/>
      <c r="K642" s="566"/>
      <c r="L642" s="282"/>
      <c r="M642" s="282"/>
      <c r="N642" s="298"/>
      <c r="O642" s="282"/>
      <c r="P642" s="282"/>
      <c r="Q642" s="298"/>
      <c r="R642" s="282"/>
      <c r="S642" s="282"/>
      <c r="T642" s="298"/>
      <c r="U642" s="282"/>
      <c r="V642" s="298"/>
      <c r="W642" s="298"/>
      <c r="X642" s="297"/>
      <c r="Y642" s="297"/>
      <c r="Z642" s="297"/>
      <c r="AA642" s="297"/>
      <c r="AB642" s="297"/>
      <c r="AC642" s="297"/>
      <c r="AD642" s="297"/>
      <c r="AE642" s="297"/>
      <c r="AF642" s="297"/>
      <c r="AG642" s="297"/>
      <c r="AH642" s="297"/>
      <c r="AI642" s="297"/>
      <c r="AJ642" s="297"/>
      <c r="AK642" s="297"/>
      <c r="AL642" s="297"/>
      <c r="AM642" s="297"/>
      <c r="AN642" s="297"/>
      <c r="AO642" s="297"/>
      <c r="AP642" s="297"/>
      <c r="AQ642" s="297"/>
      <c r="AR642" s="297"/>
      <c r="AS642" s="297"/>
      <c r="AT642" s="297"/>
      <c r="AU642" s="297"/>
      <c r="AV642" s="297"/>
      <c r="AW642" s="297"/>
      <c r="AX642" s="297"/>
      <c r="AY642" s="297"/>
      <c r="AZ642" s="297"/>
      <c r="BA642" s="297"/>
      <c r="BB642" s="297"/>
    </row>
    <row r="643" spans="1:54" thickBot="1">
      <c r="A643" s="298"/>
      <c r="B643" s="298"/>
      <c r="C643" s="298"/>
      <c r="D643" s="298"/>
      <c r="E643" s="298"/>
      <c r="F643" s="282"/>
      <c r="G643" s="298"/>
      <c r="H643" s="298"/>
      <c r="I643" s="282"/>
      <c r="J643" s="298"/>
      <c r="K643" s="566"/>
      <c r="L643" s="282"/>
      <c r="M643" s="282"/>
      <c r="N643" s="298"/>
      <c r="O643" s="282"/>
      <c r="P643" s="282"/>
      <c r="Q643" s="298"/>
      <c r="R643" s="282"/>
      <c r="S643" s="282"/>
      <c r="T643" s="298"/>
      <c r="U643" s="282"/>
      <c r="V643" s="298"/>
      <c r="W643" s="298"/>
      <c r="X643" s="297"/>
      <c r="Y643" s="297"/>
      <c r="Z643" s="297"/>
      <c r="AA643" s="297"/>
      <c r="AB643" s="297"/>
      <c r="AC643" s="297"/>
      <c r="AD643" s="297"/>
      <c r="AE643" s="297"/>
      <c r="AF643" s="297"/>
      <c r="AG643" s="297"/>
      <c r="AH643" s="297"/>
      <c r="AI643" s="297"/>
      <c r="AJ643" s="297"/>
      <c r="AK643" s="297"/>
      <c r="AL643" s="297"/>
      <c r="AM643" s="297"/>
      <c r="AN643" s="297"/>
      <c r="AO643" s="297"/>
      <c r="AP643" s="297"/>
      <c r="AQ643" s="297"/>
      <c r="AR643" s="297"/>
      <c r="AS643" s="297"/>
      <c r="AT643" s="297"/>
      <c r="AU643" s="297"/>
      <c r="AV643" s="297"/>
      <c r="AW643" s="297"/>
      <c r="AX643" s="297"/>
      <c r="AY643" s="297"/>
      <c r="AZ643" s="297"/>
      <c r="BA643" s="297"/>
      <c r="BB643" s="297"/>
    </row>
    <row r="644" spans="1:54" thickBot="1">
      <c r="A644" s="298"/>
      <c r="B644" s="298"/>
      <c r="C644" s="298"/>
      <c r="D644" s="298"/>
      <c r="E644" s="298"/>
      <c r="F644" s="282"/>
      <c r="G644" s="298"/>
      <c r="H644" s="298"/>
      <c r="I644" s="282"/>
      <c r="J644" s="298"/>
      <c r="K644" s="566"/>
      <c r="L644" s="282"/>
      <c r="M644" s="282"/>
      <c r="N644" s="298"/>
      <c r="O644" s="282"/>
      <c r="P644" s="282"/>
      <c r="Q644" s="298"/>
      <c r="R644" s="282"/>
      <c r="S644" s="282"/>
      <c r="T644" s="298"/>
      <c r="U644" s="282"/>
      <c r="V644" s="298"/>
      <c r="W644" s="298"/>
      <c r="X644" s="297"/>
      <c r="Y644" s="297"/>
      <c r="Z644" s="297"/>
      <c r="AA644" s="297"/>
      <c r="AB644" s="297"/>
      <c r="AC644" s="297"/>
      <c r="AD644" s="297"/>
      <c r="AE644" s="297"/>
      <c r="AF644" s="297"/>
      <c r="AG644" s="297"/>
      <c r="AH644" s="297"/>
      <c r="AI644" s="297"/>
      <c r="AJ644" s="297"/>
      <c r="AK644" s="297"/>
      <c r="AL644" s="297"/>
      <c r="AM644" s="297"/>
      <c r="AN644" s="297"/>
      <c r="AO644" s="297"/>
      <c r="AP644" s="297"/>
      <c r="AQ644" s="297"/>
      <c r="AR644" s="297"/>
      <c r="AS644" s="297"/>
      <c r="AT644" s="297"/>
      <c r="AU644" s="297"/>
      <c r="AV644" s="297"/>
      <c r="AW644" s="297"/>
      <c r="AX644" s="297"/>
      <c r="AY644" s="297"/>
      <c r="AZ644" s="297"/>
      <c r="BA644" s="297"/>
      <c r="BB644" s="297"/>
    </row>
    <row r="645" spans="1:54" thickBot="1">
      <c r="A645" s="298"/>
      <c r="B645" s="298"/>
      <c r="C645" s="298"/>
      <c r="D645" s="298"/>
      <c r="E645" s="298"/>
      <c r="F645" s="282"/>
      <c r="G645" s="298"/>
      <c r="H645" s="298"/>
      <c r="I645" s="282"/>
      <c r="J645" s="298"/>
      <c r="K645" s="566"/>
      <c r="L645" s="282"/>
      <c r="M645" s="282"/>
      <c r="N645" s="298"/>
      <c r="O645" s="282"/>
      <c r="P645" s="282"/>
      <c r="Q645" s="298"/>
      <c r="R645" s="282"/>
      <c r="S645" s="282"/>
      <c r="T645" s="298"/>
      <c r="U645" s="282"/>
      <c r="V645" s="298"/>
      <c r="W645" s="298"/>
      <c r="X645" s="297"/>
      <c r="Y645" s="297"/>
      <c r="Z645" s="297"/>
      <c r="AA645" s="297"/>
      <c r="AB645" s="297"/>
      <c r="AC645" s="297"/>
      <c r="AD645" s="297"/>
      <c r="AE645" s="297"/>
      <c r="AF645" s="297"/>
      <c r="AG645" s="297"/>
      <c r="AH645" s="297"/>
      <c r="AI645" s="297"/>
      <c r="AJ645" s="297"/>
      <c r="AK645" s="297"/>
      <c r="AL645" s="297"/>
      <c r="AM645" s="297"/>
      <c r="AN645" s="297"/>
      <c r="AO645" s="297"/>
      <c r="AP645" s="297"/>
      <c r="AQ645" s="297"/>
      <c r="AR645" s="297"/>
      <c r="AS645" s="297"/>
      <c r="AT645" s="297"/>
      <c r="AU645" s="297"/>
      <c r="AV645" s="297"/>
      <c r="AW645" s="297"/>
      <c r="AX645" s="297"/>
      <c r="AY645" s="297"/>
      <c r="AZ645" s="297"/>
      <c r="BA645" s="297"/>
      <c r="BB645" s="297"/>
    </row>
    <row r="646" spans="1:54" thickBot="1">
      <c r="A646" s="298"/>
      <c r="B646" s="298"/>
      <c r="C646" s="298"/>
      <c r="D646" s="298"/>
      <c r="E646" s="298"/>
      <c r="F646" s="282"/>
      <c r="G646" s="298"/>
      <c r="H646" s="298"/>
      <c r="I646" s="282"/>
      <c r="J646" s="298"/>
      <c r="K646" s="566"/>
      <c r="L646" s="282"/>
      <c r="M646" s="282"/>
      <c r="N646" s="298"/>
      <c r="O646" s="282"/>
      <c r="P646" s="282"/>
      <c r="Q646" s="298"/>
      <c r="R646" s="282"/>
      <c r="S646" s="282"/>
      <c r="T646" s="298"/>
      <c r="U646" s="282"/>
      <c r="V646" s="298"/>
      <c r="W646" s="298"/>
      <c r="X646" s="297"/>
      <c r="Y646" s="297"/>
      <c r="Z646" s="297"/>
      <c r="AA646" s="297"/>
      <c r="AB646" s="297"/>
      <c r="AC646" s="297"/>
      <c r="AD646" s="297"/>
      <c r="AE646" s="297"/>
      <c r="AF646" s="297"/>
      <c r="AG646" s="297"/>
      <c r="AH646" s="297"/>
      <c r="AI646" s="297"/>
      <c r="AJ646" s="297"/>
      <c r="AK646" s="297"/>
      <c r="AL646" s="297"/>
      <c r="AM646" s="297"/>
      <c r="AN646" s="297"/>
      <c r="AO646" s="297"/>
      <c r="AP646" s="297"/>
      <c r="AQ646" s="297"/>
      <c r="AR646" s="297"/>
      <c r="AS646" s="297"/>
      <c r="AT646" s="297"/>
      <c r="AU646" s="297"/>
      <c r="AV646" s="297"/>
      <c r="AW646" s="297"/>
      <c r="AX646" s="297"/>
      <c r="AY646" s="297"/>
      <c r="AZ646" s="297"/>
      <c r="BA646" s="297"/>
      <c r="BB646" s="297"/>
    </row>
    <row r="647" spans="1:54" thickBot="1">
      <c r="A647" s="298"/>
      <c r="B647" s="298"/>
      <c r="C647" s="298"/>
      <c r="D647" s="298"/>
      <c r="E647" s="298"/>
      <c r="F647" s="282"/>
      <c r="G647" s="298"/>
      <c r="H647" s="298"/>
      <c r="I647" s="282"/>
      <c r="J647" s="298"/>
      <c r="K647" s="566"/>
      <c r="L647" s="282"/>
      <c r="M647" s="282"/>
      <c r="N647" s="298"/>
      <c r="O647" s="282"/>
      <c r="P647" s="282"/>
      <c r="Q647" s="298"/>
      <c r="R647" s="282"/>
      <c r="S647" s="282"/>
      <c r="T647" s="298"/>
      <c r="U647" s="282"/>
      <c r="V647" s="298"/>
      <c r="W647" s="298"/>
      <c r="X647" s="297"/>
      <c r="Y647" s="297"/>
      <c r="Z647" s="297"/>
      <c r="AA647" s="297"/>
      <c r="AB647" s="297"/>
      <c r="AC647" s="297"/>
      <c r="AD647" s="297"/>
      <c r="AE647" s="297"/>
      <c r="AF647" s="297"/>
      <c r="AG647" s="297"/>
      <c r="AH647" s="297"/>
      <c r="AI647" s="297"/>
      <c r="AJ647" s="297"/>
      <c r="AK647" s="297"/>
      <c r="AL647" s="297"/>
      <c r="AM647" s="297"/>
      <c r="AN647" s="297"/>
      <c r="AO647" s="297"/>
      <c r="AP647" s="297"/>
      <c r="AQ647" s="297"/>
      <c r="AR647" s="297"/>
      <c r="AS647" s="297"/>
      <c r="AT647" s="297"/>
      <c r="AU647" s="297"/>
      <c r="AV647" s="297"/>
      <c r="AW647" s="297"/>
      <c r="AX647" s="297"/>
      <c r="AY647" s="297"/>
      <c r="AZ647" s="297"/>
      <c r="BA647" s="297"/>
      <c r="BB647" s="297"/>
    </row>
    <row r="648" spans="1:54" thickBot="1">
      <c r="A648" s="298"/>
      <c r="B648" s="298"/>
      <c r="C648" s="298"/>
      <c r="D648" s="298"/>
      <c r="E648" s="298"/>
      <c r="F648" s="282"/>
      <c r="G648" s="298"/>
      <c r="H648" s="298"/>
      <c r="I648" s="282"/>
      <c r="J648" s="298"/>
      <c r="K648" s="566"/>
      <c r="L648" s="282"/>
      <c r="M648" s="282"/>
      <c r="N648" s="298"/>
      <c r="O648" s="282"/>
      <c r="P648" s="282"/>
      <c r="Q648" s="298"/>
      <c r="R648" s="282"/>
      <c r="S648" s="282"/>
      <c r="T648" s="298"/>
      <c r="U648" s="282"/>
      <c r="V648" s="298"/>
      <c r="W648" s="298"/>
      <c r="X648" s="297"/>
      <c r="Y648" s="297"/>
      <c r="Z648" s="297"/>
      <c r="AA648" s="297"/>
      <c r="AB648" s="297"/>
      <c r="AC648" s="297"/>
      <c r="AD648" s="297"/>
      <c r="AE648" s="297"/>
      <c r="AF648" s="297"/>
      <c r="AG648" s="297"/>
      <c r="AH648" s="297"/>
      <c r="AI648" s="297"/>
      <c r="AJ648" s="297"/>
      <c r="AK648" s="297"/>
      <c r="AL648" s="297"/>
      <c r="AM648" s="297"/>
      <c r="AN648" s="297"/>
      <c r="AO648" s="297"/>
      <c r="AP648" s="297"/>
      <c r="AQ648" s="297"/>
      <c r="AR648" s="297"/>
      <c r="AS648" s="297"/>
      <c r="AT648" s="297"/>
      <c r="AU648" s="297"/>
      <c r="AV648" s="297"/>
      <c r="AW648" s="297"/>
      <c r="AX648" s="297"/>
      <c r="AY648" s="297"/>
      <c r="AZ648" s="297"/>
      <c r="BA648" s="297"/>
      <c r="BB648" s="297"/>
    </row>
    <row r="649" spans="1:54" thickBot="1">
      <c r="A649" s="298"/>
      <c r="B649" s="298"/>
      <c r="C649" s="298"/>
      <c r="D649" s="298"/>
      <c r="E649" s="298"/>
      <c r="F649" s="282"/>
      <c r="G649" s="298"/>
      <c r="H649" s="298"/>
      <c r="I649" s="282"/>
      <c r="J649" s="298"/>
      <c r="K649" s="566"/>
      <c r="L649" s="282"/>
      <c r="M649" s="282"/>
      <c r="N649" s="298"/>
      <c r="O649" s="282"/>
      <c r="P649" s="282"/>
      <c r="Q649" s="298"/>
      <c r="R649" s="282"/>
      <c r="S649" s="282"/>
      <c r="T649" s="298"/>
      <c r="U649" s="282"/>
      <c r="V649" s="298"/>
      <c r="W649" s="298"/>
      <c r="X649" s="297"/>
      <c r="Y649" s="297"/>
      <c r="Z649" s="297"/>
      <c r="AA649" s="297"/>
      <c r="AB649" s="297"/>
      <c r="AC649" s="297"/>
      <c r="AD649" s="297"/>
      <c r="AE649" s="297"/>
      <c r="AF649" s="297"/>
      <c r="AG649" s="297"/>
      <c r="AH649" s="297"/>
      <c r="AI649" s="297"/>
      <c r="AJ649" s="297"/>
      <c r="AK649" s="297"/>
      <c r="AL649" s="297"/>
      <c r="AM649" s="297"/>
      <c r="AN649" s="297"/>
      <c r="AO649" s="297"/>
      <c r="AP649" s="297"/>
      <c r="AQ649" s="297"/>
      <c r="AR649" s="297"/>
      <c r="AS649" s="297"/>
      <c r="AT649" s="297"/>
      <c r="AU649" s="297"/>
      <c r="AV649" s="297"/>
      <c r="AW649" s="297"/>
      <c r="AX649" s="297"/>
      <c r="AY649" s="297"/>
      <c r="AZ649" s="297"/>
      <c r="BA649" s="297"/>
      <c r="BB649" s="297"/>
    </row>
    <row r="650" spans="1:54" thickBot="1">
      <c r="A650" s="298"/>
      <c r="B650" s="298"/>
      <c r="C650" s="298"/>
      <c r="D650" s="298"/>
      <c r="E650" s="298"/>
      <c r="F650" s="282"/>
      <c r="G650" s="298"/>
      <c r="H650" s="298"/>
      <c r="I650" s="282"/>
      <c r="J650" s="298"/>
      <c r="K650" s="566"/>
      <c r="L650" s="282"/>
      <c r="M650" s="282"/>
      <c r="N650" s="298"/>
      <c r="O650" s="282"/>
      <c r="P650" s="282"/>
      <c r="Q650" s="298"/>
      <c r="R650" s="282"/>
      <c r="S650" s="282"/>
      <c r="T650" s="298"/>
      <c r="U650" s="282"/>
      <c r="V650" s="298"/>
      <c r="W650" s="298"/>
      <c r="X650" s="297"/>
      <c r="Y650" s="297"/>
      <c r="Z650" s="297"/>
      <c r="AA650" s="297"/>
      <c r="AB650" s="297"/>
      <c r="AC650" s="297"/>
      <c r="AD650" s="297"/>
      <c r="AE650" s="297"/>
      <c r="AF650" s="297"/>
      <c r="AG650" s="297"/>
      <c r="AH650" s="297"/>
      <c r="AI650" s="297"/>
      <c r="AJ650" s="297"/>
      <c r="AK650" s="297"/>
      <c r="AL650" s="297"/>
      <c r="AM650" s="297"/>
      <c r="AN650" s="297"/>
      <c r="AO650" s="297"/>
      <c r="AP650" s="297"/>
      <c r="AQ650" s="297"/>
      <c r="AR650" s="297"/>
      <c r="AS650" s="297"/>
      <c r="AT650" s="297"/>
      <c r="AU650" s="297"/>
      <c r="AV650" s="297"/>
      <c r="AW650" s="297"/>
      <c r="AX650" s="297"/>
      <c r="AY650" s="297"/>
      <c r="AZ650" s="297"/>
      <c r="BA650" s="297"/>
      <c r="BB650" s="297"/>
    </row>
    <row r="651" spans="1:54" thickBot="1">
      <c r="A651" s="298"/>
      <c r="B651" s="298"/>
      <c r="C651" s="298"/>
      <c r="D651" s="298"/>
      <c r="E651" s="298"/>
      <c r="F651" s="282"/>
      <c r="G651" s="298"/>
      <c r="H651" s="298"/>
      <c r="I651" s="282"/>
      <c r="J651" s="298"/>
      <c r="K651" s="566"/>
      <c r="L651" s="282"/>
      <c r="M651" s="282"/>
      <c r="N651" s="298"/>
      <c r="O651" s="282"/>
      <c r="P651" s="282"/>
      <c r="Q651" s="298"/>
      <c r="R651" s="282"/>
      <c r="S651" s="282"/>
      <c r="T651" s="298"/>
      <c r="U651" s="282"/>
      <c r="V651" s="298"/>
      <c r="W651" s="298"/>
      <c r="X651" s="297"/>
      <c r="Y651" s="297"/>
      <c r="Z651" s="297"/>
      <c r="AA651" s="297"/>
      <c r="AB651" s="297"/>
      <c r="AC651" s="297"/>
      <c r="AD651" s="297"/>
      <c r="AE651" s="297"/>
      <c r="AF651" s="297"/>
      <c r="AG651" s="297"/>
      <c r="AH651" s="297"/>
      <c r="AI651" s="297"/>
      <c r="AJ651" s="297"/>
      <c r="AK651" s="297"/>
      <c r="AL651" s="297"/>
      <c r="AM651" s="297"/>
      <c r="AN651" s="297"/>
      <c r="AO651" s="297"/>
      <c r="AP651" s="297"/>
      <c r="AQ651" s="297"/>
      <c r="AR651" s="297"/>
      <c r="AS651" s="297"/>
      <c r="AT651" s="297"/>
      <c r="AU651" s="297"/>
      <c r="AV651" s="297"/>
      <c r="AW651" s="297"/>
      <c r="AX651" s="297"/>
      <c r="AY651" s="297"/>
      <c r="AZ651" s="297"/>
      <c r="BA651" s="297"/>
      <c r="BB651" s="297"/>
    </row>
    <row r="652" spans="1:54" thickBot="1">
      <c r="A652" s="298"/>
      <c r="B652" s="298"/>
      <c r="C652" s="298"/>
      <c r="D652" s="298"/>
      <c r="E652" s="298"/>
      <c r="F652" s="282"/>
      <c r="G652" s="298"/>
      <c r="H652" s="298"/>
      <c r="I652" s="282"/>
      <c r="J652" s="298"/>
      <c r="K652" s="566"/>
      <c r="L652" s="282"/>
      <c r="M652" s="282"/>
      <c r="N652" s="298"/>
      <c r="O652" s="282"/>
      <c r="P652" s="282"/>
      <c r="Q652" s="298"/>
      <c r="R652" s="282"/>
      <c r="S652" s="282"/>
      <c r="T652" s="298"/>
      <c r="U652" s="282"/>
      <c r="V652" s="298"/>
      <c r="W652" s="298"/>
      <c r="X652" s="297"/>
      <c r="Y652" s="297"/>
      <c r="Z652" s="297"/>
      <c r="AA652" s="297"/>
      <c r="AB652" s="297"/>
      <c r="AC652" s="297"/>
      <c r="AD652" s="297"/>
      <c r="AE652" s="297"/>
      <c r="AF652" s="297"/>
      <c r="AG652" s="297"/>
      <c r="AH652" s="297"/>
      <c r="AI652" s="297"/>
      <c r="AJ652" s="297"/>
      <c r="AK652" s="297"/>
      <c r="AL652" s="297"/>
      <c r="AM652" s="297"/>
      <c r="AN652" s="297"/>
      <c r="AO652" s="297"/>
      <c r="AP652" s="297"/>
      <c r="AQ652" s="297"/>
      <c r="AR652" s="297"/>
      <c r="AS652" s="297"/>
      <c r="AT652" s="297"/>
      <c r="AU652" s="297"/>
      <c r="AV652" s="297"/>
      <c r="AW652" s="297"/>
      <c r="AX652" s="297"/>
      <c r="AY652" s="297"/>
      <c r="AZ652" s="297"/>
      <c r="BA652" s="297"/>
      <c r="BB652" s="297"/>
    </row>
    <row r="653" spans="1:54" thickBot="1">
      <c r="A653" s="298"/>
      <c r="B653" s="298"/>
      <c r="C653" s="298"/>
      <c r="D653" s="298"/>
      <c r="E653" s="298"/>
      <c r="F653" s="282"/>
      <c r="G653" s="298"/>
      <c r="H653" s="298"/>
      <c r="I653" s="282"/>
      <c r="J653" s="298"/>
      <c r="K653" s="566"/>
      <c r="L653" s="282"/>
      <c r="M653" s="282"/>
      <c r="N653" s="298"/>
      <c r="O653" s="282"/>
      <c r="P653" s="282"/>
      <c r="Q653" s="298"/>
      <c r="R653" s="282"/>
      <c r="S653" s="282"/>
      <c r="T653" s="298"/>
      <c r="U653" s="282"/>
      <c r="V653" s="298"/>
      <c r="W653" s="298"/>
      <c r="X653" s="297"/>
      <c r="Y653" s="297"/>
      <c r="Z653" s="297"/>
      <c r="AA653" s="297"/>
      <c r="AB653" s="297"/>
      <c r="AC653" s="297"/>
      <c r="AD653" s="297"/>
      <c r="AE653" s="297"/>
      <c r="AF653" s="297"/>
      <c r="AG653" s="297"/>
      <c r="AH653" s="297"/>
      <c r="AI653" s="297"/>
      <c r="AJ653" s="297"/>
      <c r="AK653" s="297"/>
      <c r="AL653" s="297"/>
      <c r="AM653" s="297"/>
      <c r="AN653" s="297"/>
      <c r="AO653" s="297"/>
      <c r="AP653" s="297"/>
      <c r="AQ653" s="297"/>
      <c r="AR653" s="297"/>
      <c r="AS653" s="297"/>
      <c r="AT653" s="297"/>
      <c r="AU653" s="297"/>
      <c r="AV653" s="297"/>
      <c r="AW653" s="297"/>
      <c r="AX653" s="297"/>
      <c r="AY653" s="297"/>
      <c r="AZ653" s="297"/>
      <c r="BA653" s="297"/>
      <c r="BB653" s="297"/>
    </row>
    <row r="654" spans="1:54" thickBot="1">
      <c r="A654" s="298"/>
      <c r="B654" s="298"/>
      <c r="C654" s="298"/>
      <c r="D654" s="298"/>
      <c r="E654" s="298"/>
      <c r="F654" s="282"/>
      <c r="G654" s="298"/>
      <c r="H654" s="298"/>
      <c r="I654" s="282"/>
      <c r="J654" s="298"/>
      <c r="K654" s="566"/>
      <c r="L654" s="282"/>
      <c r="M654" s="282"/>
      <c r="N654" s="298"/>
      <c r="O654" s="282"/>
      <c r="P654" s="282"/>
      <c r="Q654" s="298"/>
      <c r="R654" s="282"/>
      <c r="S654" s="282"/>
      <c r="T654" s="298"/>
      <c r="U654" s="282"/>
      <c r="V654" s="298"/>
      <c r="W654" s="298"/>
      <c r="X654" s="297"/>
      <c r="Y654" s="297"/>
      <c r="Z654" s="297"/>
      <c r="AA654" s="297"/>
      <c r="AB654" s="297"/>
      <c r="AC654" s="297"/>
      <c r="AD654" s="297"/>
      <c r="AE654" s="297"/>
      <c r="AF654" s="297"/>
      <c r="AG654" s="297"/>
      <c r="AH654" s="297"/>
      <c r="AI654" s="297"/>
      <c r="AJ654" s="297"/>
      <c r="AK654" s="297"/>
      <c r="AL654" s="297"/>
      <c r="AM654" s="297"/>
      <c r="AN654" s="297"/>
      <c r="AO654" s="297"/>
      <c r="AP654" s="297"/>
      <c r="AQ654" s="297"/>
      <c r="AR654" s="297"/>
      <c r="AS654" s="297"/>
      <c r="AT654" s="297"/>
      <c r="AU654" s="297"/>
      <c r="AV654" s="297"/>
      <c r="AW654" s="297"/>
      <c r="AX654" s="297"/>
      <c r="AY654" s="297"/>
      <c r="AZ654" s="297"/>
      <c r="BA654" s="297"/>
      <c r="BB654" s="297"/>
    </row>
    <row r="655" spans="1:54" thickBot="1">
      <c r="A655" s="298"/>
      <c r="B655" s="298"/>
      <c r="C655" s="298"/>
      <c r="D655" s="298"/>
      <c r="E655" s="298"/>
      <c r="F655" s="282"/>
      <c r="G655" s="298"/>
      <c r="H655" s="298"/>
      <c r="I655" s="282"/>
      <c r="J655" s="298"/>
      <c r="K655" s="566"/>
      <c r="L655" s="282"/>
      <c r="M655" s="282"/>
      <c r="N655" s="298"/>
      <c r="O655" s="282"/>
      <c r="P655" s="282"/>
      <c r="Q655" s="298"/>
      <c r="R655" s="282"/>
      <c r="S655" s="282"/>
      <c r="T655" s="298"/>
      <c r="U655" s="282"/>
      <c r="V655" s="298"/>
      <c r="W655" s="298"/>
      <c r="X655" s="297"/>
      <c r="Y655" s="297"/>
      <c r="Z655" s="297"/>
      <c r="AA655" s="297"/>
      <c r="AB655" s="297"/>
      <c r="AC655" s="297"/>
      <c r="AD655" s="297"/>
      <c r="AE655" s="297"/>
      <c r="AF655" s="297"/>
      <c r="AG655" s="297"/>
      <c r="AH655" s="297"/>
      <c r="AI655" s="297"/>
      <c r="AJ655" s="297"/>
      <c r="AK655" s="297"/>
      <c r="AL655" s="297"/>
      <c r="AM655" s="297"/>
      <c r="AN655" s="297"/>
      <c r="AO655" s="297"/>
      <c r="AP655" s="297"/>
      <c r="AQ655" s="297"/>
      <c r="AR655" s="297"/>
      <c r="AS655" s="297"/>
      <c r="AT655" s="297"/>
      <c r="AU655" s="297"/>
      <c r="AV655" s="297"/>
      <c r="AW655" s="297"/>
      <c r="AX655" s="297"/>
      <c r="AY655" s="297"/>
      <c r="AZ655" s="297"/>
      <c r="BA655" s="297"/>
      <c r="BB655" s="297"/>
    </row>
    <row r="656" spans="1:54" thickBot="1">
      <c r="A656" s="298"/>
      <c r="B656" s="298"/>
      <c r="C656" s="298"/>
      <c r="D656" s="298"/>
      <c r="E656" s="298"/>
      <c r="F656" s="282"/>
      <c r="G656" s="298"/>
      <c r="H656" s="298"/>
      <c r="I656" s="282"/>
      <c r="J656" s="298"/>
      <c r="K656" s="566"/>
      <c r="L656" s="282"/>
      <c r="M656" s="282"/>
      <c r="N656" s="298"/>
      <c r="O656" s="282"/>
      <c r="P656" s="282"/>
      <c r="Q656" s="298"/>
      <c r="R656" s="282"/>
      <c r="S656" s="282"/>
      <c r="T656" s="298"/>
      <c r="U656" s="282"/>
      <c r="V656" s="298"/>
      <c r="W656" s="298"/>
      <c r="X656" s="297"/>
      <c r="Y656" s="297"/>
      <c r="Z656" s="297"/>
      <c r="AA656" s="297"/>
      <c r="AB656" s="297"/>
      <c r="AC656" s="297"/>
      <c r="AD656" s="297"/>
      <c r="AE656" s="297"/>
      <c r="AF656" s="297"/>
      <c r="AG656" s="297"/>
      <c r="AH656" s="297"/>
      <c r="AI656" s="297"/>
      <c r="AJ656" s="297"/>
      <c r="AK656" s="297"/>
      <c r="AL656" s="297"/>
      <c r="AM656" s="297"/>
      <c r="AN656" s="297"/>
      <c r="AO656" s="297"/>
      <c r="AP656" s="297"/>
      <c r="AQ656" s="297"/>
      <c r="AR656" s="297"/>
      <c r="AS656" s="297"/>
      <c r="AT656" s="297"/>
      <c r="AU656" s="297"/>
      <c r="AV656" s="297"/>
      <c r="AW656" s="297"/>
      <c r="AX656" s="297"/>
      <c r="AY656" s="297"/>
      <c r="AZ656" s="297"/>
      <c r="BA656" s="297"/>
      <c r="BB656" s="297"/>
    </row>
    <row r="657" spans="1:54" thickBot="1">
      <c r="A657" s="298"/>
      <c r="B657" s="298"/>
      <c r="C657" s="298"/>
      <c r="D657" s="298"/>
      <c r="E657" s="298"/>
      <c r="F657" s="282"/>
      <c r="G657" s="298"/>
      <c r="H657" s="298"/>
      <c r="I657" s="282"/>
      <c r="J657" s="298"/>
      <c r="K657" s="566"/>
      <c r="L657" s="282"/>
      <c r="M657" s="282"/>
      <c r="N657" s="298"/>
      <c r="O657" s="282"/>
      <c r="P657" s="282"/>
      <c r="Q657" s="298"/>
      <c r="R657" s="282"/>
      <c r="S657" s="282"/>
      <c r="T657" s="298"/>
      <c r="U657" s="282"/>
      <c r="V657" s="298"/>
      <c r="W657" s="298"/>
      <c r="X657" s="297"/>
      <c r="Y657" s="297"/>
      <c r="Z657" s="297"/>
      <c r="AA657" s="297"/>
      <c r="AB657" s="297"/>
      <c r="AC657" s="297"/>
      <c r="AD657" s="297"/>
      <c r="AE657" s="297"/>
      <c r="AF657" s="297"/>
      <c r="AG657" s="297"/>
      <c r="AH657" s="297"/>
      <c r="AI657" s="297"/>
      <c r="AJ657" s="297"/>
      <c r="AK657" s="297"/>
      <c r="AL657" s="297"/>
      <c r="AM657" s="297"/>
      <c r="AN657" s="297"/>
      <c r="AO657" s="297"/>
      <c r="AP657" s="297"/>
      <c r="AQ657" s="297"/>
      <c r="AR657" s="297"/>
      <c r="AS657" s="297"/>
      <c r="AT657" s="297"/>
      <c r="AU657" s="297"/>
      <c r="AV657" s="297"/>
      <c r="AW657" s="297"/>
      <c r="AX657" s="297"/>
      <c r="AY657" s="297"/>
      <c r="AZ657" s="297"/>
      <c r="BA657" s="297"/>
      <c r="BB657" s="297"/>
    </row>
    <row r="658" spans="1:54" thickBot="1">
      <c r="A658" s="298"/>
      <c r="B658" s="298"/>
      <c r="C658" s="298"/>
      <c r="D658" s="298"/>
      <c r="E658" s="298"/>
      <c r="F658" s="282"/>
      <c r="G658" s="298"/>
      <c r="H658" s="298"/>
      <c r="I658" s="282"/>
      <c r="J658" s="298"/>
      <c r="K658" s="566"/>
      <c r="L658" s="282"/>
      <c r="M658" s="282"/>
      <c r="N658" s="298"/>
      <c r="O658" s="282"/>
      <c r="P658" s="282"/>
      <c r="Q658" s="298"/>
      <c r="R658" s="282"/>
      <c r="S658" s="282"/>
      <c r="T658" s="298"/>
      <c r="U658" s="282"/>
      <c r="V658" s="298"/>
      <c r="W658" s="298"/>
      <c r="X658" s="297"/>
      <c r="Y658" s="297"/>
      <c r="Z658" s="297"/>
      <c r="AA658" s="297"/>
      <c r="AB658" s="297"/>
      <c r="AC658" s="297"/>
      <c r="AD658" s="297"/>
      <c r="AE658" s="297"/>
      <c r="AF658" s="297"/>
      <c r="AG658" s="297"/>
      <c r="AH658" s="297"/>
      <c r="AI658" s="297"/>
      <c r="AJ658" s="297"/>
      <c r="AK658" s="297"/>
      <c r="AL658" s="297"/>
      <c r="AM658" s="297"/>
      <c r="AN658" s="297"/>
      <c r="AO658" s="297"/>
      <c r="AP658" s="297"/>
      <c r="AQ658" s="297"/>
      <c r="AR658" s="297"/>
      <c r="AS658" s="297"/>
      <c r="AT658" s="297"/>
      <c r="AU658" s="297"/>
      <c r="AV658" s="297"/>
      <c r="AW658" s="297"/>
      <c r="AX658" s="297"/>
      <c r="AY658" s="297"/>
      <c r="AZ658" s="297"/>
      <c r="BA658" s="297"/>
      <c r="BB658" s="297"/>
    </row>
    <row r="659" spans="1:54" thickBot="1">
      <c r="A659" s="298"/>
      <c r="B659" s="298"/>
      <c r="C659" s="298"/>
      <c r="D659" s="298"/>
      <c r="E659" s="298"/>
      <c r="F659" s="282"/>
      <c r="G659" s="298"/>
      <c r="H659" s="298"/>
      <c r="I659" s="282"/>
      <c r="J659" s="298"/>
      <c r="K659" s="566"/>
      <c r="L659" s="282"/>
      <c r="M659" s="282"/>
      <c r="N659" s="298"/>
      <c r="O659" s="282"/>
      <c r="P659" s="282"/>
      <c r="Q659" s="298"/>
      <c r="R659" s="282"/>
      <c r="S659" s="282"/>
      <c r="T659" s="298"/>
      <c r="U659" s="282"/>
      <c r="V659" s="298"/>
      <c r="W659" s="298"/>
      <c r="X659" s="297"/>
      <c r="Y659" s="297"/>
      <c r="Z659" s="297"/>
      <c r="AA659" s="297"/>
      <c r="AB659" s="297"/>
      <c r="AC659" s="297"/>
      <c r="AD659" s="297"/>
      <c r="AE659" s="297"/>
      <c r="AF659" s="297"/>
      <c r="AG659" s="297"/>
      <c r="AH659" s="297"/>
      <c r="AI659" s="297"/>
      <c r="AJ659" s="297"/>
      <c r="AK659" s="297"/>
      <c r="AL659" s="297"/>
      <c r="AM659" s="297"/>
      <c r="AN659" s="297"/>
      <c r="AO659" s="297"/>
      <c r="AP659" s="297"/>
      <c r="AQ659" s="297"/>
      <c r="AR659" s="297"/>
      <c r="AS659" s="297"/>
      <c r="AT659" s="297"/>
      <c r="AU659" s="297"/>
      <c r="AV659" s="297"/>
      <c r="AW659" s="297"/>
      <c r="AX659" s="297"/>
      <c r="AY659" s="297"/>
      <c r="AZ659" s="297"/>
      <c r="BA659" s="297"/>
      <c r="BB659" s="297"/>
    </row>
    <row r="660" spans="1:54" thickBot="1">
      <c r="A660" s="298"/>
      <c r="B660" s="298"/>
      <c r="C660" s="298"/>
      <c r="D660" s="298"/>
      <c r="E660" s="298"/>
      <c r="F660" s="282"/>
      <c r="G660" s="298"/>
      <c r="H660" s="298"/>
      <c r="I660" s="282"/>
      <c r="J660" s="298"/>
      <c r="K660" s="566"/>
      <c r="L660" s="282"/>
      <c r="M660" s="282"/>
      <c r="N660" s="298"/>
      <c r="O660" s="282"/>
      <c r="P660" s="282"/>
      <c r="Q660" s="298"/>
      <c r="R660" s="282"/>
      <c r="S660" s="282"/>
      <c r="T660" s="298"/>
      <c r="U660" s="282"/>
      <c r="V660" s="298"/>
      <c r="W660" s="298"/>
      <c r="X660" s="297"/>
      <c r="Y660" s="297"/>
      <c r="Z660" s="297"/>
      <c r="AA660" s="297"/>
      <c r="AB660" s="297"/>
      <c r="AC660" s="297"/>
      <c r="AD660" s="297"/>
      <c r="AE660" s="297"/>
      <c r="AF660" s="297"/>
      <c r="AG660" s="297"/>
      <c r="AH660" s="297"/>
      <c r="AI660" s="297"/>
      <c r="AJ660" s="297"/>
      <c r="AK660" s="297"/>
      <c r="AL660" s="297"/>
      <c r="AM660" s="297"/>
      <c r="AN660" s="297"/>
      <c r="AO660" s="297"/>
      <c r="AP660" s="297"/>
      <c r="AQ660" s="297"/>
      <c r="AR660" s="297"/>
      <c r="AS660" s="297"/>
      <c r="AT660" s="297"/>
      <c r="AU660" s="297"/>
      <c r="AV660" s="297"/>
      <c r="AW660" s="297"/>
      <c r="AX660" s="297"/>
      <c r="AY660" s="297"/>
      <c r="AZ660" s="297"/>
      <c r="BA660" s="297"/>
      <c r="BB660" s="297"/>
    </row>
    <row r="661" spans="1:54" thickBot="1">
      <c r="A661" s="298"/>
      <c r="B661" s="298"/>
      <c r="C661" s="298"/>
      <c r="D661" s="298"/>
      <c r="E661" s="298"/>
      <c r="F661" s="282"/>
      <c r="G661" s="298"/>
      <c r="H661" s="298"/>
      <c r="I661" s="282"/>
      <c r="J661" s="298"/>
      <c r="K661" s="566"/>
      <c r="L661" s="282"/>
      <c r="M661" s="282"/>
      <c r="N661" s="298"/>
      <c r="O661" s="282"/>
      <c r="P661" s="282"/>
      <c r="Q661" s="298"/>
      <c r="R661" s="282"/>
      <c r="S661" s="282"/>
      <c r="T661" s="298"/>
      <c r="U661" s="282"/>
      <c r="V661" s="298"/>
      <c r="W661" s="298"/>
      <c r="X661" s="297"/>
      <c r="Y661" s="297"/>
      <c r="Z661" s="297"/>
      <c r="AA661" s="297"/>
      <c r="AB661" s="297"/>
      <c r="AC661" s="297"/>
      <c r="AD661" s="297"/>
      <c r="AE661" s="297"/>
      <c r="AF661" s="297"/>
      <c r="AG661" s="297"/>
      <c r="AH661" s="297"/>
      <c r="AI661" s="297"/>
      <c r="AJ661" s="297"/>
      <c r="AK661" s="297"/>
      <c r="AL661" s="297"/>
      <c r="AM661" s="297"/>
      <c r="AN661" s="297"/>
      <c r="AO661" s="297"/>
      <c r="AP661" s="297"/>
      <c r="AQ661" s="297"/>
      <c r="AR661" s="297"/>
      <c r="AS661" s="297"/>
      <c r="AT661" s="297"/>
      <c r="AU661" s="297"/>
      <c r="AV661" s="297"/>
      <c r="AW661" s="297"/>
      <c r="AX661" s="297"/>
      <c r="AY661" s="297"/>
      <c r="AZ661" s="297"/>
      <c r="BA661" s="297"/>
      <c r="BB661" s="297"/>
    </row>
    <row r="662" spans="1:54" thickBot="1">
      <c r="A662" s="298"/>
      <c r="B662" s="298"/>
      <c r="C662" s="298"/>
      <c r="D662" s="298"/>
      <c r="E662" s="298"/>
      <c r="F662" s="282"/>
      <c r="G662" s="298"/>
      <c r="H662" s="298"/>
      <c r="I662" s="282"/>
      <c r="J662" s="298"/>
      <c r="K662" s="566"/>
      <c r="L662" s="282"/>
      <c r="M662" s="282"/>
      <c r="N662" s="298"/>
      <c r="O662" s="282"/>
      <c r="P662" s="282"/>
      <c r="Q662" s="298"/>
      <c r="R662" s="282"/>
      <c r="S662" s="282"/>
      <c r="T662" s="298"/>
      <c r="U662" s="282"/>
      <c r="V662" s="298"/>
      <c r="W662" s="298"/>
      <c r="X662" s="297"/>
      <c r="Y662" s="297"/>
      <c r="Z662" s="297"/>
      <c r="AA662" s="297"/>
      <c r="AB662" s="297"/>
      <c r="AC662" s="297"/>
      <c r="AD662" s="297"/>
      <c r="AE662" s="297"/>
      <c r="AF662" s="297"/>
      <c r="AG662" s="297"/>
      <c r="AH662" s="297"/>
      <c r="AI662" s="297"/>
      <c r="AJ662" s="297"/>
      <c r="AK662" s="297"/>
      <c r="AL662" s="297"/>
      <c r="AM662" s="297"/>
      <c r="AN662" s="297"/>
      <c r="AO662" s="297"/>
      <c r="AP662" s="297"/>
      <c r="AQ662" s="297"/>
      <c r="AR662" s="297"/>
      <c r="AS662" s="297"/>
      <c r="AT662" s="297"/>
      <c r="AU662" s="297"/>
      <c r="AV662" s="297"/>
      <c r="AW662" s="297"/>
      <c r="AX662" s="297"/>
      <c r="AY662" s="297"/>
      <c r="AZ662" s="297"/>
      <c r="BA662" s="297"/>
      <c r="BB662" s="297"/>
    </row>
    <row r="663" spans="1:54" thickBot="1">
      <c r="A663" s="298"/>
      <c r="B663" s="298"/>
      <c r="C663" s="298"/>
      <c r="D663" s="298"/>
      <c r="E663" s="298"/>
      <c r="F663" s="282"/>
      <c r="G663" s="298"/>
      <c r="H663" s="298"/>
      <c r="I663" s="282"/>
      <c r="J663" s="298"/>
      <c r="K663" s="566"/>
      <c r="L663" s="282"/>
      <c r="M663" s="282"/>
      <c r="N663" s="298"/>
      <c r="O663" s="282"/>
      <c r="P663" s="282"/>
      <c r="Q663" s="298"/>
      <c r="R663" s="282"/>
      <c r="S663" s="282"/>
      <c r="T663" s="298"/>
      <c r="U663" s="282"/>
      <c r="V663" s="298"/>
      <c r="W663" s="298"/>
      <c r="X663" s="297"/>
      <c r="Y663" s="297"/>
      <c r="Z663" s="297"/>
      <c r="AA663" s="297"/>
      <c r="AB663" s="297"/>
      <c r="AC663" s="297"/>
      <c r="AD663" s="297"/>
      <c r="AE663" s="297"/>
      <c r="AF663" s="297"/>
      <c r="AG663" s="297"/>
      <c r="AH663" s="297"/>
      <c r="AI663" s="297"/>
      <c r="AJ663" s="297"/>
      <c r="AK663" s="297"/>
      <c r="AL663" s="297"/>
      <c r="AM663" s="297"/>
      <c r="AN663" s="297"/>
      <c r="AO663" s="297"/>
      <c r="AP663" s="297"/>
      <c r="AQ663" s="297"/>
      <c r="AR663" s="297"/>
      <c r="AS663" s="297"/>
      <c r="AT663" s="297"/>
      <c r="AU663" s="297"/>
      <c r="AV663" s="297"/>
      <c r="AW663" s="297"/>
      <c r="AX663" s="297"/>
      <c r="AY663" s="297"/>
      <c r="AZ663" s="297"/>
      <c r="BA663" s="297"/>
      <c r="BB663" s="297"/>
    </row>
    <row r="664" spans="1:54" thickBot="1">
      <c r="A664" s="298"/>
      <c r="B664" s="298"/>
      <c r="C664" s="298"/>
      <c r="D664" s="298"/>
      <c r="E664" s="298"/>
      <c r="F664" s="282"/>
      <c r="G664" s="298"/>
      <c r="H664" s="298"/>
      <c r="I664" s="282"/>
      <c r="J664" s="298"/>
      <c r="K664" s="566"/>
      <c r="L664" s="282"/>
      <c r="M664" s="282"/>
      <c r="N664" s="298"/>
      <c r="O664" s="282"/>
      <c r="P664" s="282"/>
      <c r="Q664" s="298"/>
      <c r="R664" s="282"/>
      <c r="S664" s="282"/>
      <c r="T664" s="298"/>
      <c r="U664" s="282"/>
      <c r="V664" s="298"/>
      <c r="W664" s="298"/>
      <c r="X664" s="297"/>
      <c r="Y664" s="297"/>
      <c r="Z664" s="297"/>
      <c r="AA664" s="297"/>
      <c r="AB664" s="297"/>
      <c r="AC664" s="297"/>
      <c r="AD664" s="297"/>
      <c r="AE664" s="297"/>
      <c r="AF664" s="297"/>
      <c r="AG664" s="297"/>
      <c r="AH664" s="297"/>
      <c r="AI664" s="297"/>
      <c r="AJ664" s="297"/>
      <c r="AK664" s="297"/>
      <c r="AL664" s="297"/>
      <c r="AM664" s="297"/>
      <c r="AN664" s="297"/>
      <c r="AO664" s="297"/>
      <c r="AP664" s="297"/>
      <c r="AQ664" s="297"/>
      <c r="AR664" s="297"/>
      <c r="AS664" s="297"/>
      <c r="AT664" s="297"/>
      <c r="AU664" s="297"/>
      <c r="AV664" s="297"/>
      <c r="AW664" s="297"/>
      <c r="AX664" s="297"/>
      <c r="AY664" s="297"/>
      <c r="AZ664" s="297"/>
      <c r="BA664" s="297"/>
      <c r="BB664" s="297"/>
    </row>
    <row r="665" spans="1:54" thickBot="1">
      <c r="A665" s="298"/>
      <c r="B665" s="298"/>
      <c r="C665" s="298"/>
      <c r="D665" s="298"/>
      <c r="E665" s="298"/>
      <c r="F665" s="282"/>
      <c r="G665" s="298"/>
      <c r="H665" s="298"/>
      <c r="I665" s="282"/>
      <c r="J665" s="298"/>
      <c r="K665" s="566"/>
      <c r="L665" s="282"/>
      <c r="M665" s="282"/>
      <c r="N665" s="298"/>
      <c r="O665" s="282"/>
      <c r="P665" s="282"/>
      <c r="Q665" s="298"/>
      <c r="R665" s="282"/>
      <c r="S665" s="282"/>
      <c r="T665" s="298"/>
      <c r="U665" s="282"/>
      <c r="V665" s="298"/>
      <c r="W665" s="298"/>
      <c r="X665" s="297"/>
      <c r="Y665" s="297"/>
      <c r="Z665" s="297"/>
      <c r="AA665" s="297"/>
      <c r="AB665" s="297"/>
      <c r="AC665" s="297"/>
      <c r="AD665" s="297"/>
      <c r="AE665" s="297"/>
      <c r="AF665" s="297"/>
      <c r="AG665" s="297"/>
      <c r="AH665" s="297"/>
      <c r="AI665" s="297"/>
      <c r="AJ665" s="297"/>
      <c r="AK665" s="297"/>
      <c r="AL665" s="297"/>
      <c r="AM665" s="297"/>
      <c r="AN665" s="297"/>
      <c r="AO665" s="297"/>
      <c r="AP665" s="297"/>
      <c r="AQ665" s="297"/>
      <c r="AR665" s="297"/>
      <c r="AS665" s="297"/>
      <c r="AT665" s="297"/>
      <c r="AU665" s="297"/>
      <c r="AV665" s="297"/>
      <c r="AW665" s="297"/>
      <c r="AX665" s="297"/>
      <c r="AY665" s="297"/>
      <c r="AZ665" s="297"/>
      <c r="BA665" s="297"/>
      <c r="BB665" s="297"/>
    </row>
    <row r="666" spans="1:54" thickBot="1">
      <c r="A666" s="298"/>
      <c r="B666" s="298"/>
      <c r="C666" s="298"/>
      <c r="D666" s="298"/>
      <c r="E666" s="298"/>
      <c r="F666" s="282"/>
      <c r="G666" s="298"/>
      <c r="H666" s="298"/>
      <c r="I666" s="282"/>
      <c r="J666" s="298"/>
      <c r="K666" s="566"/>
      <c r="L666" s="282"/>
      <c r="M666" s="282"/>
      <c r="N666" s="298"/>
      <c r="O666" s="282"/>
      <c r="P666" s="282"/>
      <c r="Q666" s="298"/>
      <c r="R666" s="282"/>
      <c r="S666" s="282"/>
      <c r="T666" s="298"/>
      <c r="U666" s="282"/>
      <c r="V666" s="298"/>
      <c r="W666" s="298"/>
      <c r="X666" s="297"/>
      <c r="Y666" s="297"/>
      <c r="Z666" s="297"/>
      <c r="AA666" s="297"/>
      <c r="AB666" s="297"/>
      <c r="AC666" s="297"/>
      <c r="AD666" s="297"/>
      <c r="AE666" s="297"/>
      <c r="AF666" s="297"/>
      <c r="AG666" s="297"/>
      <c r="AH666" s="297"/>
      <c r="AI666" s="297"/>
      <c r="AJ666" s="297"/>
      <c r="AK666" s="297"/>
      <c r="AL666" s="297"/>
      <c r="AM666" s="297"/>
      <c r="AN666" s="297"/>
      <c r="AO666" s="297"/>
      <c r="AP666" s="297"/>
      <c r="AQ666" s="297"/>
      <c r="AR666" s="297"/>
      <c r="AS666" s="297"/>
      <c r="AT666" s="297"/>
      <c r="AU666" s="297"/>
      <c r="AV666" s="297"/>
      <c r="AW666" s="297"/>
      <c r="AX666" s="297"/>
      <c r="AY666" s="297"/>
      <c r="AZ666" s="297"/>
      <c r="BA666" s="297"/>
      <c r="BB666" s="297"/>
    </row>
    <row r="667" spans="1:54" thickBot="1">
      <c r="A667" s="298"/>
      <c r="B667" s="298"/>
      <c r="C667" s="298"/>
      <c r="D667" s="298"/>
      <c r="E667" s="298"/>
      <c r="F667" s="282"/>
      <c r="G667" s="298"/>
      <c r="H667" s="298"/>
      <c r="I667" s="282"/>
      <c r="J667" s="298"/>
      <c r="K667" s="566"/>
      <c r="L667" s="282"/>
      <c r="M667" s="282"/>
      <c r="N667" s="298"/>
      <c r="O667" s="282"/>
      <c r="P667" s="282"/>
      <c r="Q667" s="298"/>
      <c r="R667" s="282"/>
      <c r="S667" s="282"/>
      <c r="T667" s="298"/>
      <c r="U667" s="282"/>
      <c r="V667" s="298"/>
      <c r="W667" s="298"/>
      <c r="X667" s="297"/>
      <c r="Y667" s="297"/>
      <c r="Z667" s="297"/>
      <c r="AA667" s="297"/>
      <c r="AB667" s="297"/>
      <c r="AC667" s="297"/>
      <c r="AD667" s="297"/>
      <c r="AE667" s="297"/>
      <c r="AF667" s="297"/>
      <c r="AG667" s="297"/>
      <c r="AH667" s="297"/>
      <c r="AI667" s="297"/>
      <c r="AJ667" s="297"/>
      <c r="AK667" s="297"/>
      <c r="AL667" s="297"/>
      <c r="AM667" s="297"/>
      <c r="AN667" s="297"/>
      <c r="AO667" s="297"/>
      <c r="AP667" s="297"/>
      <c r="AQ667" s="297"/>
      <c r="AR667" s="297"/>
      <c r="AS667" s="297"/>
      <c r="AT667" s="297"/>
      <c r="AU667" s="297"/>
      <c r="AV667" s="297"/>
      <c r="AW667" s="297"/>
      <c r="AX667" s="297"/>
      <c r="AY667" s="297"/>
      <c r="AZ667" s="297"/>
      <c r="BA667" s="297"/>
      <c r="BB667" s="297"/>
    </row>
    <row r="668" spans="1:54" thickBot="1">
      <c r="A668" s="298"/>
      <c r="B668" s="298"/>
      <c r="C668" s="298"/>
      <c r="D668" s="298"/>
      <c r="E668" s="298"/>
      <c r="F668" s="282"/>
      <c r="G668" s="298"/>
      <c r="H668" s="298"/>
      <c r="I668" s="282"/>
      <c r="J668" s="298"/>
      <c r="K668" s="566"/>
      <c r="L668" s="282"/>
      <c r="M668" s="282"/>
      <c r="N668" s="298"/>
      <c r="O668" s="282"/>
      <c r="P668" s="282"/>
      <c r="Q668" s="298"/>
      <c r="R668" s="282"/>
      <c r="S668" s="282"/>
      <c r="T668" s="298"/>
      <c r="U668" s="282"/>
      <c r="V668" s="298"/>
      <c r="W668" s="298"/>
      <c r="X668" s="297"/>
      <c r="Y668" s="297"/>
      <c r="Z668" s="297"/>
      <c r="AA668" s="297"/>
      <c r="AB668" s="297"/>
      <c r="AC668" s="297"/>
      <c r="AD668" s="297"/>
      <c r="AE668" s="297"/>
      <c r="AF668" s="297"/>
      <c r="AG668" s="297"/>
      <c r="AH668" s="297"/>
      <c r="AI668" s="297"/>
      <c r="AJ668" s="297"/>
      <c r="AK668" s="297"/>
      <c r="AL668" s="297"/>
      <c r="AM668" s="297"/>
      <c r="AN668" s="297"/>
      <c r="AO668" s="297"/>
      <c r="AP668" s="297"/>
      <c r="AQ668" s="297"/>
      <c r="AR668" s="297"/>
      <c r="AS668" s="297"/>
      <c r="AT668" s="297"/>
      <c r="AU668" s="297"/>
      <c r="AV668" s="297"/>
      <c r="AW668" s="297"/>
      <c r="AX668" s="297"/>
      <c r="AY668" s="297"/>
      <c r="AZ668" s="297"/>
      <c r="BA668" s="297"/>
      <c r="BB668" s="297"/>
    </row>
    <row r="669" spans="1:54" thickBot="1">
      <c r="A669" s="298"/>
      <c r="B669" s="298"/>
      <c r="C669" s="298"/>
      <c r="D669" s="298"/>
      <c r="E669" s="298"/>
      <c r="F669" s="282"/>
      <c r="G669" s="298"/>
      <c r="H669" s="298"/>
      <c r="I669" s="282"/>
      <c r="J669" s="298"/>
      <c r="K669" s="566"/>
      <c r="L669" s="282"/>
      <c r="M669" s="282"/>
      <c r="N669" s="298"/>
      <c r="O669" s="282"/>
      <c r="P669" s="282"/>
      <c r="Q669" s="298"/>
      <c r="R669" s="282"/>
      <c r="S669" s="282"/>
      <c r="T669" s="298"/>
      <c r="U669" s="282"/>
      <c r="V669" s="298"/>
      <c r="W669" s="298"/>
      <c r="X669" s="297"/>
      <c r="Y669" s="297"/>
      <c r="Z669" s="297"/>
      <c r="AA669" s="297"/>
      <c r="AB669" s="297"/>
      <c r="AC669" s="297"/>
      <c r="AD669" s="297"/>
      <c r="AE669" s="297"/>
      <c r="AF669" s="297"/>
      <c r="AG669" s="297"/>
      <c r="AH669" s="297"/>
      <c r="AI669" s="297"/>
      <c r="AJ669" s="297"/>
      <c r="AK669" s="297"/>
      <c r="AL669" s="297"/>
      <c r="AM669" s="297"/>
      <c r="AN669" s="297"/>
      <c r="AO669" s="297"/>
      <c r="AP669" s="297"/>
      <c r="AQ669" s="297"/>
      <c r="AR669" s="297"/>
      <c r="AS669" s="297"/>
      <c r="AT669" s="297"/>
      <c r="AU669" s="297"/>
      <c r="AV669" s="297"/>
      <c r="AW669" s="297"/>
      <c r="AX669" s="297"/>
      <c r="AY669" s="297"/>
      <c r="AZ669" s="297"/>
      <c r="BA669" s="297"/>
      <c r="BB669" s="297"/>
    </row>
    <row r="670" spans="1:54" thickBot="1">
      <c r="A670" s="298"/>
      <c r="B670" s="298"/>
      <c r="C670" s="298"/>
      <c r="D670" s="298"/>
      <c r="E670" s="298"/>
      <c r="F670" s="282"/>
      <c r="G670" s="298"/>
      <c r="H670" s="298"/>
      <c r="I670" s="282"/>
      <c r="J670" s="298"/>
      <c r="K670" s="566"/>
      <c r="L670" s="282"/>
      <c r="M670" s="282"/>
      <c r="N670" s="298"/>
      <c r="O670" s="282"/>
      <c r="P670" s="282"/>
      <c r="Q670" s="298"/>
      <c r="R670" s="282"/>
      <c r="S670" s="282"/>
      <c r="T670" s="298"/>
      <c r="U670" s="282"/>
      <c r="V670" s="298"/>
      <c r="W670" s="298"/>
      <c r="X670" s="297"/>
      <c r="Y670" s="297"/>
      <c r="Z670" s="297"/>
      <c r="AA670" s="297"/>
      <c r="AB670" s="297"/>
      <c r="AC670" s="297"/>
      <c r="AD670" s="297"/>
      <c r="AE670" s="297"/>
      <c r="AF670" s="297"/>
      <c r="AG670" s="297"/>
      <c r="AH670" s="297"/>
      <c r="AI670" s="297"/>
      <c r="AJ670" s="297"/>
      <c r="AK670" s="297"/>
      <c r="AL670" s="297"/>
      <c r="AM670" s="297"/>
      <c r="AN670" s="297"/>
      <c r="AO670" s="297"/>
      <c r="AP670" s="297"/>
      <c r="AQ670" s="297"/>
      <c r="AR670" s="297"/>
      <c r="AS670" s="297"/>
      <c r="AT670" s="297"/>
      <c r="AU670" s="297"/>
      <c r="AV670" s="297"/>
      <c r="AW670" s="297"/>
      <c r="AX670" s="297"/>
      <c r="AY670" s="297"/>
      <c r="AZ670" s="297"/>
      <c r="BA670" s="297"/>
      <c r="BB670" s="297"/>
    </row>
    <row r="671" spans="1:54" thickBot="1">
      <c r="A671" s="298"/>
      <c r="B671" s="298"/>
      <c r="C671" s="298"/>
      <c r="D671" s="298"/>
      <c r="E671" s="298"/>
      <c r="F671" s="282"/>
      <c r="G671" s="298"/>
      <c r="H671" s="298"/>
      <c r="I671" s="282"/>
      <c r="J671" s="298"/>
      <c r="K671" s="566"/>
      <c r="L671" s="282"/>
      <c r="M671" s="282"/>
      <c r="N671" s="298"/>
      <c r="O671" s="282"/>
      <c r="P671" s="282"/>
      <c r="Q671" s="298"/>
      <c r="R671" s="282"/>
      <c r="S671" s="282"/>
      <c r="T671" s="298"/>
      <c r="U671" s="282"/>
      <c r="V671" s="298"/>
      <c r="W671" s="298"/>
      <c r="X671" s="297"/>
      <c r="Y671" s="297"/>
      <c r="Z671" s="297"/>
      <c r="AA671" s="297"/>
      <c r="AB671" s="297"/>
      <c r="AC671" s="297"/>
      <c r="AD671" s="297"/>
      <c r="AE671" s="297"/>
      <c r="AF671" s="297"/>
      <c r="AG671" s="297"/>
      <c r="AH671" s="297"/>
      <c r="AI671" s="297"/>
      <c r="AJ671" s="297"/>
      <c r="AK671" s="297"/>
      <c r="AL671" s="297"/>
      <c r="AM671" s="297"/>
      <c r="AN671" s="297"/>
      <c r="AO671" s="297"/>
      <c r="AP671" s="297"/>
      <c r="AQ671" s="297"/>
      <c r="AR671" s="297"/>
      <c r="AS671" s="297"/>
      <c r="AT671" s="297"/>
      <c r="AU671" s="297"/>
      <c r="AV671" s="297"/>
      <c r="AW671" s="297"/>
      <c r="AX671" s="297"/>
      <c r="AY671" s="297"/>
      <c r="AZ671" s="297"/>
      <c r="BA671" s="297"/>
      <c r="BB671" s="297"/>
    </row>
    <row r="672" spans="1:54" thickBot="1">
      <c r="A672" s="298"/>
      <c r="B672" s="298"/>
      <c r="C672" s="298"/>
      <c r="D672" s="298"/>
      <c r="E672" s="298"/>
      <c r="F672" s="282"/>
      <c r="G672" s="298"/>
      <c r="H672" s="298"/>
      <c r="I672" s="282"/>
      <c r="J672" s="298"/>
      <c r="K672" s="566"/>
      <c r="L672" s="282"/>
      <c r="M672" s="282"/>
      <c r="N672" s="298"/>
      <c r="O672" s="282"/>
      <c r="P672" s="282"/>
      <c r="Q672" s="298"/>
      <c r="R672" s="282"/>
      <c r="S672" s="282"/>
      <c r="T672" s="298"/>
      <c r="U672" s="282"/>
      <c r="V672" s="298"/>
      <c r="W672" s="298"/>
      <c r="X672" s="297"/>
      <c r="Y672" s="297"/>
      <c r="Z672" s="297"/>
      <c r="AA672" s="297"/>
      <c r="AB672" s="297"/>
      <c r="AC672" s="297"/>
      <c r="AD672" s="297"/>
      <c r="AE672" s="297"/>
      <c r="AF672" s="297"/>
      <c r="AG672" s="297"/>
      <c r="AH672" s="297"/>
      <c r="AI672" s="297"/>
      <c r="AJ672" s="297"/>
      <c r="AK672" s="297"/>
      <c r="AL672" s="297"/>
      <c r="AM672" s="297"/>
      <c r="AN672" s="297"/>
      <c r="AO672" s="297"/>
      <c r="AP672" s="297"/>
      <c r="AQ672" s="297"/>
      <c r="AR672" s="297"/>
      <c r="AS672" s="297"/>
      <c r="AT672" s="297"/>
      <c r="AU672" s="297"/>
      <c r="AV672" s="297"/>
      <c r="AW672" s="297"/>
      <c r="AX672" s="297"/>
      <c r="AY672" s="297"/>
      <c r="AZ672" s="297"/>
      <c r="BA672" s="297"/>
      <c r="BB672" s="297"/>
    </row>
    <row r="673" spans="1:54" thickBot="1">
      <c r="A673" s="298"/>
      <c r="B673" s="298"/>
      <c r="C673" s="298"/>
      <c r="D673" s="298"/>
      <c r="E673" s="298"/>
      <c r="F673" s="282"/>
      <c r="G673" s="298"/>
      <c r="H673" s="298"/>
      <c r="I673" s="282"/>
      <c r="J673" s="298"/>
      <c r="K673" s="566"/>
      <c r="L673" s="282"/>
      <c r="M673" s="282"/>
      <c r="N673" s="298"/>
      <c r="O673" s="282"/>
      <c r="P673" s="282"/>
      <c r="Q673" s="298"/>
      <c r="R673" s="282"/>
      <c r="S673" s="282"/>
      <c r="T673" s="298"/>
      <c r="U673" s="282"/>
      <c r="V673" s="298"/>
      <c r="W673" s="298"/>
      <c r="X673" s="297"/>
      <c r="Y673" s="297"/>
      <c r="Z673" s="297"/>
      <c r="AA673" s="297"/>
      <c r="AB673" s="297"/>
      <c r="AC673" s="297"/>
      <c r="AD673" s="297"/>
      <c r="AE673" s="297"/>
      <c r="AF673" s="297"/>
      <c r="AG673" s="297"/>
      <c r="AH673" s="297"/>
      <c r="AI673" s="297"/>
      <c r="AJ673" s="297"/>
      <c r="AK673" s="297"/>
      <c r="AL673" s="297"/>
      <c r="AM673" s="297"/>
      <c r="AN673" s="297"/>
      <c r="AO673" s="297"/>
      <c r="AP673" s="297"/>
      <c r="AQ673" s="297"/>
      <c r="AR673" s="297"/>
      <c r="AS673" s="297"/>
      <c r="AT673" s="297"/>
      <c r="AU673" s="297"/>
      <c r="AV673" s="297"/>
      <c r="AW673" s="297"/>
      <c r="AX673" s="297"/>
      <c r="AY673" s="297"/>
      <c r="AZ673" s="297"/>
      <c r="BA673" s="297"/>
      <c r="BB673" s="297"/>
    </row>
    <row r="674" spans="1:54" thickBot="1">
      <c r="A674" s="298"/>
      <c r="B674" s="298"/>
      <c r="C674" s="298"/>
      <c r="D674" s="298"/>
      <c r="E674" s="298"/>
      <c r="F674" s="282"/>
      <c r="G674" s="298"/>
      <c r="H674" s="298"/>
      <c r="I674" s="282"/>
      <c r="J674" s="298"/>
      <c r="K674" s="566"/>
      <c r="L674" s="282"/>
      <c r="M674" s="282"/>
      <c r="N674" s="298"/>
      <c r="O674" s="282"/>
      <c r="P674" s="282"/>
      <c r="Q674" s="298"/>
      <c r="R674" s="282"/>
      <c r="S674" s="282"/>
      <c r="T674" s="298"/>
      <c r="U674" s="282"/>
      <c r="V674" s="298"/>
      <c r="W674" s="298"/>
      <c r="X674" s="297"/>
      <c r="Y674" s="297"/>
      <c r="Z674" s="297"/>
      <c r="AA674" s="297"/>
      <c r="AB674" s="297"/>
      <c r="AC674" s="297"/>
      <c r="AD674" s="297"/>
      <c r="AE674" s="297"/>
      <c r="AF674" s="297"/>
      <c r="AG674" s="297"/>
      <c r="AH674" s="297"/>
      <c r="AI674" s="297"/>
      <c r="AJ674" s="297"/>
      <c r="AK674" s="297"/>
      <c r="AL674" s="297"/>
      <c r="AM674" s="297"/>
      <c r="AN674" s="297"/>
      <c r="AO674" s="297"/>
      <c r="AP674" s="297"/>
      <c r="AQ674" s="297"/>
      <c r="AR674" s="297"/>
      <c r="AS674" s="297"/>
      <c r="AT674" s="297"/>
      <c r="AU674" s="297"/>
      <c r="AV674" s="297"/>
      <c r="AW674" s="297"/>
      <c r="AX674" s="297"/>
      <c r="AY674" s="297"/>
      <c r="AZ674" s="297"/>
      <c r="BA674" s="297"/>
      <c r="BB674" s="297"/>
    </row>
    <row r="675" spans="1:54" thickBot="1">
      <c r="A675" s="298"/>
      <c r="B675" s="298"/>
      <c r="C675" s="298"/>
      <c r="D675" s="298"/>
      <c r="E675" s="298"/>
      <c r="F675" s="282"/>
      <c r="G675" s="298"/>
      <c r="H675" s="298"/>
      <c r="I675" s="282"/>
      <c r="J675" s="298"/>
      <c r="K675" s="566"/>
      <c r="L675" s="282"/>
      <c r="M675" s="282"/>
      <c r="N675" s="298"/>
      <c r="O675" s="282"/>
      <c r="P675" s="282"/>
      <c r="Q675" s="298"/>
      <c r="R675" s="282"/>
      <c r="S675" s="282"/>
      <c r="T675" s="298"/>
      <c r="U675" s="282"/>
      <c r="V675" s="298"/>
      <c r="W675" s="298"/>
      <c r="X675" s="297"/>
      <c r="Y675" s="297"/>
      <c r="Z675" s="297"/>
      <c r="AA675" s="297"/>
      <c r="AB675" s="297"/>
      <c r="AC675" s="297"/>
      <c r="AD675" s="297"/>
      <c r="AE675" s="297"/>
      <c r="AF675" s="297"/>
      <c r="AG675" s="297"/>
      <c r="AH675" s="297"/>
      <c r="AI675" s="297"/>
      <c r="AJ675" s="297"/>
      <c r="AK675" s="297"/>
      <c r="AL675" s="297"/>
      <c r="AM675" s="297"/>
      <c r="AN675" s="297"/>
      <c r="AO675" s="297"/>
      <c r="AP675" s="297"/>
      <c r="AQ675" s="297"/>
      <c r="AR675" s="297"/>
      <c r="AS675" s="297"/>
      <c r="AT675" s="297"/>
      <c r="AU675" s="297"/>
      <c r="AV675" s="297"/>
      <c r="AW675" s="297"/>
      <c r="AX675" s="297"/>
      <c r="AY675" s="297"/>
      <c r="AZ675" s="297"/>
      <c r="BA675" s="297"/>
      <c r="BB675" s="297"/>
    </row>
    <row r="676" spans="1:54" thickBot="1">
      <c r="A676" s="298"/>
      <c r="B676" s="298"/>
      <c r="C676" s="298"/>
      <c r="D676" s="298"/>
      <c r="E676" s="298"/>
      <c r="F676" s="282"/>
      <c r="G676" s="298"/>
      <c r="H676" s="298"/>
      <c r="I676" s="282"/>
      <c r="J676" s="298"/>
      <c r="K676" s="566"/>
      <c r="L676" s="282"/>
      <c r="M676" s="282"/>
      <c r="N676" s="298"/>
      <c r="O676" s="282"/>
      <c r="P676" s="282"/>
      <c r="Q676" s="298"/>
      <c r="R676" s="282"/>
      <c r="S676" s="282"/>
      <c r="T676" s="298"/>
      <c r="U676" s="282"/>
      <c r="V676" s="298"/>
      <c r="W676" s="298"/>
      <c r="X676" s="297"/>
      <c r="Y676" s="297"/>
      <c r="Z676" s="297"/>
      <c r="AA676" s="297"/>
      <c r="AB676" s="297"/>
      <c r="AC676" s="297"/>
      <c r="AD676" s="297"/>
      <c r="AE676" s="297"/>
      <c r="AF676" s="297"/>
      <c r="AG676" s="297"/>
      <c r="AH676" s="297"/>
      <c r="AI676" s="297"/>
      <c r="AJ676" s="297"/>
      <c r="AK676" s="297"/>
      <c r="AL676" s="297"/>
      <c r="AM676" s="297"/>
      <c r="AN676" s="297"/>
      <c r="AO676" s="297"/>
      <c r="AP676" s="297"/>
      <c r="AQ676" s="297"/>
      <c r="AR676" s="297"/>
      <c r="AS676" s="297"/>
      <c r="AT676" s="297"/>
      <c r="AU676" s="297"/>
      <c r="AV676" s="297"/>
      <c r="AW676" s="297"/>
      <c r="AX676" s="297"/>
      <c r="AY676" s="297"/>
      <c r="AZ676" s="297"/>
      <c r="BA676" s="297"/>
      <c r="BB676" s="297"/>
    </row>
    <row r="677" spans="1:54" thickBot="1">
      <c r="A677" s="298"/>
      <c r="B677" s="298"/>
      <c r="C677" s="298"/>
      <c r="D677" s="298"/>
      <c r="E677" s="298"/>
      <c r="F677" s="282"/>
      <c r="G677" s="298"/>
      <c r="H677" s="298"/>
      <c r="I677" s="282"/>
      <c r="J677" s="298"/>
      <c r="K677" s="566"/>
      <c r="L677" s="282"/>
      <c r="M677" s="282"/>
      <c r="N677" s="298"/>
      <c r="O677" s="282"/>
      <c r="P677" s="282"/>
      <c r="Q677" s="298"/>
      <c r="R677" s="282"/>
      <c r="S677" s="282"/>
      <c r="T677" s="298"/>
      <c r="U677" s="282"/>
      <c r="V677" s="298"/>
      <c r="W677" s="298"/>
      <c r="X677" s="297"/>
      <c r="Y677" s="297"/>
      <c r="Z677" s="297"/>
      <c r="AA677" s="297"/>
      <c r="AB677" s="297"/>
      <c r="AC677" s="297"/>
      <c r="AD677" s="297"/>
      <c r="AE677" s="297"/>
      <c r="AF677" s="297"/>
      <c r="AG677" s="297"/>
      <c r="AH677" s="297"/>
      <c r="AI677" s="297"/>
      <c r="AJ677" s="297"/>
      <c r="AK677" s="297"/>
      <c r="AL677" s="297"/>
      <c r="AM677" s="297"/>
      <c r="AN677" s="297"/>
      <c r="AO677" s="297"/>
      <c r="AP677" s="297"/>
      <c r="AQ677" s="297"/>
      <c r="AR677" s="297"/>
      <c r="AS677" s="297"/>
      <c r="AT677" s="297"/>
      <c r="AU677" s="297"/>
      <c r="AV677" s="297"/>
      <c r="AW677" s="297"/>
      <c r="AX677" s="297"/>
      <c r="AY677" s="297"/>
      <c r="AZ677" s="297"/>
      <c r="BA677" s="297"/>
      <c r="BB677" s="297"/>
    </row>
    <row r="678" spans="1:54" thickBot="1">
      <c r="A678" s="298"/>
      <c r="B678" s="298"/>
      <c r="C678" s="298"/>
      <c r="D678" s="298"/>
      <c r="E678" s="298"/>
      <c r="F678" s="282"/>
      <c r="G678" s="298"/>
      <c r="H678" s="298"/>
      <c r="I678" s="282"/>
      <c r="J678" s="298"/>
      <c r="K678" s="566"/>
      <c r="L678" s="282"/>
      <c r="M678" s="282"/>
      <c r="N678" s="298"/>
      <c r="O678" s="282"/>
      <c r="P678" s="282"/>
      <c r="Q678" s="298"/>
      <c r="R678" s="282"/>
      <c r="S678" s="282"/>
      <c r="T678" s="298"/>
      <c r="U678" s="282"/>
      <c r="V678" s="298"/>
      <c r="W678" s="298"/>
      <c r="X678" s="297"/>
      <c r="Y678" s="297"/>
      <c r="Z678" s="297"/>
      <c r="AA678" s="297"/>
      <c r="AB678" s="297"/>
      <c r="AC678" s="297"/>
      <c r="AD678" s="297"/>
      <c r="AE678" s="297"/>
      <c r="AF678" s="297"/>
      <c r="AG678" s="297"/>
      <c r="AH678" s="297"/>
      <c r="AI678" s="297"/>
      <c r="AJ678" s="297"/>
      <c r="AK678" s="297"/>
      <c r="AL678" s="297"/>
      <c r="AM678" s="297"/>
      <c r="AN678" s="297"/>
      <c r="AO678" s="297"/>
      <c r="AP678" s="297"/>
      <c r="AQ678" s="297"/>
      <c r="AR678" s="297"/>
      <c r="AS678" s="297"/>
      <c r="AT678" s="297"/>
      <c r="AU678" s="297"/>
      <c r="AV678" s="297"/>
      <c r="AW678" s="297"/>
      <c r="AX678" s="297"/>
      <c r="AY678" s="297"/>
      <c r="AZ678" s="297"/>
      <c r="BA678" s="297"/>
      <c r="BB678" s="297"/>
    </row>
    <row r="679" spans="1:54" thickBot="1">
      <c r="A679" s="298"/>
      <c r="B679" s="298"/>
      <c r="C679" s="298"/>
      <c r="D679" s="298"/>
      <c r="E679" s="298"/>
      <c r="F679" s="282"/>
      <c r="G679" s="298"/>
      <c r="H679" s="298"/>
      <c r="I679" s="282"/>
      <c r="J679" s="298"/>
      <c r="K679" s="566"/>
      <c r="L679" s="282"/>
      <c r="M679" s="282"/>
      <c r="N679" s="298"/>
      <c r="O679" s="282"/>
      <c r="P679" s="282"/>
      <c r="Q679" s="298"/>
      <c r="R679" s="282"/>
      <c r="S679" s="282"/>
      <c r="T679" s="298"/>
      <c r="U679" s="282"/>
      <c r="V679" s="298"/>
      <c r="W679" s="298"/>
      <c r="X679" s="297"/>
      <c r="Y679" s="297"/>
      <c r="Z679" s="297"/>
      <c r="AA679" s="297"/>
      <c r="AB679" s="297"/>
      <c r="AC679" s="297"/>
      <c r="AD679" s="297"/>
      <c r="AE679" s="297"/>
      <c r="AF679" s="297"/>
      <c r="AG679" s="297"/>
      <c r="AH679" s="297"/>
      <c r="AI679" s="297"/>
      <c r="AJ679" s="297"/>
      <c r="AK679" s="297"/>
      <c r="AL679" s="297"/>
      <c r="AM679" s="297"/>
      <c r="AN679" s="297"/>
      <c r="AO679" s="297"/>
      <c r="AP679" s="297"/>
      <c r="AQ679" s="297"/>
      <c r="AR679" s="297"/>
      <c r="AS679" s="297"/>
      <c r="AT679" s="297"/>
      <c r="AU679" s="297"/>
      <c r="AV679" s="297"/>
      <c r="AW679" s="297"/>
      <c r="AX679" s="297"/>
      <c r="AY679" s="297"/>
      <c r="AZ679" s="297"/>
      <c r="BA679" s="297"/>
      <c r="BB679" s="297"/>
    </row>
    <row r="680" spans="1:54" thickBot="1">
      <c r="A680" s="298"/>
      <c r="B680" s="298"/>
      <c r="C680" s="298"/>
      <c r="D680" s="298"/>
      <c r="E680" s="298"/>
      <c r="F680" s="282"/>
      <c r="G680" s="298"/>
      <c r="H680" s="298"/>
      <c r="I680" s="282"/>
      <c r="J680" s="298"/>
      <c r="K680" s="566"/>
      <c r="L680" s="282"/>
      <c r="M680" s="282"/>
      <c r="N680" s="298"/>
      <c r="O680" s="282"/>
      <c r="P680" s="282"/>
      <c r="Q680" s="298"/>
      <c r="R680" s="282"/>
      <c r="S680" s="282"/>
      <c r="T680" s="298"/>
      <c r="U680" s="282"/>
      <c r="V680" s="298"/>
      <c r="W680" s="298"/>
      <c r="X680" s="297"/>
      <c r="Y680" s="297"/>
      <c r="Z680" s="297"/>
      <c r="AA680" s="297"/>
      <c r="AB680" s="297"/>
      <c r="AC680" s="297"/>
      <c r="AD680" s="297"/>
      <c r="AE680" s="297"/>
      <c r="AF680" s="297"/>
      <c r="AG680" s="297"/>
      <c r="AH680" s="297"/>
      <c r="AI680" s="297"/>
      <c r="AJ680" s="297"/>
      <c r="AK680" s="297"/>
      <c r="AL680" s="297"/>
      <c r="AM680" s="297"/>
      <c r="AN680" s="297"/>
      <c r="AO680" s="297"/>
      <c r="AP680" s="297"/>
      <c r="AQ680" s="297"/>
      <c r="AR680" s="297"/>
      <c r="AS680" s="297"/>
      <c r="AT680" s="297"/>
      <c r="AU680" s="297"/>
      <c r="AV680" s="297"/>
      <c r="AW680" s="297"/>
      <c r="AX680" s="297"/>
      <c r="AY680" s="297"/>
      <c r="AZ680" s="297"/>
      <c r="BA680" s="297"/>
      <c r="BB680" s="297"/>
    </row>
    <row r="681" spans="1:54" thickBot="1">
      <c r="A681" s="298"/>
      <c r="B681" s="298"/>
      <c r="C681" s="298"/>
      <c r="D681" s="298"/>
      <c r="E681" s="298"/>
      <c r="F681" s="282"/>
      <c r="G681" s="298"/>
      <c r="H681" s="298"/>
      <c r="I681" s="282"/>
      <c r="J681" s="298"/>
      <c r="K681" s="566"/>
      <c r="L681" s="282"/>
      <c r="M681" s="282"/>
      <c r="N681" s="298"/>
      <c r="O681" s="282"/>
      <c r="P681" s="282"/>
      <c r="Q681" s="298"/>
      <c r="R681" s="282"/>
      <c r="S681" s="282"/>
      <c r="T681" s="298"/>
      <c r="U681" s="282"/>
      <c r="V681" s="298"/>
      <c r="W681" s="298"/>
      <c r="X681" s="297"/>
      <c r="Y681" s="297"/>
      <c r="Z681" s="297"/>
      <c r="AA681" s="297"/>
      <c r="AB681" s="297"/>
      <c r="AC681" s="297"/>
      <c r="AD681" s="297"/>
      <c r="AE681" s="297"/>
      <c r="AF681" s="297"/>
      <c r="AG681" s="297"/>
      <c r="AH681" s="297"/>
      <c r="AI681" s="297"/>
      <c r="AJ681" s="297"/>
      <c r="AK681" s="297"/>
      <c r="AL681" s="297"/>
      <c r="AM681" s="297"/>
      <c r="AN681" s="297"/>
      <c r="AO681" s="297"/>
      <c r="AP681" s="297"/>
      <c r="AQ681" s="297"/>
      <c r="AR681" s="297"/>
      <c r="AS681" s="297"/>
      <c r="AT681" s="297"/>
      <c r="AU681" s="297"/>
      <c r="AV681" s="297"/>
      <c r="AW681" s="297"/>
      <c r="AX681" s="297"/>
      <c r="AY681" s="297"/>
      <c r="AZ681" s="297"/>
      <c r="BA681" s="297"/>
      <c r="BB681" s="297"/>
    </row>
    <row r="682" spans="1:54" thickBot="1">
      <c r="A682" s="298"/>
      <c r="B682" s="298"/>
      <c r="C682" s="298"/>
      <c r="D682" s="298"/>
      <c r="E682" s="298"/>
      <c r="F682" s="282"/>
      <c r="G682" s="298"/>
      <c r="H682" s="298"/>
      <c r="I682" s="282"/>
      <c r="J682" s="298"/>
      <c r="K682" s="566"/>
      <c r="L682" s="282"/>
      <c r="M682" s="282"/>
      <c r="N682" s="298"/>
      <c r="O682" s="282"/>
      <c r="P682" s="282"/>
      <c r="Q682" s="298"/>
      <c r="R682" s="282"/>
      <c r="S682" s="282"/>
      <c r="T682" s="298"/>
      <c r="U682" s="282"/>
      <c r="V682" s="298"/>
      <c r="W682" s="298"/>
      <c r="X682" s="297"/>
      <c r="Y682" s="297"/>
      <c r="Z682" s="297"/>
      <c r="AA682" s="297"/>
      <c r="AB682" s="297"/>
      <c r="AC682" s="297"/>
      <c r="AD682" s="297"/>
      <c r="AE682" s="297"/>
      <c r="AF682" s="297"/>
      <c r="AG682" s="297"/>
      <c r="AH682" s="297"/>
      <c r="AI682" s="297"/>
      <c r="AJ682" s="297"/>
      <c r="AK682" s="297"/>
      <c r="AL682" s="297"/>
      <c r="AM682" s="297"/>
      <c r="AN682" s="297"/>
      <c r="AO682" s="297"/>
      <c r="AP682" s="297"/>
      <c r="AQ682" s="297"/>
      <c r="AR682" s="297"/>
      <c r="AS682" s="297"/>
      <c r="AT682" s="297"/>
      <c r="AU682" s="297"/>
      <c r="AV682" s="297"/>
      <c r="AW682" s="297"/>
      <c r="AX682" s="297"/>
      <c r="AY682" s="297"/>
      <c r="AZ682" s="297"/>
      <c r="BA682" s="297"/>
      <c r="BB682" s="297"/>
    </row>
    <row r="683" spans="1:54" thickBot="1">
      <c r="A683" s="298"/>
      <c r="B683" s="298"/>
      <c r="C683" s="298"/>
      <c r="D683" s="298"/>
      <c r="E683" s="298"/>
      <c r="F683" s="282"/>
      <c r="G683" s="298"/>
      <c r="H683" s="298"/>
      <c r="I683" s="282"/>
      <c r="J683" s="298"/>
      <c r="K683" s="566"/>
      <c r="L683" s="282"/>
      <c r="M683" s="282"/>
      <c r="N683" s="298"/>
      <c r="O683" s="282"/>
      <c r="P683" s="282"/>
      <c r="Q683" s="298"/>
      <c r="R683" s="282"/>
      <c r="S683" s="282"/>
      <c r="T683" s="298"/>
      <c r="U683" s="282"/>
      <c r="V683" s="298"/>
      <c r="W683" s="298"/>
      <c r="X683" s="297"/>
      <c r="Y683" s="297"/>
      <c r="Z683" s="297"/>
      <c r="AA683" s="297"/>
      <c r="AB683" s="297"/>
      <c r="AC683" s="297"/>
      <c r="AD683" s="297"/>
      <c r="AE683" s="297"/>
      <c r="AF683" s="297"/>
      <c r="AG683" s="297"/>
      <c r="AH683" s="297"/>
      <c r="AI683" s="297"/>
      <c r="AJ683" s="297"/>
      <c r="AK683" s="297"/>
      <c r="AL683" s="297"/>
      <c r="AM683" s="297"/>
      <c r="AN683" s="297"/>
      <c r="AO683" s="297"/>
      <c r="AP683" s="297"/>
      <c r="AQ683" s="297"/>
      <c r="AR683" s="297"/>
      <c r="AS683" s="297"/>
      <c r="AT683" s="297"/>
      <c r="AU683" s="297"/>
      <c r="AV683" s="297"/>
      <c r="AW683" s="297"/>
      <c r="AX683" s="297"/>
      <c r="AY683" s="297"/>
      <c r="AZ683" s="297"/>
      <c r="BA683" s="297"/>
      <c r="BB683" s="297"/>
    </row>
    <row r="684" spans="1:54" thickBot="1">
      <c r="A684" s="298"/>
      <c r="B684" s="298"/>
      <c r="C684" s="298"/>
      <c r="D684" s="298"/>
      <c r="E684" s="298"/>
      <c r="F684" s="282"/>
      <c r="G684" s="298"/>
      <c r="H684" s="298"/>
      <c r="I684" s="282"/>
      <c r="J684" s="298"/>
      <c r="K684" s="566"/>
      <c r="L684" s="282"/>
      <c r="M684" s="282"/>
      <c r="N684" s="298"/>
      <c r="O684" s="282"/>
      <c r="P684" s="282"/>
      <c r="Q684" s="298"/>
      <c r="R684" s="282"/>
      <c r="S684" s="282"/>
      <c r="T684" s="298"/>
      <c r="U684" s="282"/>
      <c r="V684" s="298"/>
      <c r="W684" s="298"/>
      <c r="X684" s="297"/>
      <c r="Y684" s="297"/>
      <c r="Z684" s="297"/>
      <c r="AA684" s="297"/>
      <c r="AB684" s="297"/>
      <c r="AC684" s="297"/>
      <c r="AD684" s="297"/>
      <c r="AE684" s="297"/>
      <c r="AF684" s="297"/>
      <c r="AG684" s="297"/>
      <c r="AH684" s="297"/>
      <c r="AI684" s="297"/>
      <c r="AJ684" s="297"/>
      <c r="AK684" s="297"/>
      <c r="AL684" s="297"/>
      <c r="AM684" s="297"/>
      <c r="AN684" s="297"/>
      <c r="AO684" s="297"/>
      <c r="AP684" s="297"/>
      <c r="AQ684" s="297"/>
      <c r="AR684" s="297"/>
      <c r="AS684" s="297"/>
      <c r="AT684" s="297"/>
      <c r="AU684" s="297"/>
      <c r="AV684" s="297"/>
      <c r="AW684" s="297"/>
      <c r="AX684" s="297"/>
      <c r="AY684" s="297"/>
      <c r="AZ684" s="297"/>
      <c r="BA684" s="297"/>
      <c r="BB684" s="297"/>
    </row>
    <row r="685" spans="1:54" thickBot="1">
      <c r="A685" s="298"/>
      <c r="B685" s="298"/>
      <c r="C685" s="298"/>
      <c r="D685" s="298"/>
      <c r="E685" s="298"/>
      <c r="F685" s="282"/>
      <c r="G685" s="298"/>
      <c r="H685" s="298"/>
      <c r="I685" s="282"/>
      <c r="J685" s="298"/>
      <c r="K685" s="566"/>
      <c r="L685" s="282"/>
      <c r="M685" s="282"/>
      <c r="N685" s="298"/>
      <c r="O685" s="282"/>
      <c r="P685" s="282"/>
      <c r="Q685" s="298"/>
      <c r="R685" s="282"/>
      <c r="S685" s="282"/>
      <c r="T685" s="298"/>
      <c r="U685" s="282"/>
      <c r="V685" s="298"/>
      <c r="W685" s="298"/>
      <c r="X685" s="297"/>
      <c r="Y685" s="297"/>
      <c r="Z685" s="297"/>
      <c r="AA685" s="297"/>
      <c r="AB685" s="297"/>
      <c r="AC685" s="297"/>
      <c r="AD685" s="297"/>
      <c r="AE685" s="297"/>
      <c r="AF685" s="297"/>
      <c r="AG685" s="297"/>
      <c r="AH685" s="297"/>
      <c r="AI685" s="297"/>
      <c r="AJ685" s="297"/>
      <c r="AK685" s="297"/>
      <c r="AL685" s="297"/>
      <c r="AM685" s="297"/>
      <c r="AN685" s="297"/>
      <c r="AO685" s="297"/>
      <c r="AP685" s="297"/>
      <c r="AQ685" s="297"/>
      <c r="AR685" s="297"/>
      <c r="AS685" s="297"/>
      <c r="AT685" s="297"/>
      <c r="AU685" s="297"/>
      <c r="AV685" s="297"/>
      <c r="AW685" s="297"/>
      <c r="AX685" s="297"/>
      <c r="AY685" s="297"/>
      <c r="AZ685" s="297"/>
      <c r="BA685" s="297"/>
      <c r="BB685" s="297"/>
    </row>
    <row r="686" spans="1:54" thickBot="1">
      <c r="A686" s="298"/>
      <c r="B686" s="298"/>
      <c r="C686" s="298"/>
      <c r="D686" s="298"/>
      <c r="E686" s="298"/>
      <c r="F686" s="282"/>
      <c r="G686" s="298"/>
      <c r="H686" s="298"/>
      <c r="I686" s="282"/>
      <c r="J686" s="298"/>
      <c r="K686" s="566"/>
      <c r="L686" s="282"/>
      <c r="M686" s="282"/>
      <c r="N686" s="298"/>
      <c r="O686" s="282"/>
      <c r="P686" s="282"/>
      <c r="Q686" s="298"/>
      <c r="R686" s="282"/>
      <c r="S686" s="282"/>
      <c r="T686" s="298"/>
      <c r="U686" s="282"/>
      <c r="V686" s="298"/>
      <c r="W686" s="298"/>
      <c r="X686" s="297"/>
      <c r="Y686" s="297"/>
      <c r="Z686" s="297"/>
      <c r="AA686" s="297"/>
      <c r="AB686" s="297"/>
      <c r="AC686" s="297"/>
      <c r="AD686" s="297"/>
      <c r="AE686" s="297"/>
      <c r="AF686" s="297"/>
      <c r="AG686" s="297"/>
      <c r="AH686" s="297"/>
      <c r="AI686" s="297"/>
      <c r="AJ686" s="297"/>
      <c r="AK686" s="297"/>
      <c r="AL686" s="297"/>
      <c r="AM686" s="297"/>
      <c r="AN686" s="297"/>
      <c r="AO686" s="297"/>
      <c r="AP686" s="297"/>
      <c r="AQ686" s="297"/>
      <c r="AR686" s="297"/>
      <c r="AS686" s="297"/>
      <c r="AT686" s="297"/>
      <c r="AU686" s="297"/>
      <c r="AV686" s="297"/>
      <c r="AW686" s="297"/>
      <c r="AX686" s="297"/>
      <c r="AY686" s="297"/>
      <c r="AZ686" s="297"/>
      <c r="BA686" s="297"/>
      <c r="BB686" s="297"/>
    </row>
    <row r="687" spans="1:54" thickBot="1">
      <c r="A687" s="298"/>
      <c r="B687" s="298"/>
      <c r="C687" s="298"/>
      <c r="D687" s="298"/>
      <c r="E687" s="298"/>
      <c r="F687" s="282"/>
      <c r="G687" s="298"/>
      <c r="H687" s="298"/>
      <c r="I687" s="282"/>
      <c r="J687" s="298"/>
      <c r="K687" s="566"/>
      <c r="L687" s="282"/>
      <c r="M687" s="282"/>
      <c r="N687" s="298"/>
      <c r="O687" s="282"/>
      <c r="P687" s="282"/>
      <c r="Q687" s="298"/>
      <c r="R687" s="282"/>
      <c r="S687" s="282"/>
      <c r="T687" s="298"/>
      <c r="U687" s="282"/>
      <c r="V687" s="298"/>
      <c r="W687" s="298"/>
      <c r="X687" s="297"/>
      <c r="Y687" s="297"/>
      <c r="Z687" s="297"/>
      <c r="AA687" s="297"/>
      <c r="AB687" s="297"/>
      <c r="AC687" s="297"/>
      <c r="AD687" s="297"/>
      <c r="AE687" s="297"/>
      <c r="AF687" s="297"/>
      <c r="AG687" s="297"/>
      <c r="AH687" s="297"/>
      <c r="AI687" s="297"/>
      <c r="AJ687" s="297"/>
      <c r="AK687" s="297"/>
      <c r="AL687" s="297"/>
      <c r="AM687" s="297"/>
      <c r="AN687" s="297"/>
      <c r="AO687" s="297"/>
      <c r="AP687" s="297"/>
      <c r="AQ687" s="297"/>
      <c r="AR687" s="297"/>
      <c r="AS687" s="297"/>
      <c r="AT687" s="297"/>
      <c r="AU687" s="297"/>
      <c r="AV687" s="297"/>
      <c r="AW687" s="297"/>
      <c r="AX687" s="297"/>
      <c r="AY687" s="297"/>
      <c r="AZ687" s="297"/>
      <c r="BA687" s="297"/>
      <c r="BB687" s="297"/>
    </row>
    <row r="688" spans="1:54" thickBot="1">
      <c r="A688" s="298"/>
      <c r="B688" s="298"/>
      <c r="C688" s="298"/>
      <c r="D688" s="298"/>
      <c r="E688" s="298"/>
      <c r="F688" s="282"/>
      <c r="G688" s="298"/>
      <c r="H688" s="298"/>
      <c r="I688" s="282"/>
      <c r="J688" s="298"/>
      <c r="K688" s="566"/>
      <c r="L688" s="282"/>
      <c r="M688" s="282"/>
      <c r="N688" s="298"/>
      <c r="O688" s="282"/>
      <c r="P688" s="282"/>
      <c r="Q688" s="298"/>
      <c r="R688" s="282"/>
      <c r="S688" s="282"/>
      <c r="T688" s="298"/>
      <c r="U688" s="282"/>
      <c r="V688" s="298"/>
      <c r="W688" s="298"/>
      <c r="X688" s="297"/>
      <c r="Y688" s="297"/>
      <c r="Z688" s="297"/>
      <c r="AA688" s="297"/>
      <c r="AB688" s="297"/>
      <c r="AC688" s="297"/>
      <c r="AD688" s="297"/>
      <c r="AE688" s="297"/>
      <c r="AF688" s="297"/>
      <c r="AG688" s="297"/>
      <c r="AH688" s="297"/>
      <c r="AI688" s="297"/>
      <c r="AJ688" s="297"/>
      <c r="AK688" s="297"/>
      <c r="AL688" s="297"/>
      <c r="AM688" s="297"/>
      <c r="AN688" s="297"/>
      <c r="AO688" s="297"/>
      <c r="AP688" s="297"/>
      <c r="AQ688" s="297"/>
      <c r="AR688" s="297"/>
      <c r="AS688" s="297"/>
      <c r="AT688" s="297"/>
      <c r="AU688" s="297"/>
      <c r="AV688" s="297"/>
      <c r="AW688" s="297"/>
      <c r="AX688" s="297"/>
      <c r="AY688" s="297"/>
      <c r="AZ688" s="297"/>
      <c r="BA688" s="297"/>
      <c r="BB688" s="297"/>
    </row>
    <row r="689" spans="1:54" thickBot="1">
      <c r="A689" s="298"/>
      <c r="B689" s="298"/>
      <c r="C689" s="298"/>
      <c r="D689" s="298"/>
      <c r="E689" s="298"/>
      <c r="F689" s="282"/>
      <c r="G689" s="298"/>
      <c r="H689" s="298"/>
      <c r="I689" s="282"/>
      <c r="J689" s="298"/>
      <c r="K689" s="566"/>
      <c r="L689" s="282"/>
      <c r="M689" s="282"/>
      <c r="N689" s="298"/>
      <c r="O689" s="282"/>
      <c r="P689" s="282"/>
      <c r="Q689" s="298"/>
      <c r="R689" s="282"/>
      <c r="S689" s="282"/>
      <c r="T689" s="298"/>
      <c r="U689" s="282"/>
      <c r="V689" s="298"/>
      <c r="W689" s="298"/>
      <c r="X689" s="297"/>
      <c r="Y689" s="297"/>
      <c r="Z689" s="297"/>
      <c r="AA689" s="297"/>
      <c r="AB689" s="297"/>
      <c r="AC689" s="297"/>
      <c r="AD689" s="297"/>
      <c r="AE689" s="297"/>
      <c r="AF689" s="297"/>
      <c r="AG689" s="297"/>
      <c r="AH689" s="297"/>
      <c r="AI689" s="297"/>
      <c r="AJ689" s="297"/>
      <c r="AK689" s="297"/>
      <c r="AL689" s="297"/>
      <c r="AM689" s="297"/>
      <c r="AN689" s="297"/>
      <c r="AO689" s="297"/>
      <c r="AP689" s="297"/>
      <c r="AQ689" s="297"/>
      <c r="AR689" s="297"/>
      <c r="AS689" s="297"/>
      <c r="AT689" s="297"/>
      <c r="AU689" s="297"/>
      <c r="AV689" s="297"/>
      <c r="AW689" s="297"/>
      <c r="AX689" s="297"/>
      <c r="AY689" s="297"/>
      <c r="AZ689" s="297"/>
      <c r="BA689" s="297"/>
      <c r="BB689" s="297"/>
    </row>
    <row r="690" spans="1:54" thickBot="1">
      <c r="A690" s="298"/>
      <c r="B690" s="298"/>
      <c r="C690" s="298"/>
      <c r="D690" s="298"/>
      <c r="E690" s="298"/>
      <c r="F690" s="282"/>
      <c r="G690" s="298"/>
      <c r="H690" s="298"/>
      <c r="I690" s="282"/>
      <c r="J690" s="298"/>
      <c r="K690" s="566"/>
      <c r="L690" s="282"/>
      <c r="M690" s="282"/>
      <c r="N690" s="298"/>
      <c r="O690" s="282"/>
      <c r="P690" s="282"/>
      <c r="Q690" s="298"/>
      <c r="R690" s="282"/>
      <c r="S690" s="282"/>
      <c r="T690" s="298"/>
      <c r="U690" s="282"/>
      <c r="V690" s="298"/>
      <c r="W690" s="298"/>
      <c r="X690" s="297"/>
      <c r="Y690" s="297"/>
      <c r="Z690" s="297"/>
      <c r="AA690" s="297"/>
      <c r="AB690" s="297"/>
      <c r="AC690" s="297"/>
      <c r="AD690" s="297"/>
      <c r="AE690" s="297"/>
      <c r="AF690" s="297"/>
      <c r="AG690" s="297"/>
      <c r="AH690" s="297"/>
      <c r="AI690" s="297"/>
      <c r="AJ690" s="297"/>
      <c r="AK690" s="297"/>
      <c r="AL690" s="297"/>
      <c r="AM690" s="297"/>
      <c r="AN690" s="297"/>
      <c r="AO690" s="297"/>
      <c r="AP690" s="297"/>
      <c r="AQ690" s="297"/>
      <c r="AR690" s="297"/>
      <c r="AS690" s="297"/>
      <c r="AT690" s="297"/>
      <c r="AU690" s="297"/>
      <c r="AV690" s="297"/>
      <c r="AW690" s="297"/>
      <c r="AX690" s="297"/>
      <c r="AY690" s="297"/>
      <c r="AZ690" s="297"/>
      <c r="BA690" s="297"/>
      <c r="BB690" s="297"/>
    </row>
    <row r="691" spans="1:54" thickBot="1">
      <c r="A691" s="298"/>
      <c r="B691" s="298"/>
      <c r="C691" s="298"/>
      <c r="D691" s="298"/>
      <c r="E691" s="298"/>
      <c r="F691" s="282"/>
      <c r="G691" s="298"/>
      <c r="H691" s="298"/>
      <c r="I691" s="282"/>
      <c r="J691" s="298"/>
      <c r="K691" s="566"/>
      <c r="L691" s="282"/>
      <c r="M691" s="282"/>
      <c r="N691" s="298"/>
      <c r="O691" s="282"/>
      <c r="P691" s="282"/>
      <c r="Q691" s="298"/>
      <c r="R691" s="282"/>
      <c r="S691" s="282"/>
      <c r="T691" s="298"/>
      <c r="U691" s="282"/>
      <c r="V691" s="298"/>
      <c r="W691" s="298"/>
      <c r="X691" s="297"/>
      <c r="Y691" s="297"/>
      <c r="Z691" s="297"/>
      <c r="AA691" s="297"/>
      <c r="AB691" s="297"/>
      <c r="AC691" s="297"/>
      <c r="AD691" s="297"/>
      <c r="AE691" s="297"/>
      <c r="AF691" s="297"/>
      <c r="AG691" s="297"/>
      <c r="AH691" s="297"/>
      <c r="AI691" s="297"/>
      <c r="AJ691" s="297"/>
      <c r="AK691" s="297"/>
      <c r="AL691" s="297"/>
      <c r="AM691" s="297"/>
      <c r="AN691" s="297"/>
      <c r="AO691" s="297"/>
      <c r="AP691" s="297"/>
      <c r="AQ691" s="297"/>
      <c r="AR691" s="297"/>
      <c r="AS691" s="297"/>
      <c r="AT691" s="297"/>
      <c r="AU691" s="297"/>
      <c r="AV691" s="297"/>
      <c r="AW691" s="297"/>
      <c r="AX691" s="297"/>
      <c r="AY691" s="297"/>
      <c r="AZ691" s="297"/>
      <c r="BA691" s="297"/>
      <c r="BB691" s="297"/>
    </row>
    <row r="692" spans="1:54" thickBot="1">
      <c r="A692" s="298"/>
      <c r="B692" s="298"/>
      <c r="C692" s="298"/>
      <c r="D692" s="298"/>
      <c r="E692" s="298"/>
      <c r="F692" s="282"/>
      <c r="G692" s="298"/>
      <c r="H692" s="298"/>
      <c r="I692" s="282"/>
      <c r="J692" s="298"/>
      <c r="K692" s="566"/>
      <c r="L692" s="282"/>
      <c r="M692" s="282"/>
      <c r="N692" s="298"/>
      <c r="O692" s="282"/>
      <c r="P692" s="282"/>
      <c r="Q692" s="298"/>
      <c r="R692" s="282"/>
      <c r="S692" s="282"/>
      <c r="T692" s="298"/>
      <c r="U692" s="282"/>
      <c r="V692" s="298"/>
      <c r="W692" s="298"/>
      <c r="X692" s="297"/>
      <c r="Y692" s="297"/>
      <c r="Z692" s="297"/>
      <c r="AA692" s="297"/>
      <c r="AB692" s="297"/>
      <c r="AC692" s="297"/>
      <c r="AD692" s="297"/>
      <c r="AE692" s="297"/>
      <c r="AF692" s="297"/>
      <c r="AG692" s="297"/>
      <c r="AH692" s="297"/>
      <c r="AI692" s="297"/>
      <c r="AJ692" s="297"/>
      <c r="AK692" s="297"/>
      <c r="AL692" s="297"/>
      <c r="AM692" s="297"/>
      <c r="AN692" s="297"/>
      <c r="AO692" s="297"/>
      <c r="AP692" s="297"/>
      <c r="AQ692" s="297"/>
      <c r="AR692" s="297"/>
      <c r="AS692" s="297"/>
      <c r="AT692" s="297"/>
      <c r="AU692" s="297"/>
      <c r="AV692" s="297"/>
      <c r="AW692" s="297"/>
      <c r="AX692" s="297"/>
      <c r="AY692" s="297"/>
      <c r="AZ692" s="297"/>
      <c r="BA692" s="297"/>
      <c r="BB692" s="297"/>
    </row>
    <row r="693" spans="1:54" thickBot="1">
      <c r="A693" s="298"/>
      <c r="B693" s="298"/>
      <c r="C693" s="298"/>
      <c r="D693" s="298"/>
      <c r="E693" s="298"/>
      <c r="F693" s="282"/>
      <c r="G693" s="298"/>
      <c r="H693" s="298"/>
      <c r="I693" s="282"/>
      <c r="J693" s="298"/>
      <c r="K693" s="566"/>
      <c r="L693" s="282"/>
      <c r="M693" s="282"/>
      <c r="N693" s="298"/>
      <c r="O693" s="282"/>
      <c r="P693" s="282"/>
      <c r="Q693" s="298"/>
      <c r="R693" s="282"/>
      <c r="S693" s="282"/>
      <c r="T693" s="298"/>
      <c r="U693" s="282"/>
      <c r="V693" s="298"/>
      <c r="W693" s="298"/>
      <c r="X693" s="297"/>
      <c r="Y693" s="297"/>
      <c r="Z693" s="297"/>
      <c r="AA693" s="297"/>
      <c r="AB693" s="297"/>
      <c r="AC693" s="297"/>
      <c r="AD693" s="297"/>
      <c r="AE693" s="297"/>
      <c r="AF693" s="297"/>
      <c r="AG693" s="297"/>
      <c r="AH693" s="297"/>
      <c r="AI693" s="297"/>
      <c r="AJ693" s="297"/>
      <c r="AK693" s="297"/>
      <c r="AL693" s="297"/>
      <c r="AM693" s="297"/>
      <c r="AN693" s="297"/>
      <c r="AO693" s="297"/>
      <c r="AP693" s="297"/>
      <c r="AQ693" s="297"/>
      <c r="AR693" s="297"/>
      <c r="AS693" s="297"/>
      <c r="AT693" s="297"/>
      <c r="AU693" s="297"/>
      <c r="AV693" s="297"/>
      <c r="AW693" s="297"/>
      <c r="AX693" s="297"/>
      <c r="AY693" s="297"/>
      <c r="AZ693" s="297"/>
      <c r="BA693" s="297"/>
      <c r="BB693" s="297"/>
    </row>
    <row r="694" spans="1:54" thickBot="1">
      <c r="A694" s="298"/>
      <c r="B694" s="298"/>
      <c r="C694" s="298"/>
      <c r="D694" s="298"/>
      <c r="E694" s="298"/>
      <c r="F694" s="282"/>
      <c r="G694" s="298"/>
      <c r="H694" s="298"/>
      <c r="I694" s="282"/>
      <c r="J694" s="298"/>
      <c r="K694" s="566"/>
      <c r="L694" s="282"/>
      <c r="M694" s="282"/>
      <c r="N694" s="298"/>
      <c r="O694" s="282"/>
      <c r="P694" s="282"/>
      <c r="Q694" s="298"/>
      <c r="R694" s="282"/>
      <c r="S694" s="282"/>
      <c r="T694" s="298"/>
      <c r="U694" s="282"/>
      <c r="V694" s="298"/>
      <c r="W694" s="298"/>
      <c r="X694" s="297"/>
      <c r="Y694" s="297"/>
      <c r="Z694" s="297"/>
      <c r="AA694" s="297"/>
      <c r="AB694" s="297"/>
      <c r="AC694" s="297"/>
      <c r="AD694" s="297"/>
      <c r="AE694" s="297"/>
      <c r="AF694" s="297"/>
      <c r="AG694" s="297"/>
      <c r="AH694" s="297"/>
      <c r="AI694" s="297"/>
      <c r="AJ694" s="297"/>
      <c r="AK694" s="297"/>
      <c r="AL694" s="297"/>
      <c r="AM694" s="297"/>
      <c r="AN694" s="297"/>
      <c r="AO694" s="297"/>
      <c r="AP694" s="297"/>
      <c r="AQ694" s="297"/>
      <c r="AR694" s="297"/>
      <c r="AS694" s="297"/>
      <c r="AT694" s="297"/>
      <c r="AU694" s="297"/>
      <c r="AV694" s="297"/>
      <c r="AW694" s="297"/>
      <c r="AX694" s="297"/>
      <c r="AY694" s="297"/>
      <c r="AZ694" s="297"/>
      <c r="BA694" s="297"/>
      <c r="BB694" s="297"/>
    </row>
    <row r="695" spans="1:54" thickBot="1">
      <c r="A695" s="298"/>
      <c r="B695" s="298"/>
      <c r="C695" s="298"/>
      <c r="D695" s="298"/>
      <c r="E695" s="298"/>
      <c r="F695" s="282"/>
      <c r="G695" s="298"/>
      <c r="H695" s="298"/>
      <c r="I695" s="282"/>
      <c r="J695" s="298"/>
      <c r="K695" s="566"/>
      <c r="L695" s="282"/>
      <c r="M695" s="282"/>
      <c r="N695" s="298"/>
      <c r="O695" s="282"/>
      <c r="P695" s="282"/>
      <c r="Q695" s="298"/>
      <c r="R695" s="282"/>
      <c r="S695" s="282"/>
      <c r="T695" s="298"/>
      <c r="U695" s="282"/>
      <c r="V695" s="298"/>
      <c r="W695" s="298"/>
      <c r="X695" s="297"/>
      <c r="Y695" s="297"/>
      <c r="Z695" s="297"/>
      <c r="AA695" s="297"/>
      <c r="AB695" s="297"/>
      <c r="AC695" s="297"/>
      <c r="AD695" s="297"/>
      <c r="AE695" s="297"/>
      <c r="AF695" s="297"/>
      <c r="AG695" s="297"/>
      <c r="AH695" s="297"/>
      <c r="AI695" s="297"/>
      <c r="AJ695" s="297"/>
      <c r="AK695" s="297"/>
      <c r="AL695" s="297"/>
      <c r="AM695" s="297"/>
      <c r="AN695" s="297"/>
      <c r="AO695" s="297"/>
      <c r="AP695" s="297"/>
      <c r="AQ695" s="297"/>
      <c r="AR695" s="297"/>
      <c r="AS695" s="297"/>
      <c r="AT695" s="297"/>
      <c r="AU695" s="297"/>
      <c r="AV695" s="297"/>
      <c r="AW695" s="297"/>
      <c r="AX695" s="297"/>
      <c r="AY695" s="297"/>
      <c r="AZ695" s="297"/>
      <c r="BA695" s="297"/>
      <c r="BB695" s="297"/>
    </row>
    <row r="696" spans="1:54" thickBot="1">
      <c r="A696" s="298"/>
      <c r="B696" s="298"/>
      <c r="C696" s="298"/>
      <c r="D696" s="298"/>
      <c r="E696" s="298"/>
      <c r="F696" s="282"/>
      <c r="G696" s="298"/>
      <c r="H696" s="298"/>
      <c r="I696" s="282"/>
      <c r="J696" s="298"/>
      <c r="K696" s="566"/>
      <c r="L696" s="282"/>
      <c r="M696" s="282"/>
      <c r="N696" s="298"/>
      <c r="O696" s="282"/>
      <c r="P696" s="282"/>
      <c r="Q696" s="298"/>
      <c r="R696" s="282"/>
      <c r="S696" s="282"/>
      <c r="T696" s="298"/>
      <c r="U696" s="282"/>
      <c r="V696" s="298"/>
      <c r="W696" s="298"/>
      <c r="X696" s="297"/>
      <c r="Y696" s="297"/>
      <c r="Z696" s="297"/>
      <c r="AA696" s="297"/>
      <c r="AB696" s="297"/>
      <c r="AC696" s="297"/>
      <c r="AD696" s="297"/>
      <c r="AE696" s="297"/>
      <c r="AF696" s="297"/>
      <c r="AG696" s="297"/>
      <c r="AH696" s="297"/>
      <c r="AI696" s="297"/>
      <c r="AJ696" s="297"/>
      <c r="AK696" s="297"/>
      <c r="AL696" s="297"/>
      <c r="AM696" s="297"/>
      <c r="AN696" s="297"/>
      <c r="AO696" s="297"/>
      <c r="AP696" s="297"/>
      <c r="AQ696" s="297"/>
      <c r="AR696" s="297"/>
      <c r="AS696" s="297"/>
      <c r="AT696" s="297"/>
      <c r="AU696" s="297"/>
      <c r="AV696" s="297"/>
      <c r="AW696" s="297"/>
      <c r="AX696" s="297"/>
      <c r="AY696" s="297"/>
      <c r="AZ696" s="297"/>
      <c r="BA696" s="297"/>
      <c r="BB696" s="297"/>
    </row>
    <row r="697" spans="1:54" thickBot="1">
      <c r="A697" s="298"/>
      <c r="B697" s="298"/>
      <c r="C697" s="298"/>
      <c r="D697" s="298"/>
      <c r="E697" s="298"/>
      <c r="F697" s="282"/>
      <c r="G697" s="298"/>
      <c r="H697" s="298"/>
      <c r="I697" s="282"/>
      <c r="J697" s="298"/>
      <c r="K697" s="566"/>
      <c r="L697" s="282"/>
      <c r="M697" s="282"/>
      <c r="N697" s="298"/>
      <c r="O697" s="282"/>
      <c r="P697" s="282"/>
      <c r="Q697" s="298"/>
      <c r="R697" s="282"/>
      <c r="S697" s="282"/>
      <c r="T697" s="298"/>
      <c r="U697" s="282"/>
      <c r="V697" s="298"/>
      <c r="W697" s="298"/>
      <c r="X697" s="297"/>
      <c r="Y697" s="297"/>
      <c r="Z697" s="297"/>
      <c r="AA697" s="297"/>
      <c r="AB697" s="297"/>
      <c r="AC697" s="297"/>
      <c r="AD697" s="297"/>
      <c r="AE697" s="297"/>
      <c r="AF697" s="297"/>
      <c r="AG697" s="297"/>
      <c r="AH697" s="297"/>
      <c r="AI697" s="297"/>
      <c r="AJ697" s="297"/>
      <c r="AK697" s="297"/>
      <c r="AL697" s="297"/>
      <c r="AM697" s="297"/>
      <c r="AN697" s="297"/>
      <c r="AO697" s="297"/>
      <c r="AP697" s="297"/>
      <c r="AQ697" s="297"/>
      <c r="AR697" s="297"/>
      <c r="AS697" s="297"/>
      <c r="AT697" s="297"/>
      <c r="AU697" s="297"/>
      <c r="AV697" s="297"/>
      <c r="AW697" s="297"/>
      <c r="AX697" s="297"/>
      <c r="AY697" s="297"/>
      <c r="AZ697" s="297"/>
      <c r="BA697" s="297"/>
      <c r="BB697" s="297"/>
    </row>
    <row r="698" spans="1:54" thickBot="1">
      <c r="A698" s="298"/>
      <c r="B698" s="298"/>
      <c r="C698" s="298"/>
      <c r="D698" s="298"/>
      <c r="E698" s="298"/>
      <c r="F698" s="282"/>
      <c r="G698" s="298"/>
      <c r="H698" s="298"/>
      <c r="I698" s="282"/>
      <c r="J698" s="298"/>
      <c r="K698" s="566"/>
      <c r="L698" s="282"/>
      <c r="M698" s="282"/>
      <c r="N698" s="298"/>
      <c r="O698" s="282"/>
      <c r="P698" s="282"/>
      <c r="Q698" s="298"/>
      <c r="R698" s="282"/>
      <c r="S698" s="282"/>
      <c r="T698" s="298"/>
      <c r="U698" s="282"/>
      <c r="V698" s="298"/>
      <c r="W698" s="298"/>
      <c r="X698" s="297"/>
      <c r="Y698" s="297"/>
      <c r="Z698" s="297"/>
      <c r="AA698" s="297"/>
      <c r="AB698" s="297"/>
      <c r="AC698" s="297"/>
      <c r="AD698" s="297"/>
      <c r="AE698" s="297"/>
      <c r="AF698" s="297"/>
      <c r="AG698" s="297"/>
      <c r="AH698" s="297"/>
      <c r="AI698" s="297"/>
      <c r="AJ698" s="297"/>
      <c r="AK698" s="297"/>
      <c r="AL698" s="297"/>
      <c r="AM698" s="297"/>
      <c r="AN698" s="297"/>
      <c r="AO698" s="297"/>
      <c r="AP698" s="297"/>
      <c r="AQ698" s="297"/>
      <c r="AR698" s="297"/>
      <c r="AS698" s="297"/>
      <c r="AT698" s="297"/>
      <c r="AU698" s="297"/>
      <c r="AV698" s="297"/>
      <c r="AW698" s="297"/>
      <c r="AX698" s="297"/>
      <c r="AY698" s="297"/>
      <c r="AZ698" s="297"/>
      <c r="BA698" s="297"/>
      <c r="BB698" s="297"/>
    </row>
    <row r="699" spans="1:54" thickBot="1">
      <c r="A699" s="298"/>
      <c r="B699" s="298"/>
      <c r="C699" s="298"/>
      <c r="D699" s="298"/>
      <c r="E699" s="298"/>
      <c r="F699" s="282"/>
      <c r="G699" s="298"/>
      <c r="H699" s="298"/>
      <c r="I699" s="282"/>
      <c r="J699" s="298"/>
      <c r="K699" s="566"/>
      <c r="L699" s="282"/>
      <c r="M699" s="282"/>
      <c r="N699" s="298"/>
      <c r="O699" s="282"/>
      <c r="P699" s="282"/>
      <c r="Q699" s="298"/>
      <c r="R699" s="282"/>
      <c r="S699" s="282"/>
      <c r="T699" s="298"/>
      <c r="U699" s="282"/>
      <c r="V699" s="298"/>
      <c r="W699" s="298"/>
      <c r="X699" s="297"/>
      <c r="Y699" s="297"/>
      <c r="Z699" s="297"/>
      <c r="AA699" s="297"/>
      <c r="AB699" s="297"/>
      <c r="AC699" s="297"/>
      <c r="AD699" s="297"/>
      <c r="AE699" s="297"/>
      <c r="AF699" s="297"/>
      <c r="AG699" s="297"/>
      <c r="AH699" s="297"/>
      <c r="AI699" s="297"/>
      <c r="AJ699" s="297"/>
      <c r="AK699" s="297"/>
      <c r="AL699" s="297"/>
      <c r="AM699" s="297"/>
      <c r="AN699" s="297"/>
      <c r="AO699" s="297"/>
      <c r="AP699" s="297"/>
      <c r="AQ699" s="297"/>
      <c r="AR699" s="297"/>
      <c r="AS699" s="297"/>
      <c r="AT699" s="297"/>
      <c r="AU699" s="297"/>
      <c r="AV699" s="297"/>
      <c r="AW699" s="297"/>
      <c r="AX699" s="297"/>
      <c r="AY699" s="297"/>
      <c r="AZ699" s="297"/>
      <c r="BA699" s="297"/>
      <c r="BB699" s="297"/>
    </row>
    <row r="700" spans="1:54" thickBot="1">
      <c r="A700" s="298"/>
      <c r="B700" s="298"/>
      <c r="C700" s="298"/>
      <c r="D700" s="298"/>
      <c r="E700" s="298"/>
      <c r="F700" s="282"/>
      <c r="G700" s="298"/>
      <c r="H700" s="298"/>
      <c r="I700" s="282"/>
      <c r="J700" s="298"/>
      <c r="K700" s="566"/>
      <c r="L700" s="282"/>
      <c r="M700" s="282"/>
      <c r="N700" s="298"/>
      <c r="O700" s="282"/>
      <c r="P700" s="282"/>
      <c r="Q700" s="298"/>
      <c r="R700" s="282"/>
      <c r="S700" s="282"/>
      <c r="T700" s="298"/>
      <c r="U700" s="282"/>
      <c r="V700" s="298"/>
      <c r="W700" s="298"/>
      <c r="X700" s="297"/>
      <c r="Y700" s="297"/>
      <c r="Z700" s="297"/>
      <c r="AA700" s="297"/>
      <c r="AB700" s="297"/>
      <c r="AC700" s="297"/>
      <c r="AD700" s="297"/>
      <c r="AE700" s="297"/>
      <c r="AF700" s="297"/>
      <c r="AG700" s="297"/>
      <c r="AH700" s="297"/>
      <c r="AI700" s="297"/>
      <c r="AJ700" s="297"/>
      <c r="AK700" s="297"/>
      <c r="AL700" s="297"/>
      <c r="AM700" s="297"/>
      <c r="AN700" s="297"/>
      <c r="AO700" s="297"/>
      <c r="AP700" s="297"/>
      <c r="AQ700" s="297"/>
      <c r="AR700" s="297"/>
      <c r="AS700" s="297"/>
      <c r="AT700" s="297"/>
      <c r="AU700" s="297"/>
      <c r="AV700" s="297"/>
      <c r="AW700" s="297"/>
      <c r="AX700" s="297"/>
      <c r="AY700" s="297"/>
      <c r="AZ700" s="297"/>
      <c r="BA700" s="297"/>
      <c r="BB700" s="297"/>
    </row>
    <row r="701" spans="1:54" thickBot="1">
      <c r="A701" s="298"/>
      <c r="B701" s="298"/>
      <c r="C701" s="298"/>
      <c r="D701" s="298"/>
      <c r="E701" s="298"/>
      <c r="F701" s="282"/>
      <c r="G701" s="298"/>
      <c r="H701" s="298"/>
      <c r="I701" s="282"/>
      <c r="J701" s="298"/>
      <c r="K701" s="566"/>
      <c r="L701" s="282"/>
      <c r="M701" s="282"/>
      <c r="N701" s="298"/>
      <c r="O701" s="282"/>
      <c r="P701" s="282"/>
      <c r="Q701" s="298"/>
      <c r="R701" s="282"/>
      <c r="S701" s="282"/>
      <c r="T701" s="298"/>
      <c r="U701" s="282"/>
      <c r="V701" s="298"/>
      <c r="W701" s="298"/>
      <c r="X701" s="297"/>
      <c r="Y701" s="297"/>
      <c r="Z701" s="297"/>
      <c r="AA701" s="297"/>
      <c r="AB701" s="297"/>
      <c r="AC701" s="297"/>
      <c r="AD701" s="297"/>
      <c r="AE701" s="297"/>
      <c r="AF701" s="297"/>
      <c r="AG701" s="297"/>
      <c r="AH701" s="297"/>
      <c r="AI701" s="297"/>
      <c r="AJ701" s="297"/>
      <c r="AK701" s="297"/>
      <c r="AL701" s="297"/>
      <c r="AM701" s="297"/>
      <c r="AN701" s="297"/>
      <c r="AO701" s="297"/>
      <c r="AP701" s="297"/>
      <c r="AQ701" s="297"/>
      <c r="AR701" s="297"/>
      <c r="AS701" s="297"/>
      <c r="AT701" s="297"/>
      <c r="AU701" s="297"/>
      <c r="AV701" s="297"/>
      <c r="AW701" s="297"/>
      <c r="AX701" s="297"/>
      <c r="AY701" s="297"/>
      <c r="AZ701" s="297"/>
      <c r="BA701" s="297"/>
      <c r="BB701" s="297"/>
    </row>
    <row r="702" spans="1:54" thickBot="1">
      <c r="A702" s="298"/>
      <c r="B702" s="298"/>
      <c r="C702" s="298"/>
      <c r="D702" s="298"/>
      <c r="E702" s="298"/>
      <c r="F702" s="282"/>
      <c r="G702" s="298"/>
      <c r="H702" s="298"/>
      <c r="I702" s="282"/>
      <c r="J702" s="298"/>
      <c r="K702" s="566"/>
      <c r="L702" s="282"/>
      <c r="M702" s="282"/>
      <c r="N702" s="298"/>
      <c r="O702" s="282"/>
      <c r="P702" s="282"/>
      <c r="Q702" s="298"/>
      <c r="R702" s="282"/>
      <c r="S702" s="282"/>
      <c r="T702" s="298"/>
      <c r="U702" s="282"/>
      <c r="V702" s="298"/>
      <c r="W702" s="298"/>
      <c r="X702" s="297"/>
      <c r="Y702" s="297"/>
      <c r="Z702" s="297"/>
      <c r="AA702" s="297"/>
      <c r="AB702" s="297"/>
      <c r="AC702" s="297"/>
      <c r="AD702" s="297"/>
      <c r="AE702" s="297"/>
      <c r="AF702" s="297"/>
      <c r="AG702" s="297"/>
      <c r="AH702" s="297"/>
      <c r="AI702" s="297"/>
      <c r="AJ702" s="297"/>
      <c r="AK702" s="297"/>
      <c r="AL702" s="297"/>
      <c r="AM702" s="297"/>
      <c r="AN702" s="297"/>
      <c r="AO702" s="297"/>
      <c r="AP702" s="297"/>
      <c r="AQ702" s="297"/>
      <c r="AR702" s="297"/>
      <c r="AS702" s="297"/>
      <c r="AT702" s="297"/>
      <c r="AU702" s="297"/>
      <c r="AV702" s="297"/>
      <c r="AW702" s="297"/>
      <c r="AX702" s="297"/>
      <c r="AY702" s="297"/>
      <c r="AZ702" s="297"/>
      <c r="BA702" s="297"/>
      <c r="BB702" s="297"/>
    </row>
    <row r="703" spans="1:54" thickBot="1">
      <c r="A703" s="298"/>
      <c r="B703" s="298"/>
      <c r="C703" s="298"/>
      <c r="D703" s="298"/>
      <c r="E703" s="298"/>
      <c r="F703" s="282"/>
      <c r="G703" s="298"/>
      <c r="H703" s="298"/>
      <c r="I703" s="282"/>
      <c r="J703" s="298"/>
      <c r="K703" s="566"/>
      <c r="L703" s="282"/>
      <c r="M703" s="282"/>
      <c r="N703" s="298"/>
      <c r="O703" s="282"/>
      <c r="P703" s="282"/>
      <c r="Q703" s="298"/>
      <c r="R703" s="282"/>
      <c r="S703" s="282"/>
      <c r="T703" s="298"/>
      <c r="U703" s="282"/>
      <c r="V703" s="298"/>
      <c r="W703" s="298"/>
      <c r="X703" s="297"/>
      <c r="Y703" s="297"/>
      <c r="Z703" s="297"/>
      <c r="AA703" s="297"/>
      <c r="AB703" s="297"/>
      <c r="AC703" s="297"/>
      <c r="AD703" s="297"/>
      <c r="AE703" s="297"/>
      <c r="AF703" s="297"/>
      <c r="AG703" s="297"/>
      <c r="AH703" s="297"/>
      <c r="AI703" s="297"/>
      <c r="AJ703" s="297"/>
      <c r="AK703" s="297"/>
      <c r="AL703" s="297"/>
      <c r="AM703" s="297"/>
      <c r="AN703" s="297"/>
      <c r="AO703" s="297"/>
      <c r="AP703" s="297"/>
      <c r="AQ703" s="297"/>
      <c r="AR703" s="297"/>
      <c r="AS703" s="297"/>
      <c r="AT703" s="297"/>
      <c r="AU703" s="297"/>
      <c r="AV703" s="297"/>
      <c r="AW703" s="297"/>
      <c r="AX703" s="297"/>
      <c r="AY703" s="297"/>
      <c r="AZ703" s="297"/>
      <c r="BA703" s="297"/>
      <c r="BB703" s="297"/>
    </row>
    <row r="704" spans="1:54" thickBot="1">
      <c r="A704" s="298"/>
      <c r="B704" s="298"/>
      <c r="C704" s="298"/>
      <c r="D704" s="298"/>
      <c r="E704" s="298"/>
      <c r="F704" s="282"/>
      <c r="G704" s="298"/>
      <c r="H704" s="298"/>
      <c r="I704" s="282"/>
      <c r="J704" s="298"/>
      <c r="K704" s="566"/>
      <c r="L704" s="282"/>
      <c r="M704" s="282"/>
      <c r="N704" s="298"/>
      <c r="O704" s="282"/>
      <c r="P704" s="282"/>
      <c r="Q704" s="298"/>
      <c r="R704" s="282"/>
      <c r="S704" s="282"/>
      <c r="T704" s="298"/>
      <c r="U704" s="282"/>
      <c r="V704" s="298"/>
      <c r="W704" s="298"/>
      <c r="X704" s="297"/>
      <c r="Y704" s="297"/>
      <c r="Z704" s="297"/>
      <c r="AA704" s="297"/>
      <c r="AB704" s="297"/>
      <c r="AC704" s="297"/>
      <c r="AD704" s="297"/>
      <c r="AE704" s="297"/>
      <c r="AF704" s="297"/>
      <c r="AG704" s="297"/>
      <c r="AH704" s="297"/>
      <c r="AI704" s="297"/>
      <c r="AJ704" s="297"/>
      <c r="AK704" s="297"/>
      <c r="AL704" s="297"/>
      <c r="AM704" s="297"/>
      <c r="AN704" s="297"/>
      <c r="AO704" s="297"/>
      <c r="AP704" s="297"/>
      <c r="AQ704" s="297"/>
      <c r="AR704" s="297"/>
      <c r="AS704" s="297"/>
      <c r="AT704" s="297"/>
      <c r="AU704" s="297"/>
      <c r="AV704" s="297"/>
      <c r="AW704" s="297"/>
      <c r="AX704" s="297"/>
      <c r="AY704" s="297"/>
      <c r="AZ704" s="297"/>
      <c r="BA704" s="297"/>
      <c r="BB704" s="297"/>
    </row>
    <row r="705" spans="1:54" thickBot="1">
      <c r="A705" s="298"/>
      <c r="B705" s="298"/>
      <c r="C705" s="298"/>
      <c r="D705" s="298"/>
      <c r="E705" s="298"/>
      <c r="F705" s="282"/>
      <c r="G705" s="298"/>
      <c r="H705" s="298"/>
      <c r="I705" s="282"/>
      <c r="J705" s="298"/>
      <c r="K705" s="566"/>
      <c r="L705" s="282"/>
      <c r="M705" s="282"/>
      <c r="N705" s="298"/>
      <c r="O705" s="282"/>
      <c r="P705" s="282"/>
      <c r="Q705" s="298"/>
      <c r="R705" s="282"/>
      <c r="S705" s="282"/>
      <c r="T705" s="298"/>
      <c r="U705" s="282"/>
      <c r="V705" s="298"/>
      <c r="W705" s="298"/>
      <c r="X705" s="297"/>
      <c r="Y705" s="297"/>
      <c r="Z705" s="297"/>
      <c r="AA705" s="297"/>
      <c r="AB705" s="297"/>
      <c r="AC705" s="297"/>
      <c r="AD705" s="297"/>
      <c r="AE705" s="297"/>
      <c r="AF705" s="297"/>
      <c r="AG705" s="297"/>
      <c r="AH705" s="297"/>
      <c r="AI705" s="297"/>
      <c r="AJ705" s="297"/>
      <c r="AK705" s="297"/>
      <c r="AL705" s="297"/>
      <c r="AM705" s="297"/>
      <c r="AN705" s="297"/>
      <c r="AO705" s="297"/>
      <c r="AP705" s="297"/>
      <c r="AQ705" s="297"/>
      <c r="AR705" s="297"/>
      <c r="AS705" s="297"/>
      <c r="AT705" s="297"/>
      <c r="AU705" s="297"/>
      <c r="AV705" s="297"/>
      <c r="AW705" s="297"/>
      <c r="AX705" s="297"/>
      <c r="AY705" s="297"/>
      <c r="AZ705" s="297"/>
      <c r="BA705" s="297"/>
      <c r="BB705" s="297"/>
    </row>
    <row r="706" spans="1:54" thickBot="1">
      <c r="A706" s="298"/>
      <c r="B706" s="298"/>
      <c r="C706" s="298"/>
      <c r="D706" s="298"/>
      <c r="E706" s="298"/>
      <c r="F706" s="282"/>
      <c r="G706" s="298"/>
      <c r="H706" s="298"/>
      <c r="I706" s="282"/>
      <c r="J706" s="298"/>
      <c r="K706" s="566"/>
      <c r="L706" s="282"/>
      <c r="M706" s="282"/>
      <c r="N706" s="298"/>
      <c r="O706" s="282"/>
      <c r="P706" s="282"/>
      <c r="Q706" s="298"/>
      <c r="R706" s="282"/>
      <c r="S706" s="282"/>
      <c r="T706" s="298"/>
      <c r="U706" s="282"/>
      <c r="V706" s="298"/>
      <c r="W706" s="298"/>
      <c r="X706" s="297"/>
      <c r="Y706" s="297"/>
      <c r="Z706" s="297"/>
      <c r="AA706" s="297"/>
      <c r="AB706" s="297"/>
      <c r="AC706" s="297"/>
      <c r="AD706" s="297"/>
      <c r="AE706" s="297"/>
      <c r="AF706" s="297"/>
      <c r="AG706" s="297"/>
      <c r="AH706" s="297"/>
      <c r="AI706" s="297"/>
      <c r="AJ706" s="297"/>
      <c r="AK706" s="297"/>
      <c r="AL706" s="297"/>
      <c r="AM706" s="297"/>
      <c r="AN706" s="297"/>
      <c r="AO706" s="297"/>
      <c r="AP706" s="297"/>
      <c r="AQ706" s="297"/>
      <c r="AR706" s="297"/>
      <c r="AS706" s="297"/>
      <c r="AT706" s="297"/>
      <c r="AU706" s="297"/>
      <c r="AV706" s="297"/>
      <c r="AW706" s="297"/>
      <c r="AX706" s="297"/>
      <c r="AY706" s="297"/>
      <c r="AZ706" s="297"/>
      <c r="BA706" s="297"/>
      <c r="BB706" s="297"/>
    </row>
    <row r="707" spans="1:54" thickBot="1">
      <c r="A707" s="298"/>
      <c r="B707" s="298"/>
      <c r="C707" s="298"/>
      <c r="D707" s="298"/>
      <c r="E707" s="298"/>
      <c r="F707" s="282"/>
      <c r="G707" s="298"/>
      <c r="H707" s="298"/>
      <c r="I707" s="282"/>
      <c r="J707" s="298"/>
      <c r="K707" s="566"/>
      <c r="L707" s="282"/>
      <c r="M707" s="282"/>
      <c r="N707" s="298"/>
      <c r="O707" s="282"/>
      <c r="P707" s="282"/>
      <c r="Q707" s="298"/>
      <c r="R707" s="282"/>
      <c r="S707" s="282"/>
      <c r="T707" s="298"/>
      <c r="U707" s="282"/>
      <c r="V707" s="298"/>
      <c r="W707" s="298"/>
      <c r="X707" s="297"/>
      <c r="Y707" s="297"/>
      <c r="Z707" s="297"/>
      <c r="AA707" s="297"/>
      <c r="AB707" s="297"/>
      <c r="AC707" s="297"/>
      <c r="AD707" s="297"/>
      <c r="AE707" s="297"/>
      <c r="AF707" s="297"/>
      <c r="AG707" s="297"/>
      <c r="AH707" s="297"/>
      <c r="AI707" s="297"/>
      <c r="AJ707" s="297"/>
      <c r="AK707" s="297"/>
      <c r="AL707" s="297"/>
      <c r="AM707" s="297"/>
      <c r="AN707" s="297"/>
      <c r="AO707" s="297"/>
      <c r="AP707" s="297"/>
      <c r="AQ707" s="297"/>
      <c r="AR707" s="297"/>
      <c r="AS707" s="297"/>
      <c r="AT707" s="297"/>
      <c r="AU707" s="297"/>
      <c r="AV707" s="297"/>
      <c r="AW707" s="297"/>
      <c r="AX707" s="297"/>
      <c r="AY707" s="297"/>
      <c r="AZ707" s="297"/>
      <c r="BA707" s="297"/>
      <c r="BB707" s="297"/>
    </row>
    <row r="708" spans="1:54" thickBot="1">
      <c r="A708" s="298"/>
      <c r="B708" s="298"/>
      <c r="C708" s="298"/>
      <c r="D708" s="298"/>
      <c r="E708" s="298"/>
      <c r="F708" s="282"/>
      <c r="G708" s="298"/>
      <c r="H708" s="298"/>
      <c r="I708" s="282"/>
      <c r="J708" s="298"/>
      <c r="K708" s="566"/>
      <c r="L708" s="282"/>
      <c r="M708" s="282"/>
      <c r="N708" s="298"/>
      <c r="O708" s="282"/>
      <c r="P708" s="282"/>
      <c r="Q708" s="298"/>
      <c r="R708" s="282"/>
      <c r="S708" s="282"/>
      <c r="T708" s="298"/>
      <c r="U708" s="282"/>
      <c r="V708" s="298"/>
      <c r="W708" s="298"/>
      <c r="X708" s="297"/>
      <c r="Y708" s="297"/>
      <c r="Z708" s="297"/>
      <c r="AA708" s="297"/>
      <c r="AB708" s="297"/>
      <c r="AC708" s="297"/>
      <c r="AD708" s="297"/>
      <c r="AE708" s="297"/>
      <c r="AF708" s="297"/>
      <c r="AG708" s="297"/>
      <c r="AH708" s="297"/>
      <c r="AI708" s="297"/>
      <c r="AJ708" s="297"/>
      <c r="AK708" s="297"/>
      <c r="AL708" s="297"/>
      <c r="AM708" s="297"/>
      <c r="AN708" s="297"/>
      <c r="AO708" s="297"/>
      <c r="AP708" s="297"/>
      <c r="AQ708" s="297"/>
      <c r="AR708" s="297"/>
      <c r="AS708" s="297"/>
      <c r="AT708" s="297"/>
      <c r="AU708" s="297"/>
      <c r="AV708" s="297"/>
      <c r="AW708" s="297"/>
      <c r="AX708" s="297"/>
      <c r="AY708" s="297"/>
      <c r="AZ708" s="297"/>
      <c r="BA708" s="297"/>
      <c r="BB708" s="297"/>
    </row>
    <row r="709" spans="1:54" thickBot="1">
      <c r="A709" s="298"/>
      <c r="B709" s="298"/>
      <c r="C709" s="298"/>
      <c r="D709" s="298"/>
      <c r="E709" s="298"/>
      <c r="F709" s="282"/>
      <c r="G709" s="298"/>
      <c r="H709" s="298"/>
      <c r="I709" s="282"/>
      <c r="J709" s="298"/>
      <c r="K709" s="566"/>
      <c r="L709" s="282"/>
      <c r="M709" s="282"/>
      <c r="N709" s="298"/>
      <c r="O709" s="282"/>
      <c r="P709" s="282"/>
      <c r="Q709" s="298"/>
      <c r="R709" s="282"/>
      <c r="S709" s="282"/>
      <c r="T709" s="298"/>
      <c r="U709" s="282"/>
      <c r="V709" s="298"/>
      <c r="W709" s="298"/>
      <c r="X709" s="297"/>
      <c r="Y709" s="297"/>
      <c r="Z709" s="297"/>
      <c r="AA709" s="297"/>
      <c r="AB709" s="297"/>
      <c r="AC709" s="297"/>
      <c r="AD709" s="297"/>
      <c r="AE709" s="297"/>
      <c r="AF709" s="297"/>
      <c r="AG709" s="297"/>
      <c r="AH709" s="297"/>
      <c r="AI709" s="297"/>
      <c r="AJ709" s="297"/>
      <c r="AK709" s="297"/>
      <c r="AL709" s="297"/>
      <c r="AM709" s="297"/>
      <c r="AN709" s="297"/>
      <c r="AO709" s="297"/>
      <c r="AP709" s="297"/>
      <c r="AQ709" s="297"/>
      <c r="AR709" s="297"/>
      <c r="AS709" s="297"/>
      <c r="AT709" s="297"/>
      <c r="AU709" s="297"/>
      <c r="AV709" s="297"/>
      <c r="AW709" s="297"/>
      <c r="AX709" s="297"/>
      <c r="AY709" s="297"/>
      <c r="AZ709" s="297"/>
      <c r="BA709" s="297"/>
      <c r="BB709" s="297"/>
    </row>
    <row r="710" spans="1:54" thickBot="1">
      <c r="A710" s="298"/>
      <c r="B710" s="298"/>
      <c r="C710" s="298"/>
      <c r="D710" s="298"/>
      <c r="E710" s="298"/>
      <c r="F710" s="282"/>
      <c r="G710" s="298"/>
      <c r="H710" s="298"/>
      <c r="I710" s="282"/>
      <c r="J710" s="298"/>
      <c r="K710" s="566"/>
      <c r="L710" s="282"/>
      <c r="M710" s="282"/>
      <c r="N710" s="298"/>
      <c r="O710" s="282"/>
      <c r="P710" s="282"/>
      <c r="Q710" s="298"/>
      <c r="R710" s="282"/>
      <c r="S710" s="282"/>
      <c r="T710" s="298"/>
      <c r="U710" s="282"/>
      <c r="V710" s="298"/>
      <c r="W710" s="298"/>
      <c r="X710" s="297"/>
      <c r="Y710" s="297"/>
      <c r="Z710" s="297"/>
      <c r="AA710" s="297"/>
      <c r="AB710" s="297"/>
      <c r="AC710" s="297"/>
      <c r="AD710" s="297"/>
      <c r="AE710" s="297"/>
      <c r="AF710" s="297"/>
      <c r="AG710" s="297"/>
      <c r="AH710" s="297"/>
      <c r="AI710" s="297"/>
      <c r="AJ710" s="297"/>
      <c r="AK710" s="297"/>
      <c r="AL710" s="297"/>
      <c r="AM710" s="297"/>
      <c r="AN710" s="297"/>
      <c r="AO710" s="297"/>
      <c r="AP710" s="297"/>
      <c r="AQ710" s="297"/>
      <c r="AR710" s="297"/>
      <c r="AS710" s="297"/>
      <c r="AT710" s="297"/>
      <c r="AU710" s="297"/>
      <c r="AV710" s="297"/>
      <c r="AW710" s="297"/>
      <c r="AX710" s="297"/>
      <c r="AY710" s="297"/>
      <c r="AZ710" s="297"/>
      <c r="BA710" s="297"/>
      <c r="BB710" s="297"/>
    </row>
    <row r="711" spans="1:54" thickBot="1">
      <c r="A711" s="298"/>
      <c r="B711" s="298"/>
      <c r="C711" s="298"/>
      <c r="D711" s="298"/>
      <c r="E711" s="298"/>
      <c r="F711" s="282"/>
      <c r="G711" s="298"/>
      <c r="H711" s="298"/>
      <c r="I711" s="282"/>
      <c r="J711" s="298"/>
      <c r="K711" s="566"/>
      <c r="L711" s="282"/>
      <c r="M711" s="282"/>
      <c r="N711" s="298"/>
      <c r="O711" s="282"/>
      <c r="P711" s="282"/>
      <c r="Q711" s="298"/>
      <c r="R711" s="282"/>
      <c r="S711" s="282"/>
      <c r="T711" s="298"/>
      <c r="U711" s="282"/>
      <c r="V711" s="298"/>
      <c r="W711" s="298"/>
      <c r="X711" s="297"/>
      <c r="Y711" s="297"/>
      <c r="Z711" s="297"/>
      <c r="AA711" s="297"/>
      <c r="AB711" s="297"/>
      <c r="AC711" s="297"/>
      <c r="AD711" s="297"/>
      <c r="AE711" s="297"/>
      <c r="AF711" s="297"/>
      <c r="AG711" s="297"/>
      <c r="AH711" s="297"/>
      <c r="AI711" s="297"/>
      <c r="AJ711" s="297"/>
      <c r="AK711" s="297"/>
      <c r="AL711" s="297"/>
      <c r="AM711" s="297"/>
      <c r="AN711" s="297"/>
      <c r="AO711" s="297"/>
      <c r="AP711" s="297"/>
      <c r="AQ711" s="297"/>
      <c r="AR711" s="297"/>
      <c r="AS711" s="297"/>
      <c r="AT711" s="297"/>
      <c r="AU711" s="297"/>
      <c r="AV711" s="297"/>
      <c r="AW711" s="297"/>
      <c r="AX711" s="297"/>
      <c r="AY711" s="297"/>
      <c r="AZ711" s="297"/>
      <c r="BA711" s="297"/>
      <c r="BB711" s="297"/>
    </row>
    <row r="712" spans="1:54" thickBot="1">
      <c r="A712" s="298"/>
      <c r="B712" s="298"/>
      <c r="C712" s="298"/>
      <c r="D712" s="298"/>
      <c r="E712" s="298"/>
      <c r="F712" s="282"/>
      <c r="G712" s="298"/>
      <c r="H712" s="298"/>
      <c r="I712" s="282"/>
      <c r="J712" s="298"/>
      <c r="K712" s="566"/>
      <c r="L712" s="282"/>
      <c r="M712" s="282"/>
      <c r="N712" s="298"/>
      <c r="O712" s="282"/>
      <c r="P712" s="282"/>
      <c r="Q712" s="298"/>
      <c r="R712" s="282"/>
      <c r="S712" s="282"/>
      <c r="T712" s="298"/>
      <c r="U712" s="282"/>
      <c r="V712" s="298"/>
      <c r="W712" s="298"/>
      <c r="X712" s="297"/>
      <c r="Y712" s="297"/>
      <c r="Z712" s="297"/>
      <c r="AA712" s="297"/>
      <c r="AB712" s="297"/>
      <c r="AC712" s="297"/>
      <c r="AD712" s="297"/>
      <c r="AE712" s="297"/>
      <c r="AF712" s="297"/>
      <c r="AG712" s="297"/>
      <c r="AH712" s="297"/>
      <c r="AI712" s="297"/>
      <c r="AJ712" s="297"/>
      <c r="AK712" s="297"/>
      <c r="AL712" s="297"/>
      <c r="AM712" s="297"/>
      <c r="AN712" s="297"/>
      <c r="AO712" s="297"/>
      <c r="AP712" s="297"/>
      <c r="AQ712" s="297"/>
      <c r="AR712" s="297"/>
      <c r="AS712" s="297"/>
      <c r="AT712" s="297"/>
      <c r="AU712" s="297"/>
      <c r="AV712" s="297"/>
      <c r="AW712" s="297"/>
      <c r="AX712" s="297"/>
      <c r="AY712" s="297"/>
      <c r="AZ712" s="297"/>
      <c r="BA712" s="297"/>
      <c r="BB712" s="297"/>
    </row>
    <row r="713" spans="1:54" thickBot="1">
      <c r="A713" s="298"/>
      <c r="B713" s="298"/>
      <c r="C713" s="298"/>
      <c r="D713" s="298"/>
      <c r="E713" s="298"/>
      <c r="F713" s="282"/>
      <c r="G713" s="298"/>
      <c r="H713" s="298"/>
      <c r="I713" s="282"/>
      <c r="J713" s="298"/>
      <c r="K713" s="566"/>
      <c r="L713" s="282"/>
      <c r="M713" s="282"/>
      <c r="N713" s="298"/>
      <c r="O713" s="282"/>
      <c r="P713" s="282"/>
      <c r="Q713" s="298"/>
      <c r="R713" s="282"/>
      <c r="S713" s="282"/>
      <c r="T713" s="298"/>
      <c r="U713" s="282"/>
      <c r="V713" s="298"/>
      <c r="W713" s="298"/>
      <c r="X713" s="297"/>
      <c r="Y713" s="297"/>
      <c r="Z713" s="297"/>
      <c r="AA713" s="297"/>
      <c r="AB713" s="297"/>
      <c r="AC713" s="297"/>
      <c r="AD713" s="297"/>
      <c r="AE713" s="297"/>
      <c r="AF713" s="297"/>
      <c r="AG713" s="297"/>
      <c r="AH713" s="297"/>
      <c r="AI713" s="297"/>
      <c r="AJ713" s="297"/>
      <c r="AK713" s="297"/>
      <c r="AL713" s="297"/>
      <c r="AM713" s="297"/>
      <c r="AN713" s="297"/>
      <c r="AO713" s="297"/>
      <c r="AP713" s="297"/>
      <c r="AQ713" s="297"/>
      <c r="AR713" s="297"/>
      <c r="AS713" s="297"/>
      <c r="AT713" s="297"/>
      <c r="AU713" s="297"/>
      <c r="AV713" s="297"/>
      <c r="AW713" s="297"/>
      <c r="AX713" s="297"/>
      <c r="AY713" s="297"/>
      <c r="AZ713" s="297"/>
      <c r="BA713" s="297"/>
      <c r="BB713" s="297"/>
    </row>
    <row r="714" spans="1:54" thickBot="1">
      <c r="A714" s="298"/>
      <c r="B714" s="298"/>
      <c r="C714" s="298"/>
      <c r="D714" s="298"/>
      <c r="E714" s="298"/>
      <c r="F714" s="282"/>
      <c r="G714" s="298"/>
      <c r="H714" s="298"/>
      <c r="I714" s="282"/>
      <c r="J714" s="298"/>
      <c r="K714" s="566"/>
      <c r="L714" s="282"/>
      <c r="M714" s="282"/>
      <c r="N714" s="298"/>
      <c r="O714" s="282"/>
      <c r="P714" s="282"/>
      <c r="Q714" s="298"/>
      <c r="R714" s="282"/>
      <c r="S714" s="282"/>
      <c r="T714" s="298"/>
      <c r="U714" s="282"/>
      <c r="V714" s="298"/>
      <c r="W714" s="298"/>
      <c r="X714" s="297"/>
      <c r="Y714" s="297"/>
      <c r="Z714" s="297"/>
      <c r="AA714" s="297"/>
      <c r="AB714" s="297"/>
      <c r="AC714" s="297"/>
      <c r="AD714" s="297"/>
      <c r="AE714" s="297"/>
      <c r="AF714" s="297"/>
      <c r="AG714" s="297"/>
      <c r="AH714" s="297"/>
      <c r="AI714" s="297"/>
      <c r="AJ714" s="297"/>
      <c r="AK714" s="297"/>
      <c r="AL714" s="297"/>
      <c r="AM714" s="297"/>
      <c r="AN714" s="297"/>
      <c r="AO714" s="297"/>
      <c r="AP714" s="297"/>
      <c r="AQ714" s="297"/>
      <c r="AR714" s="297"/>
      <c r="AS714" s="297"/>
      <c r="AT714" s="297"/>
      <c r="AU714" s="297"/>
      <c r="AV714" s="297"/>
      <c r="AW714" s="297"/>
      <c r="AX714" s="297"/>
      <c r="AY714" s="297"/>
      <c r="AZ714" s="297"/>
      <c r="BA714" s="297"/>
      <c r="BB714" s="297"/>
    </row>
    <row r="715" spans="1:54" thickBot="1">
      <c r="A715" s="298"/>
      <c r="B715" s="298"/>
      <c r="C715" s="298"/>
      <c r="D715" s="298"/>
      <c r="E715" s="298"/>
      <c r="F715" s="282"/>
      <c r="G715" s="298"/>
      <c r="H715" s="298"/>
      <c r="I715" s="282"/>
      <c r="J715" s="298"/>
      <c r="K715" s="566"/>
      <c r="L715" s="282"/>
      <c r="M715" s="282"/>
      <c r="N715" s="298"/>
      <c r="O715" s="282"/>
      <c r="P715" s="282"/>
      <c r="Q715" s="298"/>
      <c r="R715" s="282"/>
      <c r="S715" s="282"/>
      <c r="T715" s="298"/>
      <c r="U715" s="282"/>
      <c r="V715" s="298"/>
      <c r="W715" s="298"/>
      <c r="X715" s="297"/>
      <c r="Y715" s="297"/>
      <c r="Z715" s="297"/>
      <c r="AA715" s="297"/>
      <c r="AB715" s="297"/>
      <c r="AC715" s="297"/>
      <c r="AD715" s="297"/>
      <c r="AE715" s="297"/>
      <c r="AF715" s="297"/>
      <c r="AG715" s="297"/>
      <c r="AH715" s="297"/>
      <c r="AI715" s="297"/>
      <c r="AJ715" s="297"/>
      <c r="AK715" s="297"/>
      <c r="AL715" s="297"/>
      <c r="AM715" s="297"/>
      <c r="AN715" s="297"/>
      <c r="AO715" s="297"/>
      <c r="AP715" s="297"/>
      <c r="AQ715" s="297"/>
      <c r="AR715" s="297"/>
      <c r="AS715" s="297"/>
      <c r="AT715" s="297"/>
      <c r="AU715" s="297"/>
      <c r="AV715" s="297"/>
      <c r="AW715" s="297"/>
      <c r="AX715" s="297"/>
      <c r="AY715" s="297"/>
      <c r="AZ715" s="297"/>
      <c r="BA715" s="297"/>
      <c r="BB715" s="297"/>
    </row>
    <row r="716" spans="1:54" thickBot="1">
      <c r="A716" s="298"/>
      <c r="B716" s="298"/>
      <c r="C716" s="298"/>
      <c r="D716" s="298"/>
      <c r="E716" s="298"/>
      <c r="F716" s="282"/>
      <c r="G716" s="298"/>
      <c r="H716" s="298"/>
      <c r="I716" s="282"/>
      <c r="J716" s="298"/>
      <c r="K716" s="566"/>
      <c r="L716" s="282"/>
      <c r="M716" s="282"/>
      <c r="N716" s="298"/>
      <c r="O716" s="282"/>
      <c r="P716" s="282"/>
      <c r="Q716" s="298"/>
      <c r="R716" s="282"/>
      <c r="S716" s="282"/>
      <c r="T716" s="298"/>
      <c r="U716" s="282"/>
      <c r="V716" s="298"/>
      <c r="W716" s="298"/>
      <c r="X716" s="297"/>
      <c r="Y716" s="297"/>
      <c r="Z716" s="297"/>
      <c r="AA716" s="297"/>
      <c r="AB716" s="297"/>
      <c r="AC716" s="297"/>
      <c r="AD716" s="297"/>
      <c r="AE716" s="297"/>
      <c r="AF716" s="297"/>
      <c r="AG716" s="297"/>
      <c r="AH716" s="297"/>
      <c r="AI716" s="297"/>
      <c r="AJ716" s="297"/>
      <c r="AK716" s="297"/>
      <c r="AL716" s="297"/>
      <c r="AM716" s="297"/>
      <c r="AN716" s="297"/>
      <c r="AO716" s="297"/>
      <c r="AP716" s="297"/>
      <c r="AQ716" s="297"/>
      <c r="AR716" s="297"/>
      <c r="AS716" s="297"/>
      <c r="AT716" s="297"/>
      <c r="AU716" s="297"/>
      <c r="AV716" s="297"/>
      <c r="AW716" s="297"/>
      <c r="AX716" s="297"/>
      <c r="AY716" s="297"/>
      <c r="AZ716" s="297"/>
      <c r="BA716" s="297"/>
      <c r="BB716" s="297"/>
    </row>
    <row r="717" spans="1:54" thickBot="1">
      <c r="A717" s="298"/>
      <c r="B717" s="298"/>
      <c r="C717" s="298"/>
      <c r="D717" s="298"/>
      <c r="E717" s="298"/>
      <c r="F717" s="282"/>
      <c r="G717" s="298"/>
      <c r="H717" s="298"/>
      <c r="I717" s="282"/>
      <c r="J717" s="298"/>
      <c r="K717" s="566"/>
      <c r="L717" s="282"/>
      <c r="M717" s="282"/>
      <c r="N717" s="298"/>
      <c r="O717" s="282"/>
      <c r="P717" s="282"/>
      <c r="Q717" s="298"/>
      <c r="R717" s="282"/>
      <c r="S717" s="282"/>
      <c r="T717" s="298"/>
      <c r="U717" s="282"/>
      <c r="V717" s="298"/>
      <c r="W717" s="298"/>
      <c r="X717" s="297"/>
      <c r="Y717" s="297"/>
      <c r="Z717" s="297"/>
      <c r="AA717" s="297"/>
      <c r="AB717" s="297"/>
      <c r="AC717" s="297"/>
      <c r="AD717" s="297"/>
      <c r="AE717" s="297"/>
      <c r="AF717" s="297"/>
      <c r="AG717" s="297"/>
      <c r="AH717" s="297"/>
      <c r="AI717" s="297"/>
      <c r="AJ717" s="297"/>
      <c r="AK717" s="297"/>
      <c r="AL717" s="297"/>
      <c r="AM717" s="297"/>
      <c r="AN717" s="297"/>
      <c r="AO717" s="297"/>
      <c r="AP717" s="297"/>
      <c r="AQ717" s="297"/>
      <c r="AR717" s="297"/>
      <c r="AS717" s="297"/>
      <c r="AT717" s="297"/>
      <c r="AU717" s="297"/>
      <c r="AV717" s="297"/>
      <c r="AW717" s="297"/>
      <c r="AX717" s="297"/>
      <c r="AY717" s="297"/>
      <c r="AZ717" s="297"/>
      <c r="BA717" s="297"/>
      <c r="BB717" s="297"/>
    </row>
    <row r="718" spans="1:54" thickBot="1">
      <c r="A718" s="298"/>
      <c r="B718" s="298"/>
      <c r="C718" s="298"/>
      <c r="D718" s="298"/>
      <c r="E718" s="298"/>
      <c r="F718" s="282"/>
      <c r="G718" s="298"/>
      <c r="H718" s="298"/>
      <c r="I718" s="282"/>
      <c r="J718" s="298"/>
      <c r="K718" s="566"/>
      <c r="L718" s="282"/>
      <c r="M718" s="282"/>
      <c r="N718" s="298"/>
      <c r="O718" s="282"/>
      <c r="P718" s="282"/>
      <c r="Q718" s="298"/>
      <c r="R718" s="282"/>
      <c r="S718" s="282"/>
      <c r="T718" s="298"/>
      <c r="U718" s="282"/>
      <c r="V718" s="298"/>
      <c r="W718" s="298"/>
      <c r="X718" s="297"/>
      <c r="Y718" s="297"/>
      <c r="Z718" s="297"/>
      <c r="AA718" s="297"/>
      <c r="AB718" s="297"/>
      <c r="AC718" s="297"/>
      <c r="AD718" s="297"/>
      <c r="AE718" s="297"/>
      <c r="AF718" s="297"/>
      <c r="AG718" s="297"/>
      <c r="AH718" s="297"/>
      <c r="AI718" s="297"/>
      <c r="AJ718" s="297"/>
      <c r="AK718" s="297"/>
      <c r="AL718" s="297"/>
      <c r="AM718" s="297"/>
      <c r="AN718" s="297"/>
      <c r="AO718" s="297"/>
      <c r="AP718" s="297"/>
      <c r="AQ718" s="297"/>
      <c r="AR718" s="297"/>
      <c r="AS718" s="297"/>
      <c r="AT718" s="297"/>
      <c r="AU718" s="297"/>
      <c r="AV718" s="297"/>
      <c r="AW718" s="297"/>
      <c r="AX718" s="297"/>
      <c r="AY718" s="297"/>
      <c r="AZ718" s="297"/>
      <c r="BA718" s="297"/>
      <c r="BB718" s="297"/>
    </row>
    <row r="719" spans="1:54" thickBot="1">
      <c r="A719" s="298"/>
      <c r="B719" s="298"/>
      <c r="C719" s="298"/>
      <c r="D719" s="298"/>
      <c r="E719" s="298"/>
      <c r="F719" s="282"/>
      <c r="G719" s="298"/>
      <c r="H719" s="298"/>
      <c r="I719" s="282"/>
      <c r="J719" s="298"/>
      <c r="K719" s="566"/>
      <c r="L719" s="282"/>
      <c r="M719" s="282"/>
      <c r="N719" s="298"/>
      <c r="O719" s="282"/>
      <c r="P719" s="282"/>
      <c r="Q719" s="298"/>
      <c r="R719" s="282"/>
      <c r="S719" s="282"/>
      <c r="T719" s="298"/>
      <c r="U719" s="282"/>
      <c r="V719" s="298"/>
      <c r="W719" s="298"/>
      <c r="X719" s="297"/>
      <c r="Y719" s="297"/>
      <c r="Z719" s="297"/>
      <c r="AA719" s="297"/>
      <c r="AB719" s="297"/>
      <c r="AC719" s="297"/>
      <c r="AD719" s="297"/>
      <c r="AE719" s="297"/>
      <c r="AF719" s="297"/>
      <c r="AG719" s="297"/>
      <c r="AH719" s="297"/>
      <c r="AI719" s="297"/>
      <c r="AJ719" s="297"/>
      <c r="AK719" s="297"/>
      <c r="AL719" s="297"/>
      <c r="AM719" s="297"/>
      <c r="AN719" s="297"/>
      <c r="AO719" s="297"/>
      <c r="AP719" s="297"/>
      <c r="AQ719" s="297"/>
      <c r="AR719" s="297"/>
      <c r="AS719" s="297"/>
      <c r="AT719" s="297"/>
      <c r="AU719" s="297"/>
      <c r="AV719" s="297"/>
      <c r="AW719" s="297"/>
      <c r="AX719" s="297"/>
      <c r="AY719" s="297"/>
      <c r="AZ719" s="297"/>
      <c r="BA719" s="297"/>
      <c r="BB719" s="297"/>
    </row>
    <row r="720" spans="1:54" thickBot="1">
      <c r="A720" s="298"/>
      <c r="B720" s="298"/>
      <c r="C720" s="298"/>
      <c r="D720" s="298"/>
      <c r="E720" s="298"/>
      <c r="F720" s="282"/>
      <c r="G720" s="298"/>
      <c r="H720" s="298"/>
      <c r="I720" s="282"/>
      <c r="J720" s="298"/>
      <c r="K720" s="566"/>
      <c r="L720" s="282"/>
      <c r="M720" s="282"/>
      <c r="N720" s="298"/>
      <c r="O720" s="282"/>
      <c r="P720" s="282"/>
      <c r="Q720" s="298"/>
      <c r="R720" s="282"/>
      <c r="S720" s="282"/>
      <c r="T720" s="298"/>
      <c r="U720" s="282"/>
      <c r="V720" s="298"/>
      <c r="W720" s="298"/>
      <c r="X720" s="297"/>
      <c r="Y720" s="297"/>
      <c r="Z720" s="297"/>
      <c r="AA720" s="297"/>
      <c r="AB720" s="297"/>
      <c r="AC720" s="297"/>
      <c r="AD720" s="297"/>
      <c r="AE720" s="297"/>
      <c r="AF720" s="297"/>
      <c r="AG720" s="297"/>
      <c r="AH720" s="297"/>
      <c r="AI720" s="297"/>
      <c r="AJ720" s="297"/>
      <c r="AK720" s="297"/>
      <c r="AL720" s="297"/>
      <c r="AM720" s="297"/>
      <c r="AN720" s="297"/>
      <c r="AO720" s="297"/>
      <c r="AP720" s="297"/>
      <c r="AQ720" s="297"/>
      <c r="AR720" s="297"/>
      <c r="AS720" s="297"/>
      <c r="AT720" s="297"/>
      <c r="AU720" s="297"/>
      <c r="AV720" s="297"/>
      <c r="AW720" s="297"/>
      <c r="AX720" s="297"/>
      <c r="AY720" s="297"/>
      <c r="AZ720" s="297"/>
      <c r="BA720" s="297"/>
      <c r="BB720" s="297"/>
    </row>
    <row r="721" spans="1:54" thickBot="1">
      <c r="A721" s="298"/>
      <c r="B721" s="298"/>
      <c r="C721" s="298"/>
      <c r="D721" s="298"/>
      <c r="E721" s="298"/>
      <c r="F721" s="282"/>
      <c r="G721" s="298"/>
      <c r="H721" s="298"/>
      <c r="I721" s="282"/>
      <c r="J721" s="298"/>
      <c r="K721" s="566"/>
      <c r="L721" s="282"/>
      <c r="M721" s="282"/>
      <c r="N721" s="298"/>
      <c r="O721" s="282"/>
      <c r="P721" s="282"/>
      <c r="Q721" s="298"/>
      <c r="R721" s="282"/>
      <c r="S721" s="282"/>
      <c r="T721" s="298"/>
      <c r="U721" s="282"/>
      <c r="V721" s="298"/>
      <c r="W721" s="298"/>
      <c r="X721" s="297"/>
      <c r="Y721" s="297"/>
      <c r="Z721" s="297"/>
      <c r="AA721" s="297"/>
      <c r="AB721" s="297"/>
      <c r="AC721" s="297"/>
      <c r="AD721" s="297"/>
      <c r="AE721" s="297"/>
      <c r="AF721" s="297"/>
      <c r="AG721" s="297"/>
      <c r="AH721" s="297"/>
      <c r="AI721" s="297"/>
      <c r="AJ721" s="297"/>
      <c r="AK721" s="297"/>
      <c r="AL721" s="297"/>
      <c r="AM721" s="297"/>
      <c r="AN721" s="297"/>
      <c r="AO721" s="297"/>
      <c r="AP721" s="297"/>
      <c r="AQ721" s="297"/>
      <c r="AR721" s="297"/>
      <c r="AS721" s="297"/>
      <c r="AT721" s="297"/>
      <c r="AU721" s="297"/>
      <c r="AV721" s="297"/>
      <c r="AW721" s="297"/>
      <c r="AX721" s="297"/>
      <c r="AY721" s="297"/>
      <c r="AZ721" s="297"/>
      <c r="BA721" s="297"/>
      <c r="BB721" s="297"/>
    </row>
    <row r="722" spans="1:54" thickBot="1">
      <c r="A722" s="298"/>
      <c r="B722" s="298"/>
      <c r="C722" s="298"/>
      <c r="D722" s="298"/>
      <c r="E722" s="298"/>
      <c r="F722" s="282"/>
      <c r="G722" s="298"/>
      <c r="H722" s="298"/>
      <c r="I722" s="282"/>
      <c r="J722" s="298"/>
      <c r="K722" s="566"/>
      <c r="L722" s="282"/>
      <c r="M722" s="282"/>
      <c r="N722" s="298"/>
      <c r="O722" s="282"/>
      <c r="P722" s="282"/>
      <c r="Q722" s="298"/>
      <c r="R722" s="282"/>
      <c r="S722" s="282"/>
      <c r="T722" s="298"/>
      <c r="U722" s="282"/>
      <c r="V722" s="298"/>
      <c r="W722" s="298"/>
      <c r="X722" s="297"/>
      <c r="Y722" s="297"/>
      <c r="Z722" s="297"/>
      <c r="AA722" s="297"/>
      <c r="AB722" s="297"/>
      <c r="AC722" s="297"/>
      <c r="AD722" s="297"/>
      <c r="AE722" s="297"/>
      <c r="AF722" s="297"/>
      <c r="AG722" s="297"/>
      <c r="AH722" s="297"/>
      <c r="AI722" s="297"/>
      <c r="AJ722" s="297"/>
      <c r="AK722" s="297"/>
      <c r="AL722" s="297"/>
      <c r="AM722" s="297"/>
      <c r="AN722" s="297"/>
      <c r="AO722" s="297"/>
      <c r="AP722" s="297"/>
      <c r="AQ722" s="297"/>
      <c r="AR722" s="297"/>
      <c r="AS722" s="297"/>
      <c r="AT722" s="297"/>
      <c r="AU722" s="297"/>
      <c r="AV722" s="297"/>
      <c r="AW722" s="297"/>
      <c r="AX722" s="297"/>
      <c r="AY722" s="297"/>
      <c r="AZ722" s="297"/>
      <c r="BA722" s="297"/>
      <c r="BB722" s="297"/>
    </row>
    <row r="723" spans="1:54" thickBot="1">
      <c r="A723" s="298"/>
      <c r="B723" s="298"/>
      <c r="C723" s="298"/>
      <c r="D723" s="298"/>
      <c r="E723" s="298"/>
      <c r="F723" s="282"/>
      <c r="G723" s="298"/>
      <c r="H723" s="298"/>
      <c r="I723" s="282"/>
      <c r="J723" s="298"/>
      <c r="K723" s="566"/>
      <c r="L723" s="282"/>
      <c r="M723" s="282"/>
      <c r="N723" s="298"/>
      <c r="O723" s="282"/>
      <c r="P723" s="282"/>
      <c r="Q723" s="298"/>
      <c r="R723" s="282"/>
      <c r="S723" s="282"/>
      <c r="T723" s="298"/>
      <c r="U723" s="282"/>
      <c r="V723" s="298"/>
      <c r="W723" s="298"/>
      <c r="X723" s="297"/>
      <c r="Y723" s="297"/>
      <c r="Z723" s="297"/>
      <c r="AA723" s="297"/>
      <c r="AB723" s="297"/>
      <c r="AC723" s="297"/>
      <c r="AD723" s="297"/>
      <c r="AE723" s="297"/>
      <c r="AF723" s="297"/>
      <c r="AG723" s="297"/>
      <c r="AH723" s="297"/>
      <c r="AI723" s="297"/>
      <c r="AJ723" s="297"/>
      <c r="AK723" s="297"/>
      <c r="AL723" s="297"/>
      <c r="AM723" s="297"/>
      <c r="AN723" s="297"/>
      <c r="AO723" s="297"/>
      <c r="AP723" s="297"/>
      <c r="AQ723" s="297"/>
      <c r="AR723" s="297"/>
      <c r="AS723" s="297"/>
      <c r="AT723" s="297"/>
      <c r="AU723" s="297"/>
      <c r="AV723" s="297"/>
      <c r="AW723" s="297"/>
      <c r="AX723" s="297"/>
      <c r="AY723" s="297"/>
      <c r="AZ723" s="297"/>
      <c r="BA723" s="297"/>
      <c r="BB723" s="297"/>
    </row>
    <row r="724" spans="1:54" thickBot="1">
      <c r="A724" s="298"/>
      <c r="B724" s="298"/>
      <c r="C724" s="298"/>
      <c r="D724" s="298"/>
      <c r="E724" s="298"/>
      <c r="F724" s="282"/>
      <c r="G724" s="298"/>
      <c r="H724" s="298"/>
      <c r="I724" s="282"/>
      <c r="J724" s="298"/>
      <c r="K724" s="566"/>
      <c r="L724" s="282"/>
      <c r="M724" s="282"/>
      <c r="N724" s="298"/>
      <c r="O724" s="282"/>
      <c r="P724" s="282"/>
      <c r="Q724" s="298"/>
      <c r="R724" s="282"/>
      <c r="S724" s="282"/>
      <c r="T724" s="298"/>
      <c r="U724" s="282"/>
      <c r="V724" s="298"/>
      <c r="W724" s="298"/>
      <c r="X724" s="297"/>
      <c r="Y724" s="297"/>
      <c r="Z724" s="297"/>
      <c r="AA724" s="297"/>
      <c r="AB724" s="297"/>
      <c r="AC724" s="297"/>
      <c r="AD724" s="297"/>
      <c r="AE724" s="297"/>
      <c r="AF724" s="297"/>
      <c r="AG724" s="297"/>
      <c r="AH724" s="297"/>
      <c r="AI724" s="297"/>
      <c r="AJ724" s="297"/>
      <c r="AK724" s="297"/>
      <c r="AL724" s="297"/>
      <c r="AM724" s="297"/>
      <c r="AN724" s="297"/>
      <c r="AO724" s="297"/>
      <c r="AP724" s="297"/>
      <c r="AQ724" s="297"/>
      <c r="AR724" s="297"/>
      <c r="AS724" s="297"/>
      <c r="AT724" s="297"/>
      <c r="AU724" s="297"/>
      <c r="AV724" s="297"/>
      <c r="AW724" s="297"/>
      <c r="AX724" s="297"/>
      <c r="AY724" s="297"/>
      <c r="AZ724" s="297"/>
      <c r="BA724" s="297"/>
      <c r="BB724" s="297"/>
    </row>
    <row r="725" spans="1:54" thickBot="1">
      <c r="A725" s="298"/>
      <c r="B725" s="298"/>
      <c r="C725" s="298"/>
      <c r="D725" s="298"/>
      <c r="E725" s="298"/>
      <c r="F725" s="282"/>
      <c r="G725" s="298"/>
      <c r="H725" s="298"/>
      <c r="I725" s="282"/>
      <c r="J725" s="298"/>
      <c r="K725" s="566"/>
      <c r="L725" s="282"/>
      <c r="M725" s="282"/>
      <c r="N725" s="298"/>
      <c r="O725" s="282"/>
      <c r="P725" s="282"/>
      <c r="Q725" s="298"/>
      <c r="R725" s="282"/>
      <c r="S725" s="282"/>
      <c r="T725" s="298"/>
      <c r="U725" s="282"/>
      <c r="V725" s="298"/>
      <c r="W725" s="298"/>
      <c r="X725" s="297"/>
      <c r="Y725" s="297"/>
      <c r="Z725" s="297"/>
      <c r="AA725" s="297"/>
      <c r="AB725" s="297"/>
      <c r="AC725" s="297"/>
      <c r="AD725" s="297"/>
      <c r="AE725" s="297"/>
      <c r="AF725" s="297"/>
      <c r="AG725" s="297"/>
      <c r="AH725" s="297"/>
      <c r="AI725" s="297"/>
      <c r="AJ725" s="297"/>
      <c r="AK725" s="297"/>
      <c r="AL725" s="297"/>
      <c r="AM725" s="297"/>
      <c r="AN725" s="297"/>
      <c r="AO725" s="297"/>
      <c r="AP725" s="297"/>
      <c r="AQ725" s="297"/>
      <c r="AR725" s="297"/>
      <c r="AS725" s="297"/>
      <c r="AT725" s="297"/>
      <c r="AU725" s="297"/>
      <c r="AV725" s="297"/>
      <c r="AW725" s="297"/>
      <c r="AX725" s="297"/>
      <c r="AY725" s="297"/>
      <c r="AZ725" s="297"/>
      <c r="BA725" s="297"/>
      <c r="BB725" s="297"/>
    </row>
    <row r="726" spans="1:54" thickBot="1">
      <c r="A726" s="298"/>
      <c r="B726" s="298"/>
      <c r="C726" s="298"/>
      <c r="D726" s="298"/>
      <c r="E726" s="298"/>
      <c r="F726" s="282"/>
      <c r="G726" s="298"/>
      <c r="H726" s="298"/>
      <c r="I726" s="282"/>
      <c r="J726" s="298"/>
      <c r="K726" s="566"/>
      <c r="L726" s="282"/>
      <c r="M726" s="282"/>
      <c r="N726" s="298"/>
      <c r="O726" s="282"/>
      <c r="P726" s="282"/>
      <c r="Q726" s="298"/>
      <c r="R726" s="282"/>
      <c r="S726" s="282"/>
      <c r="T726" s="298"/>
      <c r="U726" s="282"/>
      <c r="V726" s="298"/>
      <c r="W726" s="298"/>
      <c r="X726" s="297"/>
      <c r="Y726" s="297"/>
      <c r="Z726" s="297"/>
      <c r="AA726" s="297"/>
      <c r="AB726" s="297"/>
      <c r="AC726" s="297"/>
      <c r="AD726" s="297"/>
      <c r="AE726" s="297"/>
      <c r="AF726" s="297"/>
      <c r="AG726" s="297"/>
      <c r="AH726" s="297"/>
      <c r="AI726" s="297"/>
      <c r="AJ726" s="297"/>
      <c r="AK726" s="297"/>
      <c r="AL726" s="297"/>
      <c r="AM726" s="297"/>
      <c r="AN726" s="297"/>
      <c r="AO726" s="297"/>
      <c r="AP726" s="297"/>
      <c r="AQ726" s="297"/>
      <c r="AR726" s="297"/>
      <c r="AS726" s="297"/>
      <c r="AT726" s="297"/>
      <c r="AU726" s="297"/>
      <c r="AV726" s="297"/>
      <c r="AW726" s="297"/>
      <c r="AX726" s="297"/>
      <c r="AY726" s="297"/>
      <c r="AZ726" s="297"/>
      <c r="BA726" s="297"/>
      <c r="BB726" s="297"/>
    </row>
    <row r="727" spans="1:54" thickBot="1">
      <c r="A727" s="298"/>
      <c r="B727" s="298"/>
      <c r="C727" s="298"/>
      <c r="D727" s="298"/>
      <c r="E727" s="298"/>
      <c r="F727" s="282"/>
      <c r="G727" s="298"/>
      <c r="H727" s="298"/>
      <c r="I727" s="282"/>
      <c r="J727" s="298"/>
      <c r="K727" s="566"/>
      <c r="L727" s="282"/>
      <c r="M727" s="282"/>
      <c r="N727" s="298"/>
      <c r="O727" s="282"/>
      <c r="P727" s="282"/>
      <c r="Q727" s="298"/>
      <c r="R727" s="282"/>
      <c r="S727" s="282"/>
      <c r="T727" s="298"/>
      <c r="U727" s="282"/>
      <c r="V727" s="298"/>
      <c r="W727" s="298"/>
      <c r="X727" s="297"/>
      <c r="Y727" s="297"/>
      <c r="Z727" s="297"/>
      <c r="AA727" s="297"/>
      <c r="AB727" s="297"/>
      <c r="AC727" s="297"/>
      <c r="AD727" s="297"/>
      <c r="AE727" s="297"/>
      <c r="AF727" s="297"/>
      <c r="AG727" s="297"/>
      <c r="AH727" s="297"/>
      <c r="AI727" s="297"/>
      <c r="AJ727" s="297"/>
      <c r="AK727" s="297"/>
      <c r="AL727" s="297"/>
      <c r="AM727" s="297"/>
      <c r="AN727" s="297"/>
      <c r="AO727" s="297"/>
      <c r="AP727" s="297"/>
      <c r="AQ727" s="297"/>
      <c r="AR727" s="297"/>
      <c r="AS727" s="297"/>
      <c r="AT727" s="297"/>
      <c r="AU727" s="297"/>
      <c r="AV727" s="297"/>
      <c r="AW727" s="297"/>
      <c r="AX727" s="297"/>
      <c r="AY727" s="297"/>
      <c r="AZ727" s="297"/>
      <c r="BA727" s="297"/>
      <c r="BB727" s="297"/>
    </row>
    <row r="728" spans="1:54" thickBot="1">
      <c r="A728" s="298"/>
      <c r="B728" s="298"/>
      <c r="C728" s="298"/>
      <c r="D728" s="298"/>
      <c r="E728" s="298"/>
      <c r="F728" s="282"/>
      <c r="G728" s="298"/>
      <c r="H728" s="298"/>
      <c r="I728" s="282"/>
      <c r="J728" s="298"/>
      <c r="K728" s="566"/>
      <c r="L728" s="282"/>
      <c r="M728" s="282"/>
      <c r="N728" s="298"/>
      <c r="O728" s="282"/>
      <c r="P728" s="282"/>
      <c r="Q728" s="298"/>
      <c r="R728" s="282"/>
      <c r="S728" s="282"/>
      <c r="T728" s="298"/>
      <c r="U728" s="282"/>
      <c r="V728" s="298"/>
      <c r="W728" s="298"/>
      <c r="X728" s="297"/>
      <c r="Y728" s="297"/>
      <c r="Z728" s="297"/>
      <c r="AA728" s="297"/>
      <c r="AB728" s="297"/>
      <c r="AC728" s="297"/>
      <c r="AD728" s="297"/>
      <c r="AE728" s="297"/>
      <c r="AF728" s="297"/>
      <c r="AG728" s="297"/>
      <c r="AH728" s="297"/>
      <c r="AI728" s="297"/>
      <c r="AJ728" s="297"/>
      <c r="AK728" s="297"/>
      <c r="AL728" s="297"/>
      <c r="AM728" s="297"/>
      <c r="AN728" s="297"/>
      <c r="AO728" s="297"/>
      <c r="AP728" s="297"/>
      <c r="AQ728" s="297"/>
      <c r="AR728" s="297"/>
      <c r="AS728" s="297"/>
      <c r="AT728" s="297"/>
      <c r="AU728" s="297"/>
      <c r="AV728" s="297"/>
      <c r="AW728" s="297"/>
      <c r="AX728" s="297"/>
      <c r="AY728" s="297"/>
      <c r="AZ728" s="297"/>
      <c r="BA728" s="297"/>
      <c r="BB728" s="297"/>
    </row>
    <row r="729" spans="1:54" thickBot="1">
      <c r="A729" s="298"/>
      <c r="B729" s="298"/>
      <c r="C729" s="298"/>
      <c r="D729" s="298"/>
      <c r="E729" s="298"/>
      <c r="F729" s="282"/>
      <c r="G729" s="298"/>
      <c r="H729" s="298"/>
      <c r="I729" s="282"/>
      <c r="J729" s="298"/>
      <c r="K729" s="566"/>
      <c r="L729" s="282"/>
      <c r="M729" s="282"/>
      <c r="N729" s="298"/>
      <c r="O729" s="282"/>
      <c r="P729" s="282"/>
      <c r="Q729" s="298"/>
      <c r="R729" s="282"/>
      <c r="S729" s="282"/>
      <c r="T729" s="298"/>
      <c r="U729" s="282"/>
      <c r="V729" s="298"/>
      <c r="W729" s="298"/>
      <c r="X729" s="297"/>
      <c r="Y729" s="297"/>
      <c r="Z729" s="297"/>
      <c r="AA729" s="297"/>
      <c r="AB729" s="297"/>
      <c r="AC729" s="297"/>
      <c r="AD729" s="297"/>
      <c r="AE729" s="297"/>
      <c r="AF729" s="297"/>
      <c r="AG729" s="297"/>
      <c r="AH729" s="297"/>
      <c r="AI729" s="297"/>
      <c r="AJ729" s="297"/>
      <c r="AK729" s="297"/>
      <c r="AL729" s="297"/>
      <c r="AM729" s="297"/>
      <c r="AN729" s="297"/>
      <c r="AO729" s="297"/>
      <c r="AP729" s="297"/>
      <c r="AQ729" s="297"/>
      <c r="AR729" s="297"/>
      <c r="AS729" s="297"/>
      <c r="AT729" s="297"/>
      <c r="AU729" s="297"/>
      <c r="AV729" s="297"/>
      <c r="AW729" s="297"/>
      <c r="AX729" s="297"/>
      <c r="AY729" s="297"/>
      <c r="AZ729" s="297"/>
      <c r="BA729" s="297"/>
      <c r="BB729" s="297"/>
    </row>
    <row r="730" spans="1:54" thickBot="1">
      <c r="A730" s="298"/>
      <c r="B730" s="298"/>
      <c r="C730" s="298"/>
      <c r="D730" s="298"/>
      <c r="E730" s="298"/>
      <c r="F730" s="282"/>
      <c r="G730" s="298"/>
      <c r="H730" s="298"/>
      <c r="I730" s="282"/>
      <c r="J730" s="298"/>
      <c r="K730" s="566"/>
      <c r="L730" s="282"/>
      <c r="M730" s="282"/>
      <c r="N730" s="298"/>
      <c r="O730" s="282"/>
      <c r="P730" s="282"/>
      <c r="Q730" s="298"/>
      <c r="R730" s="282"/>
      <c r="S730" s="282"/>
      <c r="T730" s="298"/>
      <c r="U730" s="282"/>
      <c r="V730" s="298"/>
      <c r="W730" s="298"/>
      <c r="X730" s="297"/>
      <c r="Y730" s="297"/>
      <c r="Z730" s="297"/>
      <c r="AA730" s="297"/>
      <c r="AB730" s="297"/>
      <c r="AC730" s="297"/>
      <c r="AD730" s="297"/>
      <c r="AE730" s="297"/>
      <c r="AF730" s="297"/>
      <c r="AG730" s="297"/>
      <c r="AH730" s="297"/>
      <c r="AI730" s="297"/>
      <c r="AJ730" s="297"/>
      <c r="AK730" s="297"/>
      <c r="AL730" s="297"/>
      <c r="AM730" s="297"/>
      <c r="AN730" s="297"/>
      <c r="AO730" s="297"/>
      <c r="AP730" s="297"/>
      <c r="AQ730" s="297"/>
      <c r="AR730" s="297"/>
      <c r="AS730" s="297"/>
      <c r="AT730" s="297"/>
      <c r="AU730" s="297"/>
      <c r="AV730" s="297"/>
      <c r="AW730" s="297"/>
      <c r="AX730" s="297"/>
      <c r="AY730" s="297"/>
      <c r="AZ730" s="297"/>
      <c r="BA730" s="297"/>
      <c r="BB730" s="297"/>
    </row>
    <row r="731" spans="1:54" thickBot="1">
      <c r="A731" s="298"/>
      <c r="B731" s="298"/>
      <c r="C731" s="298"/>
      <c r="D731" s="298"/>
      <c r="E731" s="298"/>
      <c r="F731" s="282"/>
      <c r="G731" s="298"/>
      <c r="H731" s="298"/>
      <c r="I731" s="282"/>
      <c r="J731" s="298"/>
      <c r="K731" s="566"/>
      <c r="L731" s="282"/>
      <c r="M731" s="282"/>
      <c r="N731" s="298"/>
      <c r="O731" s="282"/>
      <c r="P731" s="282"/>
      <c r="Q731" s="298"/>
      <c r="R731" s="282"/>
      <c r="S731" s="282"/>
      <c r="T731" s="298"/>
      <c r="U731" s="282"/>
      <c r="V731" s="298"/>
      <c r="W731" s="298"/>
      <c r="X731" s="297"/>
      <c r="Y731" s="297"/>
      <c r="Z731" s="297"/>
      <c r="AA731" s="297"/>
      <c r="AB731" s="297"/>
      <c r="AC731" s="297"/>
      <c r="AD731" s="297"/>
      <c r="AE731" s="297"/>
      <c r="AF731" s="297"/>
      <c r="AG731" s="297"/>
      <c r="AH731" s="297"/>
      <c r="AI731" s="297"/>
      <c r="AJ731" s="297"/>
      <c r="AK731" s="297"/>
      <c r="AL731" s="297"/>
      <c r="AM731" s="297"/>
      <c r="AN731" s="297"/>
      <c r="AO731" s="297"/>
      <c r="AP731" s="297"/>
      <c r="AQ731" s="297"/>
      <c r="AR731" s="297"/>
      <c r="AS731" s="297"/>
      <c r="AT731" s="297"/>
      <c r="AU731" s="297"/>
      <c r="AV731" s="297"/>
      <c r="AW731" s="297"/>
      <c r="AX731" s="297"/>
      <c r="AY731" s="297"/>
      <c r="AZ731" s="297"/>
      <c r="BA731" s="297"/>
      <c r="BB731" s="297"/>
    </row>
    <row r="732" spans="1:54" thickBot="1">
      <c r="A732" s="298"/>
      <c r="B732" s="298"/>
      <c r="C732" s="298"/>
      <c r="D732" s="298"/>
      <c r="E732" s="298"/>
      <c r="F732" s="282"/>
      <c r="G732" s="298"/>
      <c r="H732" s="298"/>
      <c r="I732" s="282"/>
      <c r="J732" s="298"/>
      <c r="K732" s="566"/>
      <c r="L732" s="282"/>
      <c r="M732" s="282"/>
      <c r="N732" s="298"/>
      <c r="O732" s="282"/>
      <c r="P732" s="282"/>
      <c r="Q732" s="298"/>
      <c r="R732" s="282"/>
      <c r="S732" s="282"/>
      <c r="T732" s="298"/>
      <c r="U732" s="282"/>
      <c r="V732" s="298"/>
      <c r="W732" s="298"/>
      <c r="X732" s="297"/>
      <c r="Y732" s="297"/>
      <c r="Z732" s="297"/>
      <c r="AA732" s="297"/>
      <c r="AB732" s="297"/>
      <c r="AC732" s="297"/>
      <c r="AD732" s="297"/>
      <c r="AE732" s="297"/>
      <c r="AF732" s="297"/>
      <c r="AG732" s="297"/>
      <c r="AH732" s="297"/>
      <c r="AI732" s="297"/>
      <c r="AJ732" s="297"/>
      <c r="AK732" s="297"/>
      <c r="AL732" s="297"/>
      <c r="AM732" s="297"/>
      <c r="AN732" s="297"/>
      <c r="AO732" s="297"/>
      <c r="AP732" s="297"/>
      <c r="AQ732" s="297"/>
      <c r="AR732" s="297"/>
      <c r="AS732" s="297"/>
      <c r="AT732" s="297"/>
      <c r="AU732" s="297"/>
      <c r="AV732" s="297"/>
      <c r="AW732" s="297"/>
      <c r="AX732" s="297"/>
      <c r="AY732" s="297"/>
      <c r="AZ732" s="297"/>
      <c r="BA732" s="297"/>
      <c r="BB732" s="297"/>
    </row>
    <row r="733" spans="1:54" thickBot="1">
      <c r="A733" s="298"/>
      <c r="B733" s="298"/>
      <c r="C733" s="298"/>
      <c r="D733" s="298"/>
      <c r="E733" s="298"/>
      <c r="F733" s="282"/>
      <c r="G733" s="298"/>
      <c r="H733" s="298"/>
      <c r="I733" s="282"/>
      <c r="J733" s="298"/>
      <c r="K733" s="566"/>
      <c r="L733" s="282"/>
      <c r="M733" s="282"/>
      <c r="N733" s="298"/>
      <c r="O733" s="282"/>
      <c r="P733" s="282"/>
      <c r="Q733" s="298"/>
      <c r="R733" s="282"/>
      <c r="S733" s="282"/>
      <c r="T733" s="298"/>
      <c r="U733" s="282"/>
      <c r="V733" s="298"/>
      <c r="W733" s="298"/>
      <c r="X733" s="297"/>
      <c r="Y733" s="297"/>
      <c r="Z733" s="297"/>
      <c r="AA733" s="297"/>
      <c r="AB733" s="297"/>
      <c r="AC733" s="297"/>
      <c r="AD733" s="297"/>
      <c r="AE733" s="297"/>
      <c r="AF733" s="297"/>
      <c r="AG733" s="297"/>
      <c r="AH733" s="297"/>
      <c r="AI733" s="297"/>
      <c r="AJ733" s="297"/>
      <c r="AK733" s="297"/>
      <c r="AL733" s="297"/>
      <c r="AM733" s="297"/>
      <c r="AN733" s="297"/>
      <c r="AO733" s="297"/>
      <c r="AP733" s="297"/>
      <c r="AQ733" s="297"/>
      <c r="AR733" s="297"/>
      <c r="AS733" s="297"/>
      <c r="AT733" s="297"/>
      <c r="AU733" s="297"/>
      <c r="AV733" s="297"/>
      <c r="AW733" s="297"/>
      <c r="AX733" s="297"/>
      <c r="AY733" s="297"/>
      <c r="AZ733" s="297"/>
      <c r="BA733" s="297"/>
      <c r="BB733" s="297"/>
    </row>
    <row r="734" spans="1:54" thickBot="1">
      <c r="A734" s="298"/>
      <c r="B734" s="298"/>
      <c r="C734" s="298"/>
      <c r="D734" s="298"/>
      <c r="E734" s="298"/>
      <c r="F734" s="282"/>
      <c r="G734" s="298"/>
      <c r="H734" s="298"/>
      <c r="I734" s="282"/>
      <c r="J734" s="298"/>
      <c r="K734" s="566"/>
      <c r="L734" s="282"/>
      <c r="M734" s="282"/>
      <c r="N734" s="298"/>
      <c r="O734" s="282"/>
      <c r="P734" s="282"/>
      <c r="Q734" s="298"/>
      <c r="R734" s="282"/>
      <c r="S734" s="282"/>
      <c r="T734" s="298"/>
      <c r="U734" s="282"/>
      <c r="V734" s="298"/>
      <c r="W734" s="298"/>
      <c r="X734" s="297"/>
      <c r="Y734" s="297"/>
      <c r="Z734" s="297"/>
      <c r="AA734" s="297"/>
      <c r="AB734" s="297"/>
      <c r="AC734" s="297"/>
      <c r="AD734" s="297"/>
      <c r="AE734" s="297"/>
      <c r="AF734" s="297"/>
      <c r="AG734" s="297"/>
      <c r="AH734" s="297"/>
      <c r="AI734" s="297"/>
      <c r="AJ734" s="297"/>
      <c r="AK734" s="297"/>
      <c r="AL734" s="297"/>
      <c r="AM734" s="297"/>
      <c r="AN734" s="297"/>
      <c r="AO734" s="297"/>
      <c r="AP734" s="297"/>
      <c r="AQ734" s="297"/>
      <c r="AR734" s="297"/>
      <c r="AS734" s="297"/>
      <c r="AT734" s="297"/>
      <c r="AU734" s="297"/>
      <c r="AV734" s="297"/>
      <c r="AW734" s="297"/>
      <c r="AX734" s="297"/>
      <c r="AY734" s="297"/>
      <c r="AZ734" s="297"/>
      <c r="BA734" s="297"/>
      <c r="BB734" s="297"/>
    </row>
    <row r="735" spans="1:54" thickBot="1">
      <c r="A735" s="298"/>
      <c r="B735" s="298"/>
      <c r="C735" s="298"/>
      <c r="D735" s="298"/>
      <c r="E735" s="298"/>
      <c r="F735" s="282"/>
      <c r="G735" s="298"/>
      <c r="H735" s="298"/>
      <c r="I735" s="282"/>
      <c r="J735" s="298"/>
      <c r="K735" s="566"/>
      <c r="L735" s="282"/>
      <c r="M735" s="282"/>
      <c r="N735" s="298"/>
      <c r="O735" s="282"/>
      <c r="P735" s="282"/>
      <c r="Q735" s="298"/>
      <c r="R735" s="282"/>
      <c r="S735" s="282"/>
      <c r="T735" s="298"/>
      <c r="U735" s="282"/>
      <c r="V735" s="298"/>
      <c r="W735" s="298"/>
      <c r="X735" s="297"/>
      <c r="Y735" s="297"/>
      <c r="Z735" s="297"/>
      <c r="AA735" s="297"/>
      <c r="AB735" s="297"/>
      <c r="AC735" s="297"/>
      <c r="AD735" s="297"/>
      <c r="AE735" s="297"/>
      <c r="AF735" s="297"/>
      <c r="AG735" s="297"/>
      <c r="AH735" s="297"/>
      <c r="AI735" s="297"/>
      <c r="AJ735" s="297"/>
      <c r="AK735" s="297"/>
      <c r="AL735" s="297"/>
      <c r="AM735" s="297"/>
      <c r="AN735" s="297"/>
      <c r="AO735" s="297"/>
      <c r="AP735" s="297"/>
      <c r="AQ735" s="297"/>
      <c r="AR735" s="297"/>
      <c r="AS735" s="297"/>
      <c r="AT735" s="297"/>
      <c r="AU735" s="297"/>
      <c r="AV735" s="297"/>
      <c r="AW735" s="297"/>
      <c r="AX735" s="297"/>
      <c r="AY735" s="297"/>
      <c r="AZ735" s="297"/>
      <c r="BA735" s="297"/>
      <c r="BB735" s="297"/>
    </row>
    <row r="736" spans="1:54" thickBot="1">
      <c r="A736" s="298"/>
      <c r="B736" s="298"/>
      <c r="C736" s="298"/>
      <c r="D736" s="298"/>
      <c r="E736" s="298"/>
      <c r="F736" s="282"/>
      <c r="G736" s="298"/>
      <c r="H736" s="298"/>
      <c r="I736" s="282"/>
      <c r="J736" s="298"/>
      <c r="K736" s="566"/>
      <c r="L736" s="282"/>
      <c r="M736" s="282"/>
      <c r="N736" s="298"/>
      <c r="O736" s="282"/>
      <c r="P736" s="282"/>
      <c r="Q736" s="298"/>
      <c r="R736" s="282"/>
      <c r="S736" s="282"/>
      <c r="T736" s="298"/>
      <c r="U736" s="282"/>
      <c r="V736" s="298"/>
      <c r="W736" s="298"/>
      <c r="X736" s="297"/>
      <c r="Y736" s="297"/>
      <c r="Z736" s="297"/>
      <c r="AA736" s="297"/>
      <c r="AB736" s="297"/>
      <c r="AC736" s="297"/>
      <c r="AD736" s="297"/>
      <c r="AE736" s="297"/>
      <c r="AF736" s="297"/>
      <c r="AG736" s="297"/>
      <c r="AH736" s="297"/>
      <c r="AI736" s="297"/>
      <c r="AJ736" s="297"/>
      <c r="AK736" s="297"/>
      <c r="AL736" s="297"/>
      <c r="AM736" s="297"/>
      <c r="AN736" s="297"/>
      <c r="AO736" s="297"/>
      <c r="AP736" s="297"/>
      <c r="AQ736" s="297"/>
      <c r="AR736" s="297"/>
      <c r="AS736" s="297"/>
      <c r="AT736" s="297"/>
      <c r="AU736" s="297"/>
      <c r="AV736" s="297"/>
      <c r="AW736" s="297"/>
      <c r="AX736" s="297"/>
      <c r="AY736" s="297"/>
      <c r="AZ736" s="297"/>
      <c r="BA736" s="297"/>
      <c r="BB736" s="297"/>
    </row>
    <row r="737" spans="1:54" thickBot="1">
      <c r="A737" s="298"/>
      <c r="B737" s="298"/>
      <c r="C737" s="298"/>
      <c r="D737" s="298"/>
      <c r="E737" s="298"/>
      <c r="F737" s="282"/>
      <c r="G737" s="298"/>
      <c r="H737" s="298"/>
      <c r="I737" s="282"/>
      <c r="J737" s="298"/>
      <c r="K737" s="566"/>
      <c r="L737" s="282"/>
      <c r="M737" s="282"/>
      <c r="N737" s="298"/>
      <c r="O737" s="282"/>
      <c r="P737" s="282"/>
      <c r="Q737" s="298"/>
      <c r="R737" s="282"/>
      <c r="S737" s="282"/>
      <c r="T737" s="298"/>
      <c r="U737" s="282"/>
      <c r="V737" s="298"/>
      <c r="W737" s="298"/>
      <c r="X737" s="297"/>
      <c r="Y737" s="297"/>
      <c r="Z737" s="297"/>
      <c r="AA737" s="297"/>
      <c r="AB737" s="297"/>
      <c r="AC737" s="297"/>
      <c r="AD737" s="297"/>
      <c r="AE737" s="297"/>
      <c r="AF737" s="297"/>
      <c r="AG737" s="297"/>
      <c r="AH737" s="297"/>
      <c r="AI737" s="297"/>
      <c r="AJ737" s="297"/>
      <c r="AK737" s="297"/>
      <c r="AL737" s="297"/>
      <c r="AM737" s="297"/>
      <c r="AN737" s="297"/>
      <c r="AO737" s="297"/>
      <c r="AP737" s="297"/>
      <c r="AQ737" s="297"/>
      <c r="AR737" s="297"/>
      <c r="AS737" s="297"/>
      <c r="AT737" s="297"/>
      <c r="AU737" s="297"/>
      <c r="AV737" s="297"/>
      <c r="AW737" s="297"/>
      <c r="AX737" s="297"/>
      <c r="AY737" s="297"/>
      <c r="AZ737" s="297"/>
      <c r="BA737" s="297"/>
      <c r="BB737" s="297"/>
    </row>
    <row r="738" spans="1:54" thickBot="1">
      <c r="A738" s="298"/>
      <c r="B738" s="298"/>
      <c r="C738" s="298"/>
      <c r="D738" s="298"/>
      <c r="E738" s="298"/>
      <c r="F738" s="282"/>
      <c r="G738" s="298"/>
      <c r="H738" s="298"/>
      <c r="I738" s="282"/>
      <c r="J738" s="298"/>
      <c r="K738" s="566"/>
      <c r="L738" s="282"/>
      <c r="M738" s="282"/>
      <c r="N738" s="298"/>
      <c r="O738" s="282"/>
      <c r="P738" s="282"/>
      <c r="Q738" s="298"/>
      <c r="R738" s="282"/>
      <c r="S738" s="282"/>
      <c r="T738" s="298"/>
      <c r="U738" s="282"/>
      <c r="V738" s="298"/>
      <c r="W738" s="298"/>
      <c r="X738" s="297"/>
      <c r="Y738" s="297"/>
      <c r="Z738" s="297"/>
      <c r="AA738" s="297"/>
      <c r="AB738" s="297"/>
      <c r="AC738" s="297"/>
      <c r="AD738" s="297"/>
      <c r="AE738" s="297"/>
      <c r="AF738" s="297"/>
      <c r="AG738" s="297"/>
      <c r="AH738" s="297"/>
      <c r="AI738" s="297"/>
      <c r="AJ738" s="297"/>
      <c r="AK738" s="297"/>
      <c r="AL738" s="297"/>
      <c r="AM738" s="297"/>
      <c r="AN738" s="297"/>
      <c r="AO738" s="297"/>
      <c r="AP738" s="297"/>
      <c r="AQ738" s="297"/>
      <c r="AR738" s="297"/>
      <c r="AS738" s="297"/>
      <c r="AT738" s="297"/>
      <c r="AU738" s="297"/>
      <c r="AV738" s="297"/>
      <c r="AW738" s="297"/>
      <c r="AX738" s="297"/>
      <c r="AY738" s="297"/>
      <c r="AZ738" s="297"/>
      <c r="BA738" s="297"/>
      <c r="BB738" s="297"/>
    </row>
    <row r="739" spans="1:54" thickBot="1">
      <c r="A739" s="298"/>
      <c r="B739" s="298"/>
      <c r="C739" s="298"/>
      <c r="D739" s="298"/>
      <c r="E739" s="298"/>
      <c r="F739" s="282"/>
      <c r="G739" s="298"/>
      <c r="H739" s="298"/>
      <c r="I739" s="282"/>
      <c r="J739" s="298"/>
      <c r="K739" s="566"/>
      <c r="L739" s="282"/>
      <c r="M739" s="282"/>
      <c r="N739" s="298"/>
      <c r="O739" s="282"/>
      <c r="P739" s="282"/>
      <c r="Q739" s="298"/>
      <c r="R739" s="282"/>
      <c r="S739" s="282"/>
      <c r="T739" s="298"/>
      <c r="U739" s="282"/>
      <c r="V739" s="298"/>
      <c r="W739" s="298"/>
      <c r="X739" s="297"/>
      <c r="Y739" s="297"/>
      <c r="Z739" s="297"/>
      <c r="AA739" s="297"/>
      <c r="AB739" s="297"/>
      <c r="AC739" s="297"/>
      <c r="AD739" s="297"/>
      <c r="AE739" s="297"/>
      <c r="AF739" s="297"/>
      <c r="AG739" s="297"/>
      <c r="AH739" s="297"/>
      <c r="AI739" s="297"/>
      <c r="AJ739" s="297"/>
      <c r="AK739" s="297"/>
      <c r="AL739" s="297"/>
      <c r="AM739" s="297"/>
      <c r="AN739" s="297"/>
      <c r="AO739" s="297"/>
      <c r="AP739" s="297"/>
      <c r="AQ739" s="297"/>
      <c r="AR739" s="297"/>
      <c r="AS739" s="297"/>
      <c r="AT739" s="297"/>
      <c r="AU739" s="297"/>
      <c r="AV739" s="297"/>
      <c r="AW739" s="297"/>
      <c r="AX739" s="297"/>
      <c r="AY739" s="297"/>
      <c r="AZ739" s="297"/>
      <c r="BA739" s="297"/>
      <c r="BB739" s="297"/>
    </row>
    <row r="740" spans="1:54" thickBot="1">
      <c r="A740" s="298"/>
      <c r="B740" s="298"/>
      <c r="C740" s="298"/>
      <c r="D740" s="298"/>
      <c r="E740" s="298"/>
      <c r="F740" s="282"/>
      <c r="G740" s="298"/>
      <c r="H740" s="298"/>
      <c r="I740" s="282"/>
      <c r="J740" s="298"/>
      <c r="K740" s="566"/>
      <c r="L740" s="282"/>
      <c r="M740" s="282"/>
      <c r="N740" s="298"/>
      <c r="O740" s="282"/>
      <c r="P740" s="282"/>
      <c r="Q740" s="298"/>
      <c r="R740" s="282"/>
      <c r="S740" s="282"/>
      <c r="T740" s="298"/>
      <c r="U740" s="282"/>
      <c r="V740" s="298"/>
      <c r="W740" s="298"/>
      <c r="X740" s="297"/>
      <c r="Y740" s="297"/>
      <c r="Z740" s="297"/>
      <c r="AA740" s="297"/>
      <c r="AB740" s="297"/>
      <c r="AC740" s="297"/>
      <c r="AD740" s="297"/>
      <c r="AE740" s="297"/>
      <c r="AF740" s="297"/>
      <c r="AG740" s="297"/>
      <c r="AH740" s="297"/>
      <c r="AI740" s="297"/>
      <c r="AJ740" s="297"/>
      <c r="AK740" s="297"/>
      <c r="AL740" s="297"/>
      <c r="AM740" s="297"/>
      <c r="AN740" s="297"/>
      <c r="AO740" s="297"/>
      <c r="AP740" s="297"/>
      <c r="AQ740" s="297"/>
      <c r="AR740" s="297"/>
      <c r="AS740" s="297"/>
      <c r="AT740" s="297"/>
      <c r="AU740" s="297"/>
      <c r="AV740" s="297"/>
      <c r="AW740" s="297"/>
      <c r="AX740" s="297"/>
      <c r="AY740" s="297"/>
      <c r="AZ740" s="297"/>
      <c r="BA740" s="297"/>
      <c r="BB740" s="297"/>
    </row>
    <row r="741" spans="1:54" thickBot="1">
      <c r="A741" s="298"/>
      <c r="B741" s="298"/>
      <c r="C741" s="298"/>
      <c r="D741" s="298"/>
      <c r="E741" s="298"/>
      <c r="F741" s="282"/>
      <c r="G741" s="298"/>
      <c r="H741" s="298"/>
      <c r="I741" s="282"/>
      <c r="J741" s="298"/>
      <c r="K741" s="566"/>
      <c r="L741" s="282"/>
      <c r="M741" s="282"/>
      <c r="N741" s="298"/>
      <c r="O741" s="282"/>
      <c r="P741" s="282"/>
      <c r="Q741" s="298"/>
      <c r="R741" s="282"/>
      <c r="S741" s="282"/>
      <c r="T741" s="298"/>
      <c r="U741" s="282"/>
      <c r="V741" s="298"/>
      <c r="W741" s="298"/>
      <c r="X741" s="297"/>
      <c r="Y741" s="297"/>
      <c r="Z741" s="297"/>
      <c r="AA741" s="297"/>
      <c r="AB741" s="297"/>
      <c r="AC741" s="297"/>
      <c r="AD741" s="297"/>
      <c r="AE741" s="297"/>
      <c r="AF741" s="297"/>
      <c r="AG741" s="297"/>
      <c r="AH741" s="297"/>
      <c r="AI741" s="297"/>
      <c r="AJ741" s="297"/>
      <c r="AK741" s="297"/>
      <c r="AL741" s="297"/>
      <c r="AM741" s="297"/>
      <c r="AN741" s="297"/>
      <c r="AO741" s="297"/>
      <c r="AP741" s="297"/>
      <c r="AQ741" s="297"/>
      <c r="AR741" s="297"/>
      <c r="AS741" s="297"/>
      <c r="AT741" s="297"/>
      <c r="AU741" s="297"/>
      <c r="AV741" s="297"/>
      <c r="AW741" s="297"/>
      <c r="AX741" s="297"/>
      <c r="AY741" s="297"/>
      <c r="AZ741" s="297"/>
      <c r="BA741" s="297"/>
      <c r="BB741" s="297"/>
    </row>
    <row r="742" spans="1:54" thickBot="1">
      <c r="A742" s="298"/>
      <c r="B742" s="298"/>
      <c r="C742" s="298"/>
      <c r="D742" s="298"/>
      <c r="E742" s="298"/>
      <c r="F742" s="282"/>
      <c r="G742" s="298"/>
      <c r="H742" s="298"/>
      <c r="I742" s="282"/>
      <c r="J742" s="298"/>
      <c r="K742" s="566"/>
      <c r="L742" s="282"/>
      <c r="M742" s="282"/>
      <c r="N742" s="298"/>
      <c r="O742" s="282"/>
      <c r="P742" s="282"/>
      <c r="Q742" s="298"/>
      <c r="R742" s="282"/>
      <c r="S742" s="282"/>
      <c r="T742" s="298"/>
      <c r="U742" s="282"/>
      <c r="V742" s="298"/>
      <c r="W742" s="298"/>
      <c r="X742" s="297"/>
      <c r="Y742" s="297"/>
      <c r="Z742" s="297"/>
      <c r="AA742" s="297"/>
      <c r="AB742" s="297"/>
      <c r="AC742" s="297"/>
      <c r="AD742" s="297"/>
      <c r="AE742" s="297"/>
      <c r="AF742" s="297"/>
      <c r="AG742" s="297"/>
      <c r="AH742" s="297"/>
      <c r="AI742" s="297"/>
      <c r="AJ742" s="297"/>
      <c r="AK742" s="297"/>
      <c r="AL742" s="297"/>
      <c r="AM742" s="297"/>
      <c r="AN742" s="297"/>
      <c r="AO742" s="297"/>
      <c r="AP742" s="297"/>
      <c r="AQ742" s="297"/>
      <c r="AR742" s="297"/>
      <c r="AS742" s="297"/>
      <c r="AT742" s="297"/>
      <c r="AU742" s="297"/>
      <c r="AV742" s="297"/>
      <c r="AW742" s="297"/>
      <c r="AX742" s="297"/>
      <c r="AY742" s="297"/>
      <c r="AZ742" s="297"/>
      <c r="BA742" s="297"/>
      <c r="BB742" s="297"/>
    </row>
    <row r="743" spans="1:54" thickBot="1">
      <c r="A743" s="298"/>
      <c r="B743" s="298"/>
      <c r="C743" s="298"/>
      <c r="D743" s="298"/>
      <c r="E743" s="298"/>
      <c r="F743" s="282"/>
      <c r="G743" s="298"/>
      <c r="H743" s="298"/>
      <c r="I743" s="282"/>
      <c r="J743" s="298"/>
      <c r="K743" s="566"/>
      <c r="L743" s="282"/>
      <c r="M743" s="282"/>
      <c r="N743" s="298"/>
      <c r="O743" s="282"/>
      <c r="P743" s="282"/>
      <c r="Q743" s="298"/>
      <c r="R743" s="282"/>
      <c r="S743" s="282"/>
      <c r="T743" s="298"/>
      <c r="U743" s="282"/>
      <c r="V743" s="298"/>
      <c r="W743" s="298"/>
      <c r="X743" s="297"/>
      <c r="Y743" s="297"/>
      <c r="Z743" s="297"/>
      <c r="AA743" s="297"/>
      <c r="AB743" s="297"/>
      <c r="AC743" s="297"/>
      <c r="AD743" s="297"/>
      <c r="AE743" s="297"/>
      <c r="AF743" s="297"/>
      <c r="AG743" s="297"/>
      <c r="AH743" s="297"/>
      <c r="AI743" s="297"/>
      <c r="AJ743" s="297"/>
      <c r="AK743" s="297"/>
      <c r="AL743" s="297"/>
      <c r="AM743" s="297"/>
      <c r="AN743" s="297"/>
      <c r="AO743" s="297"/>
      <c r="AP743" s="297"/>
      <c r="AQ743" s="297"/>
      <c r="AR743" s="297"/>
      <c r="AS743" s="297"/>
      <c r="AT743" s="297"/>
      <c r="AU743" s="297"/>
      <c r="AV743" s="297"/>
      <c r="AW743" s="297"/>
      <c r="AX743" s="297"/>
      <c r="AY743" s="297"/>
      <c r="AZ743" s="297"/>
      <c r="BA743" s="297"/>
      <c r="BB743" s="297"/>
    </row>
    <row r="744" spans="1:54" thickBot="1">
      <c r="A744" s="298"/>
      <c r="B744" s="298"/>
      <c r="C744" s="298"/>
      <c r="D744" s="298"/>
      <c r="E744" s="298"/>
      <c r="F744" s="282"/>
      <c r="G744" s="298"/>
      <c r="H744" s="298"/>
      <c r="I744" s="282"/>
      <c r="J744" s="298"/>
      <c r="K744" s="566"/>
      <c r="L744" s="282"/>
      <c r="M744" s="282"/>
      <c r="N744" s="298"/>
      <c r="O744" s="282"/>
      <c r="P744" s="282"/>
      <c r="Q744" s="298"/>
      <c r="R744" s="282"/>
      <c r="S744" s="282"/>
      <c r="T744" s="298"/>
      <c r="U744" s="282"/>
      <c r="V744" s="298"/>
      <c r="W744" s="298"/>
      <c r="X744" s="297"/>
      <c r="Y744" s="297"/>
      <c r="Z744" s="297"/>
      <c r="AA744" s="297"/>
      <c r="AB744" s="297"/>
      <c r="AC744" s="297"/>
      <c r="AD744" s="297"/>
      <c r="AE744" s="297"/>
      <c r="AF744" s="297"/>
      <c r="AG744" s="297"/>
      <c r="AH744" s="297"/>
      <c r="AI744" s="297"/>
      <c r="AJ744" s="297"/>
      <c r="AK744" s="297"/>
      <c r="AL744" s="297"/>
      <c r="AM744" s="297"/>
      <c r="AN744" s="297"/>
      <c r="AO744" s="297"/>
      <c r="AP744" s="297"/>
      <c r="AQ744" s="297"/>
      <c r="AR744" s="297"/>
      <c r="AS744" s="297"/>
      <c r="AT744" s="297"/>
      <c r="AU744" s="297"/>
      <c r="AV744" s="297"/>
      <c r="AW744" s="297"/>
      <c r="AX744" s="297"/>
      <c r="AY744" s="297"/>
      <c r="AZ744" s="297"/>
      <c r="BA744" s="297"/>
      <c r="BB744" s="297"/>
    </row>
    <row r="745" spans="1:54" thickBot="1">
      <c r="A745" s="298"/>
      <c r="B745" s="298"/>
      <c r="C745" s="298"/>
      <c r="D745" s="298"/>
      <c r="E745" s="298"/>
      <c r="F745" s="282"/>
      <c r="G745" s="298"/>
      <c r="H745" s="298"/>
      <c r="I745" s="282"/>
      <c r="J745" s="298"/>
      <c r="K745" s="566"/>
      <c r="L745" s="282"/>
      <c r="M745" s="282"/>
      <c r="N745" s="298"/>
      <c r="O745" s="282"/>
      <c r="P745" s="282"/>
      <c r="Q745" s="298"/>
      <c r="R745" s="282"/>
      <c r="S745" s="282"/>
      <c r="T745" s="298"/>
      <c r="U745" s="282"/>
      <c r="V745" s="298"/>
      <c r="W745" s="298"/>
      <c r="X745" s="297"/>
      <c r="Y745" s="297"/>
      <c r="Z745" s="297"/>
      <c r="AA745" s="297"/>
      <c r="AB745" s="297"/>
      <c r="AC745" s="297"/>
      <c r="AD745" s="297"/>
      <c r="AE745" s="297"/>
      <c r="AF745" s="297"/>
      <c r="AG745" s="297"/>
      <c r="AH745" s="297"/>
      <c r="AI745" s="297"/>
      <c r="AJ745" s="297"/>
      <c r="AK745" s="297"/>
      <c r="AL745" s="297"/>
      <c r="AM745" s="297"/>
      <c r="AN745" s="297"/>
      <c r="AO745" s="297"/>
      <c r="AP745" s="297"/>
      <c r="AQ745" s="297"/>
      <c r="AR745" s="297"/>
      <c r="AS745" s="297"/>
      <c r="AT745" s="297"/>
      <c r="AU745" s="297"/>
      <c r="AV745" s="297"/>
      <c r="AW745" s="297"/>
      <c r="AX745" s="297"/>
      <c r="AY745" s="297"/>
      <c r="AZ745" s="297"/>
      <c r="BA745" s="297"/>
      <c r="BB745" s="297"/>
    </row>
    <row r="746" spans="1:54" thickBot="1">
      <c r="A746" s="298"/>
      <c r="B746" s="298"/>
      <c r="C746" s="298"/>
      <c r="D746" s="298"/>
      <c r="E746" s="298"/>
      <c r="F746" s="282"/>
      <c r="G746" s="298"/>
      <c r="H746" s="298"/>
      <c r="I746" s="282"/>
      <c r="J746" s="298"/>
      <c r="K746" s="566"/>
      <c r="L746" s="282"/>
      <c r="M746" s="282"/>
      <c r="N746" s="298"/>
      <c r="O746" s="282"/>
      <c r="P746" s="282"/>
      <c r="Q746" s="298"/>
      <c r="R746" s="282"/>
      <c r="S746" s="282"/>
      <c r="T746" s="298"/>
      <c r="U746" s="282"/>
      <c r="V746" s="298"/>
      <c r="W746" s="298"/>
      <c r="X746" s="297"/>
      <c r="Y746" s="297"/>
      <c r="Z746" s="297"/>
      <c r="AA746" s="297"/>
      <c r="AB746" s="297"/>
      <c r="AC746" s="297"/>
      <c r="AD746" s="297"/>
      <c r="AE746" s="297"/>
      <c r="AF746" s="297"/>
      <c r="AG746" s="297"/>
      <c r="AH746" s="297"/>
      <c r="AI746" s="297"/>
      <c r="AJ746" s="297"/>
      <c r="AK746" s="297"/>
      <c r="AL746" s="297"/>
      <c r="AM746" s="297"/>
      <c r="AN746" s="297"/>
      <c r="AO746" s="297"/>
      <c r="AP746" s="297"/>
      <c r="AQ746" s="297"/>
      <c r="AR746" s="297"/>
      <c r="AS746" s="297"/>
      <c r="AT746" s="297"/>
      <c r="AU746" s="297"/>
      <c r="AV746" s="297"/>
      <c r="AW746" s="297"/>
      <c r="AX746" s="297"/>
      <c r="AY746" s="297"/>
      <c r="AZ746" s="297"/>
      <c r="BA746" s="297"/>
      <c r="BB746" s="297"/>
    </row>
    <row r="747" spans="1:54" thickBot="1">
      <c r="A747" s="298"/>
      <c r="B747" s="298"/>
      <c r="C747" s="298"/>
      <c r="D747" s="298"/>
      <c r="E747" s="298"/>
      <c r="F747" s="282"/>
      <c r="G747" s="298"/>
      <c r="H747" s="298"/>
      <c r="I747" s="282"/>
      <c r="J747" s="298"/>
      <c r="K747" s="566"/>
      <c r="L747" s="282"/>
      <c r="M747" s="282"/>
      <c r="N747" s="298"/>
      <c r="O747" s="282"/>
      <c r="P747" s="282"/>
      <c r="Q747" s="298"/>
      <c r="R747" s="282"/>
      <c r="S747" s="282"/>
      <c r="T747" s="298"/>
      <c r="U747" s="282"/>
      <c r="V747" s="298"/>
      <c r="W747" s="298"/>
      <c r="X747" s="297"/>
      <c r="Y747" s="297"/>
      <c r="Z747" s="297"/>
      <c r="AA747" s="297"/>
      <c r="AB747" s="297"/>
      <c r="AC747" s="297"/>
      <c r="AD747" s="297"/>
      <c r="AE747" s="297"/>
      <c r="AF747" s="297"/>
      <c r="AG747" s="297"/>
      <c r="AH747" s="297"/>
      <c r="AI747" s="297"/>
      <c r="AJ747" s="297"/>
      <c r="AK747" s="297"/>
      <c r="AL747" s="297"/>
      <c r="AM747" s="297"/>
      <c r="AN747" s="297"/>
      <c r="AO747" s="297"/>
      <c r="AP747" s="297"/>
      <c r="AQ747" s="297"/>
      <c r="AR747" s="297"/>
      <c r="AS747" s="297"/>
      <c r="AT747" s="297"/>
      <c r="AU747" s="297"/>
      <c r="AV747" s="297"/>
      <c r="AW747" s="297"/>
      <c r="AX747" s="297"/>
      <c r="AY747" s="297"/>
      <c r="AZ747" s="297"/>
      <c r="BA747" s="297"/>
      <c r="BB747" s="297"/>
    </row>
    <row r="748" spans="1:54" thickBot="1">
      <c r="A748" s="298"/>
      <c r="B748" s="298"/>
      <c r="C748" s="298"/>
      <c r="D748" s="298"/>
      <c r="E748" s="298"/>
      <c r="F748" s="282"/>
      <c r="G748" s="298"/>
      <c r="H748" s="298"/>
      <c r="I748" s="282"/>
      <c r="J748" s="298"/>
      <c r="K748" s="566"/>
      <c r="L748" s="282"/>
      <c r="M748" s="282"/>
      <c r="N748" s="298"/>
      <c r="O748" s="282"/>
      <c r="P748" s="282"/>
      <c r="Q748" s="298"/>
      <c r="R748" s="282"/>
      <c r="S748" s="282"/>
      <c r="T748" s="298"/>
      <c r="U748" s="282"/>
      <c r="V748" s="298"/>
      <c r="W748" s="298"/>
      <c r="X748" s="297"/>
      <c r="Y748" s="297"/>
      <c r="Z748" s="297"/>
      <c r="AA748" s="297"/>
      <c r="AB748" s="297"/>
      <c r="AC748" s="297"/>
      <c r="AD748" s="297"/>
      <c r="AE748" s="297"/>
      <c r="AF748" s="297"/>
      <c r="AG748" s="297"/>
      <c r="AH748" s="297"/>
      <c r="AI748" s="297"/>
      <c r="AJ748" s="297"/>
      <c r="AK748" s="297"/>
      <c r="AL748" s="297"/>
      <c r="AM748" s="297"/>
      <c r="AN748" s="297"/>
      <c r="AO748" s="297"/>
      <c r="AP748" s="297"/>
      <c r="AQ748" s="297"/>
      <c r="AR748" s="297"/>
      <c r="AS748" s="297"/>
      <c r="AT748" s="297"/>
      <c r="AU748" s="297"/>
      <c r="AV748" s="297"/>
      <c r="AW748" s="297"/>
      <c r="AX748" s="297"/>
      <c r="AY748" s="297"/>
      <c r="AZ748" s="297"/>
      <c r="BA748" s="297"/>
      <c r="BB748" s="297"/>
    </row>
    <row r="749" spans="1:54" thickBot="1">
      <c r="A749" s="298"/>
      <c r="B749" s="298"/>
      <c r="C749" s="298"/>
      <c r="D749" s="298"/>
      <c r="E749" s="298"/>
      <c r="F749" s="282"/>
      <c r="G749" s="298"/>
      <c r="H749" s="298"/>
      <c r="I749" s="282"/>
      <c r="J749" s="298"/>
      <c r="K749" s="566"/>
      <c r="L749" s="282"/>
      <c r="M749" s="282"/>
      <c r="N749" s="298"/>
      <c r="O749" s="282"/>
      <c r="P749" s="282"/>
      <c r="Q749" s="298"/>
      <c r="R749" s="282"/>
      <c r="S749" s="282"/>
      <c r="T749" s="298"/>
      <c r="U749" s="282"/>
      <c r="V749" s="298"/>
      <c r="W749" s="298"/>
      <c r="X749" s="297"/>
      <c r="Y749" s="297"/>
      <c r="Z749" s="297"/>
      <c r="AA749" s="297"/>
      <c r="AB749" s="297"/>
      <c r="AC749" s="297"/>
      <c r="AD749" s="297"/>
      <c r="AE749" s="297"/>
      <c r="AF749" s="297"/>
      <c r="AG749" s="297"/>
      <c r="AH749" s="297"/>
      <c r="AI749" s="297"/>
      <c r="AJ749" s="297"/>
      <c r="AK749" s="297"/>
      <c r="AL749" s="297"/>
      <c r="AM749" s="297"/>
      <c r="AN749" s="297"/>
      <c r="AO749" s="297"/>
      <c r="AP749" s="297"/>
      <c r="AQ749" s="297"/>
      <c r="AR749" s="297"/>
      <c r="AS749" s="297"/>
      <c r="AT749" s="297"/>
      <c r="AU749" s="297"/>
      <c r="AV749" s="297"/>
      <c r="AW749" s="297"/>
      <c r="AX749" s="297"/>
      <c r="AY749" s="297"/>
      <c r="AZ749" s="297"/>
      <c r="BA749" s="297"/>
      <c r="BB749" s="297"/>
    </row>
    <row r="750" spans="1:54" thickBot="1">
      <c r="A750" s="298"/>
      <c r="B750" s="298"/>
      <c r="C750" s="298"/>
      <c r="D750" s="298"/>
      <c r="E750" s="298"/>
      <c r="F750" s="282"/>
      <c r="G750" s="298"/>
      <c r="H750" s="298"/>
      <c r="I750" s="282"/>
      <c r="J750" s="298"/>
      <c r="K750" s="566"/>
      <c r="L750" s="282"/>
      <c r="M750" s="282"/>
      <c r="N750" s="298"/>
      <c r="O750" s="282"/>
      <c r="P750" s="282"/>
      <c r="Q750" s="298"/>
      <c r="R750" s="282"/>
      <c r="S750" s="282"/>
      <c r="T750" s="298"/>
      <c r="U750" s="282"/>
      <c r="V750" s="298"/>
      <c r="W750" s="298"/>
      <c r="X750" s="297"/>
      <c r="Y750" s="297"/>
      <c r="Z750" s="297"/>
      <c r="AA750" s="297"/>
      <c r="AB750" s="297"/>
      <c r="AC750" s="297"/>
      <c r="AD750" s="297"/>
      <c r="AE750" s="297"/>
      <c r="AF750" s="297"/>
      <c r="AG750" s="297"/>
      <c r="AH750" s="297"/>
      <c r="AI750" s="297"/>
      <c r="AJ750" s="297"/>
      <c r="AK750" s="297"/>
      <c r="AL750" s="297"/>
      <c r="AM750" s="297"/>
      <c r="AN750" s="297"/>
      <c r="AO750" s="297"/>
      <c r="AP750" s="297"/>
      <c r="AQ750" s="297"/>
      <c r="AR750" s="297"/>
      <c r="AS750" s="297"/>
      <c r="AT750" s="297"/>
      <c r="AU750" s="297"/>
      <c r="AV750" s="297"/>
      <c r="AW750" s="297"/>
      <c r="AX750" s="297"/>
      <c r="AY750" s="297"/>
      <c r="AZ750" s="297"/>
      <c r="BA750" s="297"/>
      <c r="BB750" s="297"/>
    </row>
    <row r="751" spans="1:54" thickBot="1">
      <c r="A751" s="298"/>
      <c r="B751" s="298"/>
      <c r="C751" s="298"/>
      <c r="D751" s="298"/>
      <c r="E751" s="298"/>
      <c r="F751" s="282"/>
      <c r="G751" s="298"/>
      <c r="H751" s="298"/>
      <c r="I751" s="282"/>
      <c r="J751" s="298"/>
      <c r="K751" s="566"/>
      <c r="L751" s="282"/>
      <c r="M751" s="282"/>
      <c r="N751" s="298"/>
      <c r="O751" s="282"/>
      <c r="P751" s="282"/>
      <c r="Q751" s="298"/>
      <c r="R751" s="282"/>
      <c r="S751" s="282"/>
      <c r="T751" s="298"/>
      <c r="U751" s="282"/>
      <c r="V751" s="298"/>
      <c r="W751" s="298"/>
      <c r="X751" s="297"/>
      <c r="Y751" s="297"/>
      <c r="Z751" s="297"/>
      <c r="AA751" s="297"/>
      <c r="AB751" s="297"/>
      <c r="AC751" s="297"/>
      <c r="AD751" s="297"/>
      <c r="AE751" s="297"/>
      <c r="AF751" s="297"/>
      <c r="AG751" s="297"/>
      <c r="AH751" s="297"/>
      <c r="AI751" s="297"/>
      <c r="AJ751" s="297"/>
      <c r="AK751" s="297"/>
      <c r="AL751" s="297"/>
      <c r="AM751" s="297"/>
      <c r="AN751" s="297"/>
      <c r="AO751" s="297"/>
      <c r="AP751" s="297"/>
      <c r="AQ751" s="297"/>
      <c r="AR751" s="297"/>
      <c r="AS751" s="297"/>
      <c r="AT751" s="297"/>
      <c r="AU751" s="297"/>
      <c r="AV751" s="297"/>
      <c r="AW751" s="297"/>
      <c r="AX751" s="297"/>
      <c r="AY751" s="297"/>
      <c r="AZ751" s="297"/>
      <c r="BA751" s="297"/>
      <c r="BB751" s="297"/>
    </row>
    <row r="752" spans="1:54" thickBot="1">
      <c r="A752" s="298"/>
      <c r="B752" s="298"/>
      <c r="C752" s="298"/>
      <c r="D752" s="298"/>
      <c r="E752" s="298"/>
      <c r="F752" s="282"/>
      <c r="G752" s="298"/>
      <c r="H752" s="298"/>
      <c r="I752" s="282"/>
      <c r="J752" s="298"/>
      <c r="K752" s="566"/>
      <c r="L752" s="282"/>
      <c r="M752" s="282"/>
      <c r="N752" s="298"/>
      <c r="O752" s="282"/>
      <c r="P752" s="282"/>
      <c r="Q752" s="298"/>
      <c r="R752" s="282"/>
      <c r="S752" s="282"/>
      <c r="T752" s="298"/>
      <c r="U752" s="282"/>
      <c r="V752" s="298"/>
      <c r="W752" s="298"/>
      <c r="X752" s="297"/>
      <c r="Y752" s="297"/>
      <c r="Z752" s="297"/>
      <c r="AA752" s="297"/>
      <c r="AB752" s="297"/>
      <c r="AC752" s="297"/>
      <c r="AD752" s="297"/>
      <c r="AE752" s="297"/>
      <c r="AF752" s="297"/>
      <c r="AG752" s="297"/>
      <c r="AH752" s="297"/>
      <c r="AI752" s="297"/>
      <c r="AJ752" s="297"/>
      <c r="AK752" s="297"/>
      <c r="AL752" s="297"/>
      <c r="AM752" s="297"/>
      <c r="AN752" s="297"/>
      <c r="AO752" s="297"/>
      <c r="AP752" s="297"/>
      <c r="AQ752" s="297"/>
      <c r="AR752" s="297"/>
      <c r="AS752" s="297"/>
      <c r="AT752" s="297"/>
      <c r="AU752" s="297"/>
      <c r="AV752" s="297"/>
      <c r="AW752" s="297"/>
      <c r="AX752" s="297"/>
      <c r="AY752" s="297"/>
      <c r="AZ752" s="297"/>
      <c r="BA752" s="297"/>
      <c r="BB752" s="297"/>
    </row>
    <row r="753" spans="1:54" thickBot="1">
      <c r="A753" s="298"/>
      <c r="B753" s="298"/>
      <c r="C753" s="298"/>
      <c r="D753" s="298"/>
      <c r="E753" s="298"/>
      <c r="F753" s="282"/>
      <c r="G753" s="298"/>
      <c r="H753" s="298"/>
      <c r="I753" s="282"/>
      <c r="J753" s="298"/>
      <c r="K753" s="566"/>
      <c r="L753" s="282"/>
      <c r="M753" s="282"/>
      <c r="N753" s="298"/>
      <c r="O753" s="282"/>
      <c r="P753" s="282"/>
      <c r="Q753" s="298"/>
      <c r="R753" s="282"/>
      <c r="S753" s="282"/>
      <c r="T753" s="298"/>
      <c r="U753" s="282"/>
      <c r="V753" s="298"/>
      <c r="W753" s="298"/>
      <c r="X753" s="297"/>
      <c r="Y753" s="297"/>
      <c r="Z753" s="297"/>
      <c r="AA753" s="297"/>
      <c r="AB753" s="297"/>
      <c r="AC753" s="297"/>
      <c r="AD753" s="297"/>
      <c r="AE753" s="297"/>
      <c r="AF753" s="297"/>
      <c r="AG753" s="297"/>
      <c r="AH753" s="297"/>
      <c r="AI753" s="297"/>
      <c r="AJ753" s="297"/>
      <c r="AK753" s="297"/>
      <c r="AL753" s="297"/>
      <c r="AM753" s="297"/>
      <c r="AN753" s="297"/>
      <c r="AO753" s="297"/>
      <c r="AP753" s="297"/>
      <c r="AQ753" s="297"/>
      <c r="AR753" s="297"/>
      <c r="AS753" s="297"/>
      <c r="AT753" s="297"/>
      <c r="AU753" s="297"/>
      <c r="AV753" s="297"/>
      <c r="AW753" s="297"/>
      <c r="AX753" s="297"/>
      <c r="AY753" s="297"/>
      <c r="AZ753" s="297"/>
      <c r="BA753" s="297"/>
      <c r="BB753" s="297"/>
    </row>
    <row r="754" spans="1:54" thickBot="1">
      <c r="A754" s="298"/>
      <c r="B754" s="298"/>
      <c r="C754" s="298"/>
      <c r="D754" s="298"/>
      <c r="E754" s="298"/>
      <c r="F754" s="282"/>
      <c r="G754" s="298"/>
      <c r="H754" s="298"/>
      <c r="I754" s="282"/>
      <c r="J754" s="298"/>
      <c r="K754" s="566"/>
      <c r="L754" s="282"/>
      <c r="M754" s="282"/>
      <c r="N754" s="298"/>
      <c r="O754" s="282"/>
      <c r="P754" s="282"/>
      <c r="Q754" s="298"/>
      <c r="R754" s="282"/>
      <c r="S754" s="282"/>
      <c r="T754" s="298"/>
      <c r="U754" s="282"/>
      <c r="V754" s="298"/>
      <c r="W754" s="298"/>
      <c r="X754" s="297"/>
      <c r="Y754" s="297"/>
      <c r="Z754" s="297"/>
      <c r="AA754" s="297"/>
      <c r="AB754" s="297"/>
      <c r="AC754" s="297"/>
      <c r="AD754" s="297"/>
      <c r="AE754" s="297"/>
      <c r="AF754" s="297"/>
      <c r="AG754" s="297"/>
      <c r="AH754" s="297"/>
      <c r="AI754" s="297"/>
      <c r="AJ754" s="297"/>
      <c r="AK754" s="297"/>
      <c r="AL754" s="297"/>
      <c r="AM754" s="297"/>
      <c r="AN754" s="297"/>
      <c r="AO754" s="297"/>
      <c r="AP754" s="297"/>
      <c r="AQ754" s="297"/>
      <c r="AR754" s="297"/>
      <c r="AS754" s="297"/>
      <c r="AT754" s="297"/>
      <c r="AU754" s="297"/>
      <c r="AV754" s="297"/>
      <c r="AW754" s="297"/>
      <c r="AX754" s="297"/>
      <c r="AY754" s="297"/>
      <c r="AZ754" s="297"/>
      <c r="BA754" s="297"/>
      <c r="BB754" s="297"/>
    </row>
    <row r="755" spans="1:54" thickBot="1">
      <c r="A755" s="298"/>
      <c r="B755" s="298"/>
      <c r="C755" s="298"/>
      <c r="D755" s="298"/>
      <c r="E755" s="298"/>
      <c r="F755" s="282"/>
      <c r="G755" s="298"/>
      <c r="H755" s="298"/>
      <c r="I755" s="282"/>
      <c r="J755" s="298"/>
      <c r="K755" s="566"/>
      <c r="L755" s="282"/>
      <c r="M755" s="282"/>
      <c r="N755" s="298"/>
      <c r="O755" s="282"/>
      <c r="P755" s="282"/>
      <c r="Q755" s="298"/>
      <c r="R755" s="282"/>
      <c r="S755" s="282"/>
      <c r="T755" s="298"/>
      <c r="U755" s="282"/>
      <c r="V755" s="298"/>
      <c r="W755" s="298"/>
      <c r="X755" s="297"/>
      <c r="Y755" s="297"/>
      <c r="Z755" s="297"/>
      <c r="AA755" s="297"/>
      <c r="AB755" s="297"/>
      <c r="AC755" s="297"/>
      <c r="AD755" s="297"/>
      <c r="AE755" s="297"/>
      <c r="AF755" s="297"/>
      <c r="AG755" s="297"/>
      <c r="AH755" s="297"/>
      <c r="AI755" s="297"/>
      <c r="AJ755" s="297"/>
      <c r="AK755" s="297"/>
      <c r="AL755" s="297"/>
      <c r="AM755" s="297"/>
      <c r="AN755" s="297"/>
      <c r="AO755" s="297"/>
      <c r="AP755" s="297"/>
      <c r="AQ755" s="297"/>
      <c r="AR755" s="297"/>
      <c r="AS755" s="297"/>
      <c r="AT755" s="297"/>
      <c r="AU755" s="297"/>
      <c r="AV755" s="297"/>
      <c r="AW755" s="297"/>
      <c r="AX755" s="297"/>
      <c r="AY755" s="297"/>
      <c r="AZ755" s="297"/>
      <c r="BA755" s="297"/>
      <c r="BB755" s="297"/>
    </row>
    <row r="756" spans="1:54" thickBot="1">
      <c r="A756" s="298"/>
      <c r="B756" s="298"/>
      <c r="C756" s="298"/>
      <c r="D756" s="298"/>
      <c r="E756" s="298"/>
      <c r="F756" s="282"/>
      <c r="G756" s="298"/>
      <c r="H756" s="298"/>
      <c r="I756" s="282"/>
      <c r="J756" s="298"/>
      <c r="K756" s="566"/>
      <c r="L756" s="282"/>
      <c r="M756" s="282"/>
      <c r="N756" s="298"/>
      <c r="O756" s="282"/>
      <c r="P756" s="282"/>
      <c r="Q756" s="298"/>
      <c r="R756" s="282"/>
      <c r="S756" s="282"/>
      <c r="T756" s="298"/>
      <c r="U756" s="282"/>
      <c r="V756" s="298"/>
      <c r="W756" s="298"/>
      <c r="X756" s="297"/>
      <c r="Y756" s="297"/>
      <c r="Z756" s="297"/>
      <c r="AA756" s="297"/>
      <c r="AB756" s="297"/>
      <c r="AC756" s="297"/>
      <c r="AD756" s="297"/>
      <c r="AE756" s="297"/>
      <c r="AF756" s="297"/>
      <c r="AG756" s="297"/>
      <c r="AH756" s="297"/>
      <c r="AI756" s="297"/>
      <c r="AJ756" s="297"/>
      <c r="AK756" s="297"/>
      <c r="AL756" s="297"/>
      <c r="AM756" s="297"/>
      <c r="AN756" s="297"/>
      <c r="AO756" s="297"/>
      <c r="AP756" s="297"/>
      <c r="AQ756" s="297"/>
      <c r="AR756" s="297"/>
      <c r="AS756" s="297"/>
      <c r="AT756" s="297"/>
      <c r="AU756" s="297"/>
      <c r="AV756" s="297"/>
      <c r="AW756" s="297"/>
      <c r="AX756" s="297"/>
      <c r="AY756" s="297"/>
      <c r="AZ756" s="297"/>
      <c r="BA756" s="297"/>
      <c r="BB756" s="297"/>
    </row>
    <row r="757" spans="1:54" thickBot="1">
      <c r="A757" s="298"/>
      <c r="B757" s="298"/>
      <c r="C757" s="298"/>
      <c r="D757" s="298"/>
      <c r="E757" s="298"/>
      <c r="F757" s="282"/>
      <c r="G757" s="298"/>
      <c r="H757" s="298"/>
      <c r="I757" s="282"/>
      <c r="J757" s="298"/>
      <c r="K757" s="566"/>
      <c r="L757" s="282"/>
      <c r="M757" s="282"/>
      <c r="N757" s="298"/>
      <c r="O757" s="282"/>
      <c r="P757" s="282"/>
      <c r="Q757" s="298"/>
      <c r="R757" s="282"/>
      <c r="S757" s="282"/>
      <c r="T757" s="298"/>
      <c r="U757" s="282"/>
      <c r="V757" s="298"/>
      <c r="W757" s="298"/>
      <c r="X757" s="297"/>
      <c r="Y757" s="297"/>
      <c r="Z757" s="297"/>
      <c r="AA757" s="297"/>
      <c r="AB757" s="297"/>
      <c r="AC757" s="297"/>
      <c r="AD757" s="297"/>
      <c r="AE757" s="297"/>
      <c r="AF757" s="297"/>
      <c r="AG757" s="297"/>
      <c r="AH757" s="297"/>
      <c r="AI757" s="297"/>
      <c r="AJ757" s="297"/>
      <c r="AK757" s="297"/>
      <c r="AL757" s="297"/>
      <c r="AM757" s="297"/>
      <c r="AN757" s="297"/>
      <c r="AO757" s="297"/>
      <c r="AP757" s="297"/>
      <c r="AQ757" s="297"/>
      <c r="AR757" s="297"/>
      <c r="AS757" s="297"/>
      <c r="AT757" s="297"/>
      <c r="AU757" s="297"/>
      <c r="AV757" s="297"/>
      <c r="AW757" s="297"/>
      <c r="AX757" s="297"/>
      <c r="AY757" s="297"/>
      <c r="AZ757" s="297"/>
      <c r="BA757" s="297"/>
      <c r="BB757" s="297"/>
    </row>
    <row r="758" spans="1:54" thickBot="1">
      <c r="A758" s="298"/>
      <c r="B758" s="298"/>
      <c r="C758" s="298"/>
      <c r="D758" s="298"/>
      <c r="E758" s="298"/>
      <c r="F758" s="282"/>
      <c r="G758" s="298"/>
      <c r="H758" s="298"/>
      <c r="I758" s="282"/>
      <c r="J758" s="298"/>
      <c r="K758" s="566"/>
      <c r="L758" s="282"/>
      <c r="M758" s="282"/>
      <c r="N758" s="298"/>
      <c r="O758" s="282"/>
      <c r="P758" s="282"/>
      <c r="Q758" s="298"/>
      <c r="R758" s="282"/>
      <c r="S758" s="282"/>
      <c r="T758" s="298"/>
      <c r="U758" s="282"/>
      <c r="V758" s="298"/>
      <c r="W758" s="298"/>
      <c r="X758" s="297"/>
      <c r="Y758" s="297"/>
      <c r="Z758" s="297"/>
      <c r="AA758" s="297"/>
      <c r="AB758" s="297"/>
      <c r="AC758" s="297"/>
      <c r="AD758" s="297"/>
      <c r="AE758" s="297"/>
      <c r="AF758" s="297"/>
      <c r="AG758" s="297"/>
      <c r="AH758" s="297"/>
      <c r="AI758" s="297"/>
      <c r="AJ758" s="297"/>
      <c r="AK758" s="297"/>
      <c r="AL758" s="297"/>
      <c r="AM758" s="297"/>
      <c r="AN758" s="297"/>
      <c r="AO758" s="297"/>
      <c r="AP758" s="297"/>
      <c r="AQ758" s="297"/>
      <c r="AR758" s="297"/>
      <c r="AS758" s="297"/>
      <c r="AT758" s="297"/>
      <c r="AU758" s="297"/>
      <c r="AV758" s="297"/>
      <c r="AW758" s="297"/>
      <c r="AX758" s="297"/>
      <c r="AY758" s="297"/>
      <c r="AZ758" s="297"/>
      <c r="BA758" s="297"/>
      <c r="BB758" s="297"/>
    </row>
    <row r="759" spans="1:54" thickBot="1">
      <c r="A759" s="298"/>
      <c r="B759" s="298"/>
      <c r="C759" s="298"/>
      <c r="D759" s="298"/>
      <c r="E759" s="298"/>
      <c r="F759" s="282"/>
      <c r="G759" s="298"/>
      <c r="H759" s="298"/>
      <c r="I759" s="282"/>
      <c r="J759" s="298"/>
      <c r="K759" s="566"/>
      <c r="L759" s="282"/>
      <c r="M759" s="282"/>
      <c r="N759" s="298"/>
      <c r="O759" s="282"/>
      <c r="P759" s="282"/>
      <c r="Q759" s="298"/>
      <c r="R759" s="282"/>
      <c r="S759" s="282"/>
      <c r="T759" s="298"/>
      <c r="U759" s="282"/>
      <c r="V759" s="298"/>
      <c r="W759" s="298"/>
      <c r="X759" s="297"/>
      <c r="Y759" s="297"/>
      <c r="Z759" s="297"/>
      <c r="AA759" s="297"/>
      <c r="AB759" s="297"/>
      <c r="AC759" s="297"/>
      <c r="AD759" s="297"/>
      <c r="AE759" s="297"/>
      <c r="AF759" s="297"/>
      <c r="AG759" s="297"/>
      <c r="AH759" s="297"/>
      <c r="AI759" s="297"/>
      <c r="AJ759" s="297"/>
      <c r="AK759" s="297"/>
      <c r="AL759" s="297"/>
      <c r="AM759" s="297"/>
      <c r="AN759" s="297"/>
      <c r="AO759" s="297"/>
      <c r="AP759" s="297"/>
      <c r="AQ759" s="297"/>
      <c r="AR759" s="297"/>
      <c r="AS759" s="297"/>
      <c r="AT759" s="297"/>
      <c r="AU759" s="297"/>
      <c r="AV759" s="297"/>
      <c r="AW759" s="297"/>
      <c r="AX759" s="297"/>
      <c r="AY759" s="297"/>
      <c r="AZ759" s="297"/>
      <c r="BA759" s="297"/>
      <c r="BB759" s="297"/>
    </row>
    <row r="760" spans="1:54" thickBot="1">
      <c r="A760" s="298"/>
      <c r="B760" s="298"/>
      <c r="C760" s="298"/>
      <c r="D760" s="298"/>
      <c r="E760" s="298"/>
      <c r="F760" s="282"/>
      <c r="G760" s="298"/>
      <c r="H760" s="298"/>
      <c r="I760" s="282"/>
      <c r="J760" s="298"/>
      <c r="K760" s="566"/>
      <c r="L760" s="282"/>
      <c r="M760" s="282"/>
      <c r="N760" s="298"/>
      <c r="O760" s="282"/>
      <c r="P760" s="282"/>
      <c r="Q760" s="298"/>
      <c r="R760" s="282"/>
      <c r="S760" s="282"/>
      <c r="T760" s="298"/>
      <c r="U760" s="282"/>
      <c r="V760" s="298"/>
      <c r="W760" s="298"/>
      <c r="X760" s="297"/>
      <c r="Y760" s="297"/>
      <c r="Z760" s="297"/>
      <c r="AA760" s="297"/>
      <c r="AB760" s="297"/>
      <c r="AC760" s="297"/>
      <c r="AD760" s="297"/>
      <c r="AE760" s="297"/>
      <c r="AF760" s="297"/>
      <c r="AG760" s="297"/>
      <c r="AH760" s="297"/>
      <c r="AI760" s="297"/>
      <c r="AJ760" s="297"/>
      <c r="AK760" s="297"/>
      <c r="AL760" s="297"/>
      <c r="AM760" s="297"/>
      <c r="AN760" s="297"/>
      <c r="AO760" s="297"/>
      <c r="AP760" s="297"/>
      <c r="AQ760" s="297"/>
      <c r="AR760" s="297"/>
      <c r="AS760" s="297"/>
      <c r="AT760" s="297"/>
      <c r="AU760" s="297"/>
      <c r="AV760" s="297"/>
      <c r="AW760" s="297"/>
      <c r="AX760" s="297"/>
      <c r="AY760" s="297"/>
      <c r="AZ760" s="297"/>
      <c r="BA760" s="297"/>
      <c r="BB760" s="297"/>
    </row>
    <row r="761" spans="1:54" thickBot="1">
      <c r="A761" s="298"/>
      <c r="B761" s="298"/>
      <c r="C761" s="298"/>
      <c r="D761" s="298"/>
      <c r="E761" s="298"/>
      <c r="F761" s="282"/>
      <c r="G761" s="298"/>
      <c r="H761" s="298"/>
      <c r="I761" s="282"/>
      <c r="J761" s="298"/>
      <c r="K761" s="566"/>
      <c r="L761" s="282"/>
      <c r="M761" s="282"/>
      <c r="N761" s="298"/>
      <c r="O761" s="282"/>
      <c r="P761" s="282"/>
      <c r="Q761" s="298"/>
      <c r="R761" s="282"/>
      <c r="S761" s="282"/>
      <c r="T761" s="298"/>
      <c r="U761" s="282"/>
      <c r="V761" s="298"/>
      <c r="W761" s="298"/>
      <c r="X761" s="297"/>
      <c r="Y761" s="297"/>
      <c r="Z761" s="297"/>
      <c r="AA761" s="297"/>
      <c r="AB761" s="297"/>
      <c r="AC761" s="297"/>
      <c r="AD761" s="297"/>
      <c r="AE761" s="297"/>
      <c r="AF761" s="297"/>
      <c r="AG761" s="297"/>
      <c r="AH761" s="297"/>
      <c r="AI761" s="297"/>
      <c r="AJ761" s="297"/>
      <c r="AK761" s="297"/>
      <c r="AL761" s="297"/>
      <c r="AM761" s="297"/>
      <c r="AN761" s="297"/>
      <c r="AO761" s="297"/>
      <c r="AP761" s="297"/>
      <c r="AQ761" s="297"/>
      <c r="AR761" s="297"/>
      <c r="AS761" s="297"/>
      <c r="AT761" s="297"/>
      <c r="AU761" s="297"/>
      <c r="AV761" s="297"/>
      <c r="AW761" s="297"/>
      <c r="AX761" s="297"/>
      <c r="AY761" s="297"/>
      <c r="AZ761" s="297"/>
      <c r="BA761" s="297"/>
      <c r="BB761" s="297"/>
    </row>
    <row r="762" spans="1:54" thickBot="1">
      <c r="A762" s="298"/>
      <c r="B762" s="298"/>
      <c r="C762" s="298"/>
      <c r="D762" s="298"/>
      <c r="E762" s="298"/>
      <c r="F762" s="282"/>
      <c r="G762" s="298"/>
      <c r="H762" s="298"/>
      <c r="I762" s="282"/>
      <c r="J762" s="298"/>
      <c r="K762" s="566"/>
      <c r="L762" s="282"/>
      <c r="M762" s="282"/>
      <c r="N762" s="298"/>
      <c r="O762" s="282"/>
      <c r="P762" s="282"/>
      <c r="Q762" s="298"/>
      <c r="R762" s="282"/>
      <c r="S762" s="282"/>
      <c r="T762" s="298"/>
      <c r="U762" s="282"/>
      <c r="V762" s="298"/>
      <c r="W762" s="298"/>
      <c r="X762" s="297"/>
      <c r="Y762" s="297"/>
      <c r="Z762" s="297"/>
      <c r="AA762" s="297"/>
      <c r="AB762" s="297"/>
      <c r="AC762" s="297"/>
      <c r="AD762" s="297"/>
      <c r="AE762" s="297"/>
      <c r="AF762" s="297"/>
      <c r="AG762" s="297"/>
      <c r="AH762" s="297"/>
      <c r="AI762" s="297"/>
      <c r="AJ762" s="297"/>
      <c r="AK762" s="297"/>
      <c r="AL762" s="297"/>
      <c r="AM762" s="297"/>
      <c r="AN762" s="297"/>
      <c r="AO762" s="297"/>
      <c r="AP762" s="297"/>
      <c r="AQ762" s="297"/>
      <c r="AR762" s="297"/>
      <c r="AS762" s="297"/>
      <c r="AT762" s="297"/>
      <c r="AU762" s="297"/>
      <c r="AV762" s="297"/>
      <c r="AW762" s="297"/>
      <c r="AX762" s="297"/>
      <c r="AY762" s="297"/>
      <c r="AZ762" s="297"/>
      <c r="BA762" s="297"/>
      <c r="BB762" s="297"/>
    </row>
    <row r="763" spans="1:54" thickBot="1">
      <c r="A763" s="298"/>
      <c r="B763" s="298"/>
      <c r="C763" s="298"/>
      <c r="D763" s="298"/>
      <c r="E763" s="298"/>
      <c r="F763" s="282"/>
      <c r="G763" s="298"/>
      <c r="H763" s="298"/>
      <c r="I763" s="282"/>
      <c r="J763" s="298"/>
      <c r="K763" s="566"/>
      <c r="L763" s="282"/>
      <c r="M763" s="282"/>
      <c r="N763" s="298"/>
      <c r="O763" s="282"/>
      <c r="P763" s="282"/>
      <c r="Q763" s="298"/>
      <c r="R763" s="282"/>
      <c r="S763" s="282"/>
      <c r="T763" s="298"/>
      <c r="U763" s="282"/>
      <c r="V763" s="298"/>
      <c r="W763" s="298"/>
      <c r="X763" s="297"/>
      <c r="Y763" s="297"/>
      <c r="Z763" s="297"/>
      <c r="AA763" s="297"/>
      <c r="AB763" s="297"/>
      <c r="AC763" s="297"/>
      <c r="AD763" s="297"/>
      <c r="AE763" s="297"/>
      <c r="AF763" s="297"/>
      <c r="AG763" s="297"/>
      <c r="AH763" s="297"/>
      <c r="AI763" s="297"/>
      <c r="AJ763" s="297"/>
      <c r="AK763" s="297"/>
      <c r="AL763" s="297"/>
      <c r="AM763" s="297"/>
      <c r="AN763" s="297"/>
      <c r="AO763" s="297"/>
      <c r="AP763" s="297"/>
      <c r="AQ763" s="297"/>
      <c r="AR763" s="297"/>
      <c r="AS763" s="297"/>
      <c r="AT763" s="297"/>
      <c r="AU763" s="297"/>
      <c r="AV763" s="297"/>
      <c r="AW763" s="297"/>
      <c r="AX763" s="297"/>
      <c r="AY763" s="297"/>
      <c r="AZ763" s="297"/>
      <c r="BA763" s="297"/>
      <c r="BB763" s="297"/>
    </row>
    <row r="764" spans="1:54" thickBot="1">
      <c r="A764" s="298"/>
      <c r="B764" s="298"/>
      <c r="C764" s="298"/>
      <c r="D764" s="298"/>
      <c r="E764" s="298"/>
      <c r="F764" s="282"/>
      <c r="G764" s="298"/>
      <c r="H764" s="298"/>
      <c r="I764" s="282"/>
      <c r="J764" s="298"/>
      <c r="K764" s="566"/>
      <c r="L764" s="282"/>
      <c r="M764" s="282"/>
      <c r="N764" s="298"/>
      <c r="O764" s="282"/>
      <c r="P764" s="282"/>
      <c r="Q764" s="298"/>
      <c r="R764" s="282"/>
      <c r="S764" s="282"/>
      <c r="T764" s="298"/>
      <c r="U764" s="282"/>
      <c r="V764" s="298"/>
      <c r="W764" s="298"/>
      <c r="X764" s="297"/>
      <c r="Y764" s="297"/>
      <c r="Z764" s="297"/>
      <c r="AA764" s="297"/>
      <c r="AB764" s="297"/>
      <c r="AC764" s="297"/>
      <c r="AD764" s="297"/>
      <c r="AE764" s="297"/>
      <c r="AF764" s="297"/>
      <c r="AG764" s="297"/>
      <c r="AH764" s="297"/>
      <c r="AI764" s="297"/>
      <c r="AJ764" s="297"/>
      <c r="AK764" s="297"/>
      <c r="AL764" s="297"/>
      <c r="AM764" s="297"/>
      <c r="AN764" s="297"/>
      <c r="AO764" s="297"/>
      <c r="AP764" s="297"/>
      <c r="AQ764" s="297"/>
      <c r="AR764" s="297"/>
      <c r="AS764" s="297"/>
      <c r="AT764" s="297"/>
      <c r="AU764" s="297"/>
      <c r="AV764" s="297"/>
      <c r="AW764" s="297"/>
      <c r="AX764" s="297"/>
      <c r="AY764" s="297"/>
      <c r="AZ764" s="297"/>
      <c r="BA764" s="297"/>
      <c r="BB764" s="297"/>
    </row>
    <row r="765" spans="1:54" thickBot="1">
      <c r="A765" s="298"/>
      <c r="B765" s="298"/>
      <c r="C765" s="298"/>
      <c r="D765" s="298"/>
      <c r="E765" s="298"/>
      <c r="F765" s="282"/>
      <c r="G765" s="298"/>
      <c r="H765" s="298"/>
      <c r="I765" s="282"/>
      <c r="J765" s="298"/>
      <c r="K765" s="566"/>
      <c r="L765" s="282"/>
      <c r="M765" s="282"/>
      <c r="N765" s="298"/>
      <c r="O765" s="282"/>
      <c r="P765" s="282"/>
      <c r="Q765" s="298"/>
      <c r="R765" s="282"/>
      <c r="S765" s="282"/>
      <c r="T765" s="298"/>
      <c r="U765" s="282"/>
      <c r="V765" s="298"/>
      <c r="W765" s="298"/>
      <c r="X765" s="297"/>
      <c r="Y765" s="297"/>
      <c r="Z765" s="297"/>
      <c r="AA765" s="297"/>
      <c r="AB765" s="297"/>
      <c r="AC765" s="297"/>
      <c r="AD765" s="297"/>
      <c r="AE765" s="297"/>
      <c r="AF765" s="297"/>
      <c r="AG765" s="297"/>
      <c r="AH765" s="297"/>
      <c r="AI765" s="297"/>
      <c r="AJ765" s="297"/>
      <c r="AK765" s="297"/>
      <c r="AL765" s="297"/>
      <c r="AM765" s="297"/>
      <c r="AN765" s="297"/>
      <c r="AO765" s="297"/>
      <c r="AP765" s="297"/>
      <c r="AQ765" s="297"/>
      <c r="AR765" s="297"/>
      <c r="AS765" s="297"/>
      <c r="AT765" s="297"/>
      <c r="AU765" s="297"/>
      <c r="AV765" s="297"/>
      <c r="AW765" s="297"/>
      <c r="AX765" s="297"/>
      <c r="AY765" s="297"/>
      <c r="AZ765" s="297"/>
      <c r="BA765" s="297"/>
      <c r="BB765" s="297"/>
    </row>
    <row r="766" spans="1:54" thickBot="1">
      <c r="A766" s="298"/>
      <c r="B766" s="298"/>
      <c r="C766" s="298"/>
      <c r="D766" s="298"/>
      <c r="E766" s="298"/>
      <c r="F766" s="282"/>
      <c r="G766" s="298"/>
      <c r="H766" s="298"/>
      <c r="I766" s="282"/>
      <c r="J766" s="298"/>
      <c r="K766" s="566"/>
      <c r="L766" s="282"/>
      <c r="M766" s="282"/>
      <c r="N766" s="298"/>
      <c r="O766" s="282"/>
      <c r="P766" s="282"/>
      <c r="Q766" s="298"/>
      <c r="R766" s="282"/>
      <c r="S766" s="282"/>
      <c r="T766" s="298"/>
      <c r="U766" s="282"/>
      <c r="V766" s="298"/>
      <c r="W766" s="298"/>
      <c r="X766" s="297"/>
      <c r="Y766" s="297"/>
      <c r="Z766" s="297"/>
      <c r="AA766" s="297"/>
      <c r="AB766" s="297"/>
      <c r="AC766" s="297"/>
      <c r="AD766" s="297"/>
      <c r="AE766" s="297"/>
      <c r="AF766" s="297"/>
      <c r="AG766" s="297"/>
      <c r="AH766" s="297"/>
      <c r="AI766" s="297"/>
      <c r="AJ766" s="297"/>
      <c r="AK766" s="297"/>
      <c r="AL766" s="297"/>
      <c r="AM766" s="297"/>
      <c r="AN766" s="297"/>
      <c r="AO766" s="297"/>
      <c r="AP766" s="297"/>
      <c r="AQ766" s="297"/>
      <c r="AR766" s="297"/>
      <c r="AS766" s="297"/>
      <c r="AT766" s="297"/>
      <c r="AU766" s="297"/>
      <c r="AV766" s="297"/>
      <c r="AW766" s="297"/>
      <c r="AX766" s="297"/>
      <c r="AY766" s="297"/>
      <c r="AZ766" s="297"/>
      <c r="BA766" s="297"/>
      <c r="BB766" s="297"/>
    </row>
    <row r="767" spans="1:54" thickBot="1">
      <c r="A767" s="298"/>
      <c r="B767" s="298"/>
      <c r="C767" s="298"/>
      <c r="D767" s="298"/>
      <c r="E767" s="298"/>
      <c r="F767" s="282"/>
      <c r="G767" s="298"/>
      <c r="H767" s="298"/>
      <c r="I767" s="282"/>
      <c r="J767" s="298"/>
      <c r="K767" s="566"/>
      <c r="L767" s="282"/>
      <c r="M767" s="282"/>
      <c r="N767" s="298"/>
      <c r="O767" s="282"/>
      <c r="P767" s="282"/>
      <c r="Q767" s="298"/>
      <c r="R767" s="282"/>
      <c r="S767" s="282"/>
      <c r="T767" s="298"/>
      <c r="U767" s="282"/>
      <c r="V767" s="298"/>
      <c r="W767" s="298"/>
      <c r="X767" s="297"/>
      <c r="Y767" s="297"/>
      <c r="Z767" s="297"/>
      <c r="AA767" s="297"/>
      <c r="AB767" s="297"/>
      <c r="AC767" s="297"/>
      <c r="AD767" s="297"/>
      <c r="AE767" s="297"/>
      <c r="AF767" s="297"/>
      <c r="AG767" s="297"/>
      <c r="AH767" s="297"/>
      <c r="AI767" s="297"/>
      <c r="AJ767" s="297"/>
      <c r="AK767" s="297"/>
      <c r="AL767" s="297"/>
      <c r="AM767" s="297"/>
      <c r="AN767" s="297"/>
      <c r="AO767" s="297"/>
      <c r="AP767" s="297"/>
      <c r="AQ767" s="297"/>
      <c r="AR767" s="297"/>
      <c r="AS767" s="297"/>
      <c r="AT767" s="297"/>
      <c r="AU767" s="297"/>
      <c r="AV767" s="297"/>
      <c r="AW767" s="297"/>
      <c r="AX767" s="297"/>
      <c r="AY767" s="297"/>
      <c r="AZ767" s="297"/>
      <c r="BA767" s="297"/>
      <c r="BB767" s="297"/>
    </row>
    <row r="768" spans="1:54" thickBot="1">
      <c r="A768" s="298"/>
      <c r="B768" s="298"/>
      <c r="C768" s="298"/>
      <c r="D768" s="298"/>
      <c r="E768" s="298"/>
      <c r="F768" s="282"/>
      <c r="G768" s="298"/>
      <c r="H768" s="298"/>
      <c r="I768" s="282"/>
      <c r="J768" s="298"/>
      <c r="K768" s="566"/>
      <c r="L768" s="282"/>
      <c r="M768" s="282"/>
      <c r="N768" s="298"/>
      <c r="O768" s="282"/>
      <c r="P768" s="282"/>
      <c r="Q768" s="298"/>
      <c r="R768" s="282"/>
      <c r="S768" s="282"/>
      <c r="T768" s="298"/>
      <c r="U768" s="282"/>
      <c r="V768" s="298"/>
      <c r="W768" s="298"/>
      <c r="X768" s="297"/>
      <c r="Y768" s="297"/>
      <c r="Z768" s="297"/>
      <c r="AA768" s="297"/>
      <c r="AB768" s="297"/>
      <c r="AC768" s="297"/>
      <c r="AD768" s="297"/>
      <c r="AE768" s="297"/>
      <c r="AF768" s="297"/>
      <c r="AG768" s="297"/>
      <c r="AH768" s="297"/>
      <c r="AI768" s="297"/>
      <c r="AJ768" s="297"/>
      <c r="AK768" s="297"/>
      <c r="AL768" s="297"/>
      <c r="AM768" s="297"/>
      <c r="AN768" s="297"/>
      <c r="AO768" s="297"/>
      <c r="AP768" s="297"/>
      <c r="AQ768" s="297"/>
      <c r="AR768" s="297"/>
      <c r="AS768" s="297"/>
      <c r="AT768" s="297"/>
      <c r="AU768" s="297"/>
      <c r="AV768" s="297"/>
      <c r="AW768" s="297"/>
      <c r="AX768" s="297"/>
      <c r="AY768" s="297"/>
      <c r="AZ768" s="297"/>
      <c r="BA768" s="297"/>
      <c r="BB768" s="297"/>
    </row>
    <row r="769" spans="1:54" thickBot="1">
      <c r="A769" s="298"/>
      <c r="B769" s="298"/>
      <c r="C769" s="298"/>
      <c r="D769" s="298"/>
      <c r="E769" s="298"/>
      <c r="F769" s="282"/>
      <c r="G769" s="298"/>
      <c r="H769" s="298"/>
      <c r="I769" s="282"/>
      <c r="J769" s="298"/>
      <c r="K769" s="566"/>
      <c r="L769" s="282"/>
      <c r="M769" s="282"/>
      <c r="N769" s="298"/>
      <c r="O769" s="282"/>
      <c r="P769" s="282"/>
      <c r="Q769" s="298"/>
      <c r="R769" s="282"/>
      <c r="S769" s="282"/>
      <c r="T769" s="298"/>
      <c r="U769" s="282"/>
      <c r="V769" s="298"/>
      <c r="W769" s="298"/>
      <c r="X769" s="297"/>
      <c r="Y769" s="297"/>
      <c r="Z769" s="297"/>
      <c r="AA769" s="297"/>
      <c r="AB769" s="297"/>
      <c r="AC769" s="297"/>
      <c r="AD769" s="297"/>
      <c r="AE769" s="297"/>
      <c r="AF769" s="297"/>
      <c r="AG769" s="297"/>
      <c r="AH769" s="297"/>
      <c r="AI769" s="297"/>
      <c r="AJ769" s="297"/>
      <c r="AK769" s="297"/>
      <c r="AL769" s="297"/>
      <c r="AM769" s="297"/>
      <c r="AN769" s="297"/>
      <c r="AO769" s="297"/>
      <c r="AP769" s="297"/>
      <c r="AQ769" s="297"/>
      <c r="AR769" s="297"/>
      <c r="AS769" s="297"/>
      <c r="AT769" s="297"/>
      <c r="AU769" s="297"/>
      <c r="AV769" s="297"/>
      <c r="AW769" s="297"/>
      <c r="AX769" s="297"/>
      <c r="AY769" s="297"/>
      <c r="AZ769" s="297"/>
      <c r="BA769" s="297"/>
      <c r="BB769" s="297"/>
    </row>
    <row r="770" spans="1:54" thickBot="1">
      <c r="A770" s="298"/>
      <c r="B770" s="298"/>
      <c r="C770" s="298"/>
      <c r="D770" s="298"/>
      <c r="E770" s="298"/>
      <c r="F770" s="282"/>
      <c r="G770" s="298"/>
      <c r="H770" s="298"/>
      <c r="I770" s="282"/>
      <c r="J770" s="298"/>
      <c r="K770" s="566"/>
      <c r="L770" s="282"/>
      <c r="M770" s="282"/>
      <c r="N770" s="298"/>
      <c r="O770" s="282"/>
      <c r="P770" s="282"/>
      <c r="Q770" s="298"/>
      <c r="R770" s="282"/>
      <c r="S770" s="282"/>
      <c r="T770" s="298"/>
      <c r="U770" s="282"/>
      <c r="V770" s="298"/>
      <c r="W770" s="298"/>
      <c r="X770" s="297"/>
      <c r="Y770" s="297"/>
      <c r="Z770" s="297"/>
      <c r="AA770" s="297"/>
      <c r="AB770" s="297"/>
      <c r="AC770" s="297"/>
      <c r="AD770" s="297"/>
      <c r="AE770" s="297"/>
      <c r="AF770" s="297"/>
      <c r="AG770" s="297"/>
      <c r="AH770" s="297"/>
      <c r="AI770" s="297"/>
      <c r="AJ770" s="297"/>
      <c r="AK770" s="297"/>
      <c r="AL770" s="297"/>
      <c r="AM770" s="297"/>
      <c r="AN770" s="297"/>
      <c r="AO770" s="297"/>
      <c r="AP770" s="297"/>
      <c r="AQ770" s="297"/>
      <c r="AR770" s="297"/>
      <c r="AS770" s="297"/>
      <c r="AT770" s="297"/>
      <c r="AU770" s="297"/>
      <c r="AV770" s="297"/>
      <c r="AW770" s="297"/>
      <c r="AX770" s="297"/>
      <c r="AY770" s="297"/>
      <c r="AZ770" s="297"/>
      <c r="BA770" s="297"/>
      <c r="BB770" s="297"/>
    </row>
    <row r="771" spans="1:54" thickBot="1">
      <c r="A771" s="298"/>
      <c r="B771" s="298"/>
      <c r="C771" s="298"/>
      <c r="D771" s="298"/>
      <c r="E771" s="298"/>
      <c r="F771" s="282"/>
      <c r="G771" s="298"/>
      <c r="H771" s="298"/>
      <c r="I771" s="282"/>
      <c r="J771" s="298"/>
      <c r="K771" s="566"/>
      <c r="L771" s="282"/>
      <c r="M771" s="282"/>
      <c r="N771" s="298"/>
      <c r="O771" s="282"/>
      <c r="P771" s="282"/>
      <c r="Q771" s="298"/>
      <c r="R771" s="282"/>
      <c r="S771" s="282"/>
      <c r="T771" s="298"/>
      <c r="U771" s="282"/>
      <c r="V771" s="298"/>
      <c r="W771" s="298"/>
      <c r="X771" s="297"/>
      <c r="Y771" s="297"/>
      <c r="Z771" s="297"/>
      <c r="AA771" s="297"/>
      <c r="AB771" s="297"/>
      <c r="AC771" s="297"/>
      <c r="AD771" s="297"/>
      <c r="AE771" s="297"/>
      <c r="AF771" s="297"/>
      <c r="AG771" s="297"/>
      <c r="AH771" s="297"/>
      <c r="AI771" s="297"/>
      <c r="AJ771" s="297"/>
      <c r="AK771" s="297"/>
      <c r="AL771" s="297"/>
      <c r="AM771" s="297"/>
      <c r="AN771" s="297"/>
      <c r="AO771" s="297"/>
      <c r="AP771" s="297"/>
      <c r="AQ771" s="297"/>
      <c r="AR771" s="297"/>
      <c r="AS771" s="297"/>
      <c r="AT771" s="297"/>
      <c r="AU771" s="297"/>
      <c r="AV771" s="297"/>
      <c r="AW771" s="297"/>
      <c r="AX771" s="297"/>
      <c r="AY771" s="297"/>
      <c r="AZ771" s="297"/>
      <c r="BA771" s="297"/>
      <c r="BB771" s="297"/>
    </row>
    <row r="772" spans="1:54" thickBot="1">
      <c r="A772" s="298"/>
      <c r="B772" s="298"/>
      <c r="C772" s="298"/>
      <c r="D772" s="298"/>
      <c r="E772" s="298"/>
      <c r="F772" s="282"/>
      <c r="G772" s="298"/>
      <c r="H772" s="298"/>
      <c r="I772" s="282"/>
      <c r="J772" s="298"/>
      <c r="K772" s="566"/>
      <c r="L772" s="282"/>
      <c r="M772" s="282"/>
      <c r="N772" s="298"/>
      <c r="O772" s="282"/>
      <c r="P772" s="282"/>
      <c r="Q772" s="298"/>
      <c r="R772" s="282"/>
      <c r="S772" s="282"/>
      <c r="T772" s="298"/>
      <c r="U772" s="282"/>
      <c r="V772" s="298"/>
      <c r="W772" s="298"/>
      <c r="X772" s="297"/>
      <c r="Y772" s="297"/>
      <c r="Z772" s="297"/>
      <c r="AA772" s="297"/>
      <c r="AB772" s="297"/>
      <c r="AC772" s="297"/>
      <c r="AD772" s="297"/>
      <c r="AE772" s="297"/>
      <c r="AF772" s="297"/>
      <c r="AG772" s="297"/>
      <c r="AH772" s="297"/>
      <c r="AI772" s="297"/>
      <c r="AJ772" s="297"/>
      <c r="AK772" s="297"/>
      <c r="AL772" s="297"/>
      <c r="AM772" s="297"/>
      <c r="AN772" s="297"/>
      <c r="AO772" s="297"/>
      <c r="AP772" s="297"/>
      <c r="AQ772" s="297"/>
      <c r="AR772" s="297"/>
      <c r="AS772" s="297"/>
      <c r="AT772" s="297"/>
      <c r="AU772" s="297"/>
      <c r="AV772" s="297"/>
      <c r="AW772" s="297"/>
      <c r="AX772" s="297"/>
      <c r="AY772" s="297"/>
      <c r="AZ772" s="297"/>
      <c r="BA772" s="297"/>
      <c r="BB772" s="297"/>
    </row>
    <row r="773" spans="1:54" thickBot="1">
      <c r="A773" s="298"/>
      <c r="B773" s="298"/>
      <c r="C773" s="298"/>
      <c r="D773" s="298"/>
      <c r="E773" s="298"/>
      <c r="F773" s="282"/>
      <c r="G773" s="298"/>
      <c r="H773" s="298"/>
      <c r="I773" s="282"/>
      <c r="J773" s="298"/>
      <c r="K773" s="566"/>
      <c r="L773" s="282"/>
      <c r="M773" s="282"/>
      <c r="N773" s="298"/>
      <c r="O773" s="282"/>
      <c r="P773" s="282"/>
      <c r="Q773" s="298"/>
      <c r="R773" s="282"/>
      <c r="S773" s="282"/>
      <c r="T773" s="298"/>
      <c r="U773" s="282"/>
      <c r="V773" s="298"/>
      <c r="W773" s="298"/>
      <c r="X773" s="297"/>
      <c r="Y773" s="297"/>
      <c r="Z773" s="297"/>
      <c r="AA773" s="297"/>
      <c r="AB773" s="297"/>
      <c r="AC773" s="297"/>
      <c r="AD773" s="297"/>
      <c r="AE773" s="297"/>
      <c r="AF773" s="297"/>
      <c r="AG773" s="297"/>
      <c r="AH773" s="297"/>
      <c r="AI773" s="297"/>
      <c r="AJ773" s="297"/>
      <c r="AK773" s="297"/>
      <c r="AL773" s="297"/>
      <c r="AM773" s="297"/>
      <c r="AN773" s="297"/>
      <c r="AO773" s="297"/>
      <c r="AP773" s="297"/>
      <c r="AQ773" s="297"/>
      <c r="AR773" s="297"/>
      <c r="AS773" s="297"/>
      <c r="AT773" s="297"/>
      <c r="AU773" s="297"/>
      <c r="AV773" s="297"/>
      <c r="AW773" s="297"/>
      <c r="AX773" s="297"/>
      <c r="AY773" s="297"/>
      <c r="AZ773" s="297"/>
      <c r="BA773" s="297"/>
      <c r="BB773" s="297"/>
    </row>
    <row r="774" spans="1:54" thickBot="1">
      <c r="A774" s="298"/>
      <c r="B774" s="298"/>
      <c r="C774" s="298"/>
      <c r="D774" s="298"/>
      <c r="E774" s="298"/>
      <c r="F774" s="282"/>
      <c r="G774" s="298"/>
      <c r="H774" s="298"/>
      <c r="I774" s="282"/>
      <c r="J774" s="298"/>
      <c r="K774" s="566"/>
      <c r="L774" s="282"/>
      <c r="M774" s="282"/>
      <c r="N774" s="298"/>
      <c r="O774" s="282"/>
      <c r="P774" s="282"/>
      <c r="Q774" s="298"/>
      <c r="R774" s="282"/>
      <c r="S774" s="282"/>
      <c r="T774" s="298"/>
      <c r="U774" s="282"/>
      <c r="V774" s="298"/>
      <c r="W774" s="298"/>
      <c r="X774" s="297"/>
      <c r="Y774" s="297"/>
      <c r="Z774" s="297"/>
      <c r="AA774" s="297"/>
      <c r="AB774" s="297"/>
      <c r="AC774" s="297"/>
      <c r="AD774" s="297"/>
      <c r="AE774" s="297"/>
      <c r="AF774" s="297"/>
      <c r="AG774" s="297"/>
      <c r="AH774" s="297"/>
      <c r="AI774" s="297"/>
      <c r="AJ774" s="297"/>
      <c r="AK774" s="297"/>
      <c r="AL774" s="297"/>
      <c r="AM774" s="297"/>
      <c r="AN774" s="297"/>
      <c r="AO774" s="297"/>
      <c r="AP774" s="297"/>
      <c r="AQ774" s="297"/>
      <c r="AR774" s="297"/>
      <c r="AS774" s="297"/>
      <c r="AT774" s="297"/>
      <c r="AU774" s="297"/>
      <c r="AV774" s="297"/>
      <c r="AW774" s="297"/>
      <c r="AX774" s="297"/>
      <c r="AY774" s="297"/>
      <c r="AZ774" s="297"/>
      <c r="BA774" s="297"/>
      <c r="BB774" s="297"/>
    </row>
    <row r="775" spans="1:54" thickBot="1">
      <c r="A775" s="298"/>
      <c r="B775" s="298"/>
      <c r="C775" s="298"/>
      <c r="D775" s="298"/>
      <c r="E775" s="298"/>
      <c r="F775" s="282"/>
      <c r="G775" s="298"/>
      <c r="H775" s="298"/>
      <c r="I775" s="282"/>
      <c r="J775" s="298"/>
      <c r="K775" s="566"/>
      <c r="L775" s="282"/>
      <c r="M775" s="282"/>
      <c r="N775" s="298"/>
      <c r="O775" s="282"/>
      <c r="P775" s="282"/>
      <c r="Q775" s="298"/>
      <c r="R775" s="282"/>
      <c r="S775" s="282"/>
      <c r="T775" s="298"/>
      <c r="U775" s="282"/>
      <c r="V775" s="298"/>
      <c r="W775" s="298"/>
      <c r="X775" s="297"/>
      <c r="Y775" s="297"/>
      <c r="Z775" s="297"/>
      <c r="AA775" s="297"/>
      <c r="AB775" s="297"/>
      <c r="AC775" s="297"/>
      <c r="AD775" s="297"/>
      <c r="AE775" s="297"/>
      <c r="AF775" s="297"/>
      <c r="AG775" s="297"/>
      <c r="AH775" s="297"/>
      <c r="AI775" s="297"/>
      <c r="AJ775" s="297"/>
      <c r="AK775" s="297"/>
      <c r="AL775" s="297"/>
      <c r="AM775" s="297"/>
      <c r="AN775" s="297"/>
      <c r="AO775" s="297"/>
      <c r="AP775" s="297"/>
      <c r="AQ775" s="297"/>
      <c r="AR775" s="297"/>
      <c r="AS775" s="297"/>
      <c r="AT775" s="297"/>
      <c r="AU775" s="297"/>
      <c r="AV775" s="297"/>
      <c r="AW775" s="297"/>
      <c r="AX775" s="297"/>
      <c r="AY775" s="297"/>
      <c r="AZ775" s="297"/>
      <c r="BA775" s="297"/>
      <c r="BB775" s="297"/>
    </row>
    <row r="776" spans="1:54" thickBot="1">
      <c r="A776" s="298"/>
      <c r="B776" s="298"/>
      <c r="C776" s="298"/>
      <c r="D776" s="298"/>
      <c r="E776" s="298"/>
      <c r="F776" s="282"/>
      <c r="G776" s="298"/>
      <c r="H776" s="298"/>
      <c r="I776" s="282"/>
      <c r="J776" s="298"/>
      <c r="K776" s="566"/>
      <c r="L776" s="282"/>
      <c r="M776" s="282"/>
      <c r="N776" s="298"/>
      <c r="O776" s="282"/>
      <c r="P776" s="282"/>
      <c r="Q776" s="298"/>
      <c r="R776" s="282"/>
      <c r="S776" s="282"/>
      <c r="T776" s="298"/>
      <c r="U776" s="282"/>
      <c r="V776" s="298"/>
      <c r="W776" s="298"/>
      <c r="X776" s="297"/>
      <c r="Y776" s="297"/>
      <c r="Z776" s="297"/>
      <c r="AA776" s="297"/>
      <c r="AB776" s="297"/>
      <c r="AC776" s="297"/>
      <c r="AD776" s="297"/>
      <c r="AE776" s="297"/>
      <c r="AF776" s="297"/>
      <c r="AG776" s="297"/>
      <c r="AH776" s="297"/>
      <c r="AI776" s="297"/>
      <c r="AJ776" s="297"/>
      <c r="AK776" s="297"/>
      <c r="AL776" s="297"/>
      <c r="AM776" s="297"/>
      <c r="AN776" s="297"/>
      <c r="AO776" s="297"/>
      <c r="AP776" s="297"/>
      <c r="AQ776" s="297"/>
      <c r="AR776" s="297"/>
      <c r="AS776" s="297"/>
      <c r="AT776" s="297"/>
      <c r="AU776" s="297"/>
      <c r="AV776" s="297"/>
      <c r="AW776" s="297"/>
      <c r="AX776" s="297"/>
      <c r="AY776" s="297"/>
      <c r="AZ776" s="297"/>
      <c r="BA776" s="297"/>
      <c r="BB776" s="297"/>
    </row>
    <row r="777" spans="1:54" thickBot="1">
      <c r="A777" s="298"/>
      <c r="B777" s="298"/>
      <c r="C777" s="298"/>
      <c r="D777" s="298"/>
      <c r="E777" s="298"/>
      <c r="F777" s="282"/>
      <c r="G777" s="298"/>
      <c r="H777" s="298"/>
      <c r="I777" s="282"/>
      <c r="J777" s="298"/>
      <c r="K777" s="566"/>
      <c r="L777" s="282"/>
      <c r="M777" s="282"/>
      <c r="N777" s="298"/>
      <c r="O777" s="282"/>
      <c r="P777" s="282"/>
      <c r="Q777" s="298"/>
      <c r="R777" s="282"/>
      <c r="S777" s="282"/>
      <c r="T777" s="298"/>
      <c r="U777" s="282"/>
      <c r="V777" s="298"/>
      <c r="W777" s="298"/>
      <c r="X777" s="297"/>
      <c r="Y777" s="297"/>
      <c r="Z777" s="297"/>
      <c r="AA777" s="297"/>
      <c r="AB777" s="297"/>
      <c r="AC777" s="297"/>
      <c r="AD777" s="297"/>
      <c r="AE777" s="297"/>
      <c r="AF777" s="297"/>
      <c r="AG777" s="297"/>
      <c r="AH777" s="297"/>
      <c r="AI777" s="297"/>
      <c r="AJ777" s="297"/>
      <c r="AK777" s="297"/>
      <c r="AL777" s="297"/>
      <c r="AM777" s="297"/>
      <c r="AN777" s="297"/>
      <c r="AO777" s="297"/>
      <c r="AP777" s="297"/>
      <c r="AQ777" s="297"/>
      <c r="AR777" s="297"/>
      <c r="AS777" s="297"/>
      <c r="AT777" s="297"/>
      <c r="AU777" s="297"/>
      <c r="AV777" s="297"/>
      <c r="AW777" s="297"/>
      <c r="AX777" s="297"/>
      <c r="AY777" s="297"/>
      <c r="AZ777" s="297"/>
      <c r="BA777" s="297"/>
      <c r="BB777" s="297"/>
    </row>
    <row r="778" spans="1:54" thickBot="1">
      <c r="A778" s="298"/>
      <c r="B778" s="298"/>
      <c r="C778" s="298"/>
      <c r="D778" s="298"/>
      <c r="E778" s="298"/>
      <c r="F778" s="282"/>
      <c r="G778" s="298"/>
      <c r="H778" s="298"/>
      <c r="I778" s="282"/>
      <c r="J778" s="298"/>
      <c r="K778" s="566"/>
      <c r="L778" s="282"/>
      <c r="M778" s="282"/>
      <c r="N778" s="298"/>
      <c r="O778" s="282"/>
      <c r="P778" s="282"/>
      <c r="Q778" s="298"/>
      <c r="R778" s="282"/>
      <c r="S778" s="282"/>
      <c r="T778" s="298"/>
      <c r="U778" s="282"/>
      <c r="V778" s="298"/>
      <c r="W778" s="298"/>
      <c r="X778" s="297"/>
      <c r="Y778" s="297"/>
      <c r="Z778" s="297"/>
      <c r="AA778" s="297"/>
      <c r="AB778" s="297"/>
      <c r="AC778" s="297"/>
      <c r="AD778" s="297"/>
      <c r="AE778" s="297"/>
      <c r="AF778" s="297"/>
      <c r="AG778" s="297"/>
      <c r="AH778" s="297"/>
      <c r="AI778" s="297"/>
      <c r="AJ778" s="297"/>
      <c r="AK778" s="297"/>
      <c r="AL778" s="297"/>
      <c r="AM778" s="297"/>
      <c r="AN778" s="297"/>
      <c r="AO778" s="297"/>
      <c r="AP778" s="297"/>
      <c r="AQ778" s="297"/>
      <c r="AR778" s="297"/>
      <c r="AS778" s="297"/>
      <c r="AT778" s="297"/>
      <c r="AU778" s="297"/>
      <c r="AV778" s="297"/>
      <c r="AW778" s="297"/>
      <c r="AX778" s="297"/>
      <c r="AY778" s="297"/>
      <c r="AZ778" s="297"/>
      <c r="BA778" s="297"/>
      <c r="BB778" s="297"/>
    </row>
    <row r="779" spans="1:54" thickBot="1">
      <c r="A779" s="298"/>
      <c r="B779" s="298"/>
      <c r="C779" s="298"/>
      <c r="D779" s="298"/>
      <c r="E779" s="298"/>
      <c r="F779" s="282"/>
      <c r="G779" s="298"/>
      <c r="H779" s="298"/>
      <c r="I779" s="282"/>
      <c r="J779" s="298"/>
      <c r="K779" s="566"/>
      <c r="L779" s="282"/>
      <c r="M779" s="282"/>
      <c r="N779" s="298"/>
      <c r="O779" s="282"/>
      <c r="P779" s="282"/>
      <c r="Q779" s="298"/>
      <c r="R779" s="282"/>
      <c r="S779" s="282"/>
      <c r="T779" s="298"/>
      <c r="U779" s="282"/>
      <c r="V779" s="298"/>
      <c r="W779" s="298"/>
      <c r="X779" s="297"/>
      <c r="Y779" s="297"/>
      <c r="Z779" s="297"/>
      <c r="AA779" s="297"/>
      <c r="AB779" s="297"/>
      <c r="AC779" s="297"/>
      <c r="AD779" s="297"/>
      <c r="AE779" s="297"/>
      <c r="AF779" s="297"/>
      <c r="AG779" s="297"/>
      <c r="AH779" s="297"/>
      <c r="AI779" s="297"/>
      <c r="AJ779" s="297"/>
      <c r="AK779" s="297"/>
      <c r="AL779" s="297"/>
      <c r="AM779" s="297"/>
      <c r="AN779" s="297"/>
      <c r="AO779" s="297"/>
      <c r="AP779" s="297"/>
      <c r="AQ779" s="297"/>
      <c r="AR779" s="297"/>
      <c r="AS779" s="297"/>
      <c r="AT779" s="297"/>
      <c r="AU779" s="297"/>
      <c r="AV779" s="297"/>
      <c r="AW779" s="297"/>
      <c r="AX779" s="297"/>
      <c r="AY779" s="297"/>
      <c r="AZ779" s="297"/>
      <c r="BA779" s="297"/>
      <c r="BB779" s="297"/>
    </row>
    <row r="780" spans="1:54" thickBot="1">
      <c r="A780" s="298"/>
      <c r="B780" s="298"/>
      <c r="C780" s="298"/>
      <c r="D780" s="298"/>
      <c r="E780" s="298"/>
      <c r="F780" s="282"/>
      <c r="G780" s="298"/>
      <c r="H780" s="298"/>
      <c r="I780" s="282"/>
      <c r="J780" s="298"/>
      <c r="K780" s="566"/>
      <c r="L780" s="282"/>
      <c r="M780" s="282"/>
      <c r="N780" s="298"/>
      <c r="O780" s="282"/>
      <c r="P780" s="282"/>
      <c r="Q780" s="298"/>
      <c r="R780" s="282"/>
      <c r="S780" s="282"/>
      <c r="T780" s="298"/>
      <c r="U780" s="282"/>
      <c r="V780" s="298"/>
      <c r="W780" s="298"/>
      <c r="X780" s="297"/>
      <c r="Y780" s="297"/>
      <c r="Z780" s="297"/>
      <c r="AA780" s="297"/>
      <c r="AB780" s="297"/>
      <c r="AC780" s="297"/>
      <c r="AD780" s="297"/>
      <c r="AE780" s="297"/>
      <c r="AF780" s="297"/>
      <c r="AG780" s="297"/>
      <c r="AH780" s="297"/>
      <c r="AI780" s="297"/>
      <c r="AJ780" s="297"/>
      <c r="AK780" s="297"/>
      <c r="AL780" s="297"/>
      <c r="AM780" s="297"/>
      <c r="AN780" s="297"/>
      <c r="AO780" s="297"/>
      <c r="AP780" s="297"/>
      <c r="AQ780" s="297"/>
      <c r="AR780" s="297"/>
      <c r="AS780" s="297"/>
      <c r="AT780" s="297"/>
      <c r="AU780" s="297"/>
      <c r="AV780" s="297"/>
      <c r="AW780" s="297"/>
      <c r="AX780" s="297"/>
      <c r="AY780" s="297"/>
      <c r="AZ780" s="297"/>
      <c r="BA780" s="297"/>
      <c r="BB780" s="297"/>
    </row>
    <row r="781" spans="1:54" thickBot="1">
      <c r="A781" s="298"/>
      <c r="B781" s="298"/>
      <c r="C781" s="298"/>
      <c r="D781" s="298"/>
      <c r="E781" s="298"/>
      <c r="F781" s="282"/>
      <c r="G781" s="298"/>
      <c r="H781" s="298"/>
      <c r="I781" s="282"/>
      <c r="J781" s="298"/>
      <c r="K781" s="566"/>
      <c r="L781" s="282"/>
      <c r="M781" s="282"/>
      <c r="N781" s="298"/>
      <c r="O781" s="282"/>
      <c r="P781" s="282"/>
      <c r="Q781" s="298"/>
      <c r="R781" s="282"/>
      <c r="S781" s="282"/>
      <c r="T781" s="298"/>
      <c r="U781" s="282"/>
      <c r="V781" s="298"/>
      <c r="W781" s="298"/>
      <c r="X781" s="297"/>
      <c r="Y781" s="297"/>
      <c r="Z781" s="297"/>
      <c r="AA781" s="297"/>
      <c r="AB781" s="297"/>
      <c r="AC781" s="297"/>
      <c r="AD781" s="297"/>
      <c r="AE781" s="297"/>
      <c r="AF781" s="297"/>
      <c r="AG781" s="297"/>
      <c r="AH781" s="297"/>
      <c r="AI781" s="297"/>
      <c r="AJ781" s="297"/>
      <c r="AK781" s="297"/>
      <c r="AL781" s="297"/>
      <c r="AM781" s="297"/>
      <c r="AN781" s="297"/>
      <c r="AO781" s="297"/>
      <c r="AP781" s="297"/>
      <c r="AQ781" s="297"/>
      <c r="AR781" s="297"/>
      <c r="AS781" s="297"/>
      <c r="AT781" s="297"/>
      <c r="AU781" s="297"/>
      <c r="AV781" s="297"/>
      <c r="AW781" s="297"/>
      <c r="AX781" s="297"/>
      <c r="AY781" s="297"/>
      <c r="AZ781" s="297"/>
      <c r="BA781" s="297"/>
      <c r="BB781" s="297"/>
    </row>
    <row r="782" spans="1:54" thickBot="1">
      <c r="A782" s="298"/>
      <c r="B782" s="298"/>
      <c r="C782" s="298"/>
      <c r="D782" s="298"/>
      <c r="E782" s="298"/>
      <c r="F782" s="282"/>
      <c r="G782" s="298"/>
      <c r="H782" s="298"/>
      <c r="I782" s="282"/>
      <c r="J782" s="298"/>
      <c r="K782" s="566"/>
      <c r="L782" s="282"/>
      <c r="M782" s="282"/>
      <c r="N782" s="298"/>
      <c r="O782" s="282"/>
      <c r="P782" s="282"/>
      <c r="Q782" s="298"/>
      <c r="R782" s="282"/>
      <c r="S782" s="282"/>
      <c r="T782" s="298"/>
      <c r="U782" s="282"/>
      <c r="V782" s="298"/>
      <c r="W782" s="298"/>
      <c r="X782" s="297"/>
      <c r="Y782" s="297"/>
      <c r="Z782" s="297"/>
      <c r="AA782" s="297"/>
      <c r="AB782" s="297"/>
      <c r="AC782" s="297"/>
      <c r="AD782" s="297"/>
      <c r="AE782" s="297"/>
      <c r="AF782" s="297"/>
      <c r="AG782" s="297"/>
      <c r="AH782" s="297"/>
      <c r="AI782" s="297"/>
      <c r="AJ782" s="297"/>
      <c r="AK782" s="297"/>
      <c r="AL782" s="297"/>
      <c r="AM782" s="297"/>
      <c r="AN782" s="297"/>
      <c r="AO782" s="297"/>
      <c r="AP782" s="297"/>
      <c r="AQ782" s="297"/>
      <c r="AR782" s="297"/>
      <c r="AS782" s="297"/>
      <c r="AT782" s="297"/>
      <c r="AU782" s="297"/>
      <c r="AV782" s="297"/>
      <c r="AW782" s="297"/>
      <c r="AX782" s="297"/>
      <c r="AY782" s="297"/>
      <c r="AZ782" s="297"/>
      <c r="BA782" s="297"/>
      <c r="BB782" s="297"/>
    </row>
    <row r="783" spans="1:54" thickBot="1">
      <c r="A783" s="298"/>
      <c r="B783" s="298"/>
      <c r="C783" s="298"/>
      <c r="D783" s="298"/>
      <c r="E783" s="298"/>
      <c r="F783" s="282"/>
      <c r="G783" s="298"/>
      <c r="H783" s="298"/>
      <c r="I783" s="282"/>
      <c r="J783" s="298"/>
      <c r="K783" s="566"/>
      <c r="L783" s="282"/>
      <c r="M783" s="282"/>
      <c r="N783" s="298"/>
      <c r="O783" s="282"/>
      <c r="P783" s="282"/>
      <c r="Q783" s="298"/>
      <c r="R783" s="282"/>
      <c r="S783" s="282"/>
      <c r="T783" s="298"/>
      <c r="U783" s="282"/>
      <c r="V783" s="298"/>
      <c r="W783" s="298"/>
      <c r="X783" s="297"/>
      <c r="Y783" s="297"/>
      <c r="Z783" s="297"/>
      <c r="AA783" s="297"/>
      <c r="AB783" s="297"/>
      <c r="AC783" s="297"/>
      <c r="AD783" s="297"/>
      <c r="AE783" s="297"/>
      <c r="AF783" s="297"/>
      <c r="AG783" s="297"/>
      <c r="AH783" s="297"/>
      <c r="AI783" s="297"/>
      <c r="AJ783" s="297"/>
      <c r="AK783" s="297"/>
      <c r="AL783" s="297"/>
      <c r="AM783" s="297"/>
      <c r="AN783" s="297"/>
      <c r="AO783" s="297"/>
      <c r="AP783" s="297"/>
      <c r="AQ783" s="297"/>
      <c r="AR783" s="297"/>
      <c r="AS783" s="297"/>
      <c r="AT783" s="297"/>
      <c r="AU783" s="297"/>
      <c r="AV783" s="297"/>
      <c r="AW783" s="297"/>
      <c r="AX783" s="297"/>
      <c r="AY783" s="297"/>
      <c r="AZ783" s="297"/>
      <c r="BA783" s="297"/>
      <c r="BB783" s="297"/>
    </row>
    <row r="784" spans="1:54" thickBot="1">
      <c r="A784" s="298"/>
      <c r="B784" s="298"/>
      <c r="C784" s="298"/>
      <c r="D784" s="298"/>
      <c r="E784" s="298"/>
      <c r="F784" s="282"/>
      <c r="G784" s="298"/>
      <c r="H784" s="298"/>
      <c r="I784" s="282"/>
      <c r="J784" s="298"/>
      <c r="K784" s="566"/>
      <c r="L784" s="282"/>
      <c r="M784" s="282"/>
      <c r="N784" s="298"/>
      <c r="O784" s="282"/>
      <c r="P784" s="282"/>
      <c r="Q784" s="298"/>
      <c r="R784" s="282"/>
      <c r="S784" s="282"/>
      <c r="T784" s="298"/>
      <c r="U784" s="282"/>
      <c r="V784" s="298"/>
      <c r="W784" s="298"/>
      <c r="X784" s="297"/>
      <c r="Y784" s="297"/>
      <c r="Z784" s="297"/>
      <c r="AA784" s="297"/>
      <c r="AB784" s="297"/>
      <c r="AC784" s="297"/>
      <c r="AD784" s="297"/>
      <c r="AE784" s="297"/>
      <c r="AF784" s="297"/>
      <c r="AG784" s="297"/>
      <c r="AH784" s="297"/>
      <c r="AI784" s="297"/>
      <c r="AJ784" s="297"/>
      <c r="AK784" s="297"/>
      <c r="AL784" s="297"/>
      <c r="AM784" s="297"/>
      <c r="AN784" s="297"/>
      <c r="AO784" s="297"/>
      <c r="AP784" s="297"/>
      <c r="AQ784" s="297"/>
      <c r="AR784" s="297"/>
      <c r="AS784" s="297"/>
      <c r="AT784" s="297"/>
      <c r="AU784" s="297"/>
      <c r="AV784" s="297"/>
      <c r="AW784" s="297"/>
      <c r="AX784" s="297"/>
      <c r="AY784" s="297"/>
      <c r="AZ784" s="297"/>
      <c r="BA784" s="297"/>
      <c r="BB784" s="297"/>
    </row>
    <row r="785" spans="1:54" thickBot="1">
      <c r="A785" s="298"/>
      <c r="B785" s="298"/>
      <c r="C785" s="298"/>
      <c r="D785" s="298"/>
      <c r="E785" s="298"/>
      <c r="F785" s="282"/>
      <c r="G785" s="298"/>
      <c r="H785" s="298"/>
      <c r="I785" s="282"/>
      <c r="J785" s="298"/>
      <c r="K785" s="566"/>
      <c r="L785" s="282"/>
      <c r="M785" s="282"/>
      <c r="N785" s="298"/>
      <c r="O785" s="282"/>
      <c r="P785" s="282"/>
      <c r="Q785" s="298"/>
      <c r="R785" s="282"/>
      <c r="S785" s="282"/>
      <c r="T785" s="298"/>
      <c r="U785" s="282"/>
      <c r="V785" s="298"/>
      <c r="W785" s="298"/>
      <c r="X785" s="297"/>
      <c r="Y785" s="297"/>
      <c r="Z785" s="297"/>
      <c r="AA785" s="297"/>
      <c r="AB785" s="297"/>
      <c r="AC785" s="297"/>
      <c r="AD785" s="297"/>
      <c r="AE785" s="297"/>
      <c r="AF785" s="297"/>
      <c r="AG785" s="297"/>
      <c r="AH785" s="297"/>
      <c r="AI785" s="297"/>
      <c r="AJ785" s="297"/>
      <c r="AK785" s="297"/>
      <c r="AL785" s="297"/>
      <c r="AM785" s="297"/>
      <c r="AN785" s="297"/>
      <c r="AO785" s="297"/>
      <c r="AP785" s="297"/>
      <c r="AQ785" s="297"/>
      <c r="AR785" s="297"/>
      <c r="AS785" s="297"/>
      <c r="AT785" s="297"/>
      <c r="AU785" s="297"/>
      <c r="AV785" s="297"/>
      <c r="AW785" s="297"/>
      <c r="AX785" s="297"/>
      <c r="AY785" s="297"/>
      <c r="AZ785" s="297"/>
      <c r="BA785" s="297"/>
      <c r="BB785" s="297"/>
    </row>
    <row r="786" spans="1:54" thickBot="1">
      <c r="A786" s="298"/>
      <c r="B786" s="298"/>
      <c r="C786" s="298"/>
      <c r="D786" s="298"/>
      <c r="E786" s="298"/>
      <c r="F786" s="282"/>
      <c r="G786" s="298"/>
      <c r="H786" s="298"/>
      <c r="I786" s="282"/>
      <c r="J786" s="298"/>
      <c r="K786" s="566"/>
      <c r="L786" s="282"/>
      <c r="M786" s="282"/>
      <c r="N786" s="298"/>
      <c r="O786" s="282"/>
      <c r="P786" s="282"/>
      <c r="Q786" s="298"/>
      <c r="R786" s="282"/>
      <c r="S786" s="282"/>
      <c r="T786" s="298"/>
      <c r="U786" s="282"/>
      <c r="V786" s="298"/>
      <c r="W786" s="298"/>
      <c r="X786" s="297"/>
      <c r="Y786" s="297"/>
      <c r="Z786" s="297"/>
      <c r="AA786" s="297"/>
      <c r="AB786" s="297"/>
      <c r="AC786" s="297"/>
      <c r="AD786" s="297"/>
      <c r="AE786" s="297"/>
      <c r="AF786" s="297"/>
      <c r="AG786" s="297"/>
      <c r="AH786" s="297"/>
      <c r="AI786" s="297"/>
      <c r="AJ786" s="297"/>
      <c r="AK786" s="297"/>
      <c r="AL786" s="297"/>
      <c r="AM786" s="297"/>
      <c r="AN786" s="297"/>
      <c r="AO786" s="297"/>
      <c r="AP786" s="297"/>
      <c r="AQ786" s="297"/>
      <c r="AR786" s="297"/>
      <c r="AS786" s="297"/>
      <c r="AT786" s="297"/>
      <c r="AU786" s="297"/>
      <c r="AV786" s="297"/>
      <c r="AW786" s="297"/>
      <c r="AX786" s="297"/>
      <c r="AY786" s="297"/>
      <c r="AZ786" s="297"/>
      <c r="BA786" s="297"/>
      <c r="BB786" s="297"/>
    </row>
    <row r="787" spans="1:54" thickBot="1">
      <c r="A787" s="298"/>
      <c r="B787" s="298"/>
      <c r="C787" s="298"/>
      <c r="D787" s="298"/>
      <c r="E787" s="298"/>
      <c r="F787" s="282"/>
      <c r="G787" s="298"/>
      <c r="H787" s="298"/>
      <c r="I787" s="282"/>
      <c r="J787" s="298"/>
      <c r="K787" s="566"/>
      <c r="L787" s="282"/>
      <c r="M787" s="282"/>
      <c r="N787" s="298"/>
      <c r="O787" s="282"/>
      <c r="P787" s="282"/>
      <c r="Q787" s="298"/>
      <c r="R787" s="282"/>
      <c r="S787" s="282"/>
      <c r="T787" s="298"/>
      <c r="U787" s="282"/>
      <c r="V787" s="298"/>
      <c r="W787" s="298"/>
      <c r="X787" s="297"/>
      <c r="Y787" s="297"/>
      <c r="Z787" s="297"/>
      <c r="AA787" s="297"/>
      <c r="AB787" s="297"/>
      <c r="AC787" s="297"/>
      <c r="AD787" s="297"/>
      <c r="AE787" s="297"/>
      <c r="AF787" s="297"/>
      <c r="AG787" s="297"/>
      <c r="AH787" s="297"/>
      <c r="AI787" s="297"/>
      <c r="AJ787" s="297"/>
      <c r="AK787" s="297"/>
      <c r="AL787" s="297"/>
      <c r="AM787" s="297"/>
      <c r="AN787" s="297"/>
      <c r="AO787" s="297"/>
      <c r="AP787" s="297"/>
      <c r="AQ787" s="297"/>
      <c r="AR787" s="297"/>
      <c r="AS787" s="297"/>
      <c r="AT787" s="297"/>
      <c r="AU787" s="297"/>
      <c r="AV787" s="297"/>
      <c r="AW787" s="297"/>
      <c r="AX787" s="297"/>
      <c r="AY787" s="297"/>
      <c r="AZ787" s="297"/>
      <c r="BA787" s="297"/>
      <c r="BB787" s="297"/>
    </row>
    <row r="788" spans="1:54" thickBot="1">
      <c r="A788" s="298"/>
      <c r="B788" s="298"/>
      <c r="C788" s="298"/>
      <c r="D788" s="298"/>
      <c r="E788" s="298"/>
      <c r="F788" s="282"/>
      <c r="G788" s="298"/>
      <c r="H788" s="298"/>
      <c r="I788" s="282"/>
      <c r="J788" s="298"/>
      <c r="K788" s="566"/>
      <c r="L788" s="282"/>
      <c r="M788" s="282"/>
      <c r="N788" s="298"/>
      <c r="O788" s="282"/>
      <c r="P788" s="282"/>
      <c r="Q788" s="298"/>
      <c r="R788" s="282"/>
      <c r="S788" s="282"/>
      <c r="T788" s="298"/>
      <c r="U788" s="282"/>
      <c r="V788" s="298"/>
      <c r="W788" s="298"/>
      <c r="X788" s="297"/>
      <c r="Y788" s="297"/>
      <c r="Z788" s="297"/>
      <c r="AA788" s="297"/>
      <c r="AB788" s="297"/>
      <c r="AC788" s="297"/>
      <c r="AD788" s="297"/>
      <c r="AE788" s="297"/>
      <c r="AF788" s="297"/>
      <c r="AG788" s="297"/>
      <c r="AH788" s="297"/>
      <c r="AI788" s="297"/>
      <c r="AJ788" s="297"/>
      <c r="AK788" s="297"/>
      <c r="AL788" s="297"/>
      <c r="AM788" s="297"/>
      <c r="AN788" s="297"/>
      <c r="AO788" s="297"/>
      <c r="AP788" s="297"/>
      <c r="AQ788" s="297"/>
      <c r="AR788" s="297"/>
      <c r="AS788" s="297"/>
      <c r="AT788" s="297"/>
      <c r="AU788" s="297"/>
      <c r="AV788" s="297"/>
      <c r="AW788" s="297"/>
      <c r="AX788" s="297"/>
      <c r="AY788" s="297"/>
      <c r="AZ788" s="297"/>
      <c r="BA788" s="297"/>
      <c r="BB788" s="297"/>
    </row>
    <row r="789" spans="1:54" thickBot="1">
      <c r="A789" s="298"/>
      <c r="B789" s="298"/>
      <c r="C789" s="298"/>
      <c r="D789" s="298"/>
      <c r="E789" s="298"/>
      <c r="F789" s="282"/>
      <c r="G789" s="298"/>
      <c r="H789" s="298"/>
      <c r="I789" s="282"/>
      <c r="J789" s="298"/>
      <c r="K789" s="566"/>
      <c r="L789" s="282"/>
      <c r="M789" s="282"/>
      <c r="N789" s="298"/>
      <c r="O789" s="282"/>
      <c r="P789" s="282"/>
      <c r="Q789" s="298"/>
      <c r="R789" s="282"/>
      <c r="S789" s="282"/>
      <c r="T789" s="298"/>
      <c r="U789" s="282"/>
      <c r="V789" s="298"/>
      <c r="W789" s="298"/>
      <c r="X789" s="297"/>
      <c r="Y789" s="297"/>
      <c r="Z789" s="297"/>
      <c r="AA789" s="297"/>
      <c r="AB789" s="297"/>
      <c r="AC789" s="297"/>
      <c r="AD789" s="297"/>
      <c r="AE789" s="297"/>
      <c r="AF789" s="297"/>
      <c r="AG789" s="297"/>
      <c r="AH789" s="297"/>
      <c r="AI789" s="297"/>
      <c r="AJ789" s="297"/>
      <c r="AK789" s="297"/>
      <c r="AL789" s="297"/>
      <c r="AM789" s="297"/>
      <c r="AN789" s="297"/>
      <c r="AO789" s="297"/>
      <c r="AP789" s="297"/>
      <c r="AQ789" s="297"/>
      <c r="AR789" s="297"/>
      <c r="AS789" s="297"/>
      <c r="AT789" s="297"/>
      <c r="AU789" s="297"/>
      <c r="AV789" s="297"/>
      <c r="AW789" s="297"/>
      <c r="AX789" s="297"/>
      <c r="AY789" s="297"/>
      <c r="AZ789" s="297"/>
      <c r="BA789" s="297"/>
      <c r="BB789" s="297"/>
    </row>
    <row r="790" spans="1:54" thickBot="1">
      <c r="A790" s="298"/>
      <c r="B790" s="298"/>
      <c r="C790" s="298"/>
      <c r="D790" s="298"/>
      <c r="E790" s="298"/>
      <c r="F790" s="282"/>
      <c r="G790" s="298"/>
      <c r="H790" s="298"/>
      <c r="I790" s="282"/>
      <c r="J790" s="298"/>
      <c r="K790" s="566"/>
      <c r="L790" s="282"/>
      <c r="M790" s="282"/>
      <c r="N790" s="298"/>
      <c r="O790" s="282"/>
      <c r="P790" s="282"/>
      <c r="Q790" s="298"/>
      <c r="R790" s="282"/>
      <c r="S790" s="282"/>
      <c r="T790" s="298"/>
      <c r="U790" s="282"/>
      <c r="V790" s="298"/>
      <c r="W790" s="298"/>
      <c r="X790" s="297"/>
      <c r="Y790" s="297"/>
      <c r="Z790" s="297"/>
      <c r="AA790" s="297"/>
      <c r="AB790" s="297"/>
      <c r="AC790" s="297"/>
      <c r="AD790" s="297"/>
      <c r="AE790" s="297"/>
      <c r="AF790" s="297"/>
      <c r="AG790" s="297"/>
      <c r="AH790" s="297"/>
      <c r="AI790" s="297"/>
      <c r="AJ790" s="297"/>
      <c r="AK790" s="297"/>
      <c r="AL790" s="297"/>
      <c r="AM790" s="297"/>
      <c r="AN790" s="297"/>
      <c r="AO790" s="297"/>
      <c r="AP790" s="297"/>
      <c r="AQ790" s="297"/>
      <c r="AR790" s="297"/>
      <c r="AS790" s="297"/>
      <c r="AT790" s="297"/>
      <c r="AU790" s="297"/>
      <c r="AV790" s="297"/>
      <c r="AW790" s="297"/>
      <c r="AX790" s="297"/>
      <c r="AY790" s="297"/>
      <c r="AZ790" s="297"/>
      <c r="BA790" s="297"/>
      <c r="BB790" s="297"/>
    </row>
    <row r="791" spans="1:54" thickBot="1">
      <c r="X791" s="297"/>
      <c r="Y791" s="297"/>
      <c r="Z791" s="297"/>
      <c r="AA791" s="297"/>
      <c r="AB791" s="297"/>
      <c r="AC791" s="297"/>
      <c r="AD791" s="297"/>
      <c r="AE791" s="297"/>
      <c r="AF791" s="297"/>
      <c r="AG791" s="297"/>
      <c r="AH791" s="297"/>
      <c r="AI791" s="297"/>
      <c r="AJ791" s="297"/>
      <c r="AK791" s="297"/>
      <c r="AL791" s="297"/>
      <c r="AM791" s="297"/>
      <c r="AN791" s="297"/>
      <c r="AO791" s="297"/>
      <c r="AP791" s="297"/>
      <c r="AQ791" s="297"/>
      <c r="AR791" s="297"/>
      <c r="AS791" s="297"/>
      <c r="AT791" s="297"/>
      <c r="AU791" s="297"/>
      <c r="AV791" s="297"/>
      <c r="AW791" s="297"/>
      <c r="AX791" s="297"/>
      <c r="AY791" s="297"/>
      <c r="AZ791" s="297"/>
      <c r="BA791" s="297"/>
      <c r="BB791" s="297"/>
    </row>
    <row r="792" spans="1:54" thickBot="1">
      <c r="X792" s="297"/>
      <c r="Y792" s="297"/>
      <c r="Z792" s="297"/>
      <c r="AA792" s="297"/>
      <c r="AB792" s="297"/>
      <c r="AC792" s="297"/>
      <c r="AD792" s="297"/>
      <c r="AE792" s="297"/>
      <c r="AF792" s="297"/>
      <c r="AG792" s="297"/>
      <c r="AH792" s="297"/>
      <c r="AI792" s="297"/>
      <c r="AJ792" s="297"/>
      <c r="AK792" s="297"/>
      <c r="AL792" s="297"/>
      <c r="AM792" s="297"/>
      <c r="AN792" s="297"/>
      <c r="AO792" s="297"/>
      <c r="AP792" s="297"/>
      <c r="AQ792" s="297"/>
      <c r="AR792" s="297"/>
      <c r="AS792" s="297"/>
      <c r="AT792" s="297"/>
      <c r="AU792" s="297"/>
      <c r="AV792" s="297"/>
      <c r="AW792" s="297"/>
      <c r="AX792" s="297"/>
      <c r="AY792" s="297"/>
      <c r="AZ792" s="297"/>
      <c r="BA792" s="297"/>
      <c r="BB792" s="297"/>
    </row>
    <row r="793" spans="1:54" thickBot="1">
      <c r="X793" s="297"/>
      <c r="Y793" s="297"/>
      <c r="Z793" s="297"/>
      <c r="AA793" s="297"/>
      <c r="AB793" s="297"/>
      <c r="AC793" s="297"/>
      <c r="AD793" s="297"/>
      <c r="AE793" s="297"/>
      <c r="AF793" s="297"/>
      <c r="AG793" s="297"/>
      <c r="AH793" s="297"/>
      <c r="AI793" s="297"/>
      <c r="AJ793" s="297"/>
      <c r="AK793" s="297"/>
      <c r="AL793" s="297"/>
      <c r="AM793" s="297"/>
      <c r="AN793" s="297"/>
      <c r="AO793" s="297"/>
      <c r="AP793" s="297"/>
      <c r="AQ793" s="297"/>
      <c r="AR793" s="297"/>
      <c r="AS793" s="297"/>
      <c r="AT793" s="297"/>
      <c r="AU793" s="297"/>
      <c r="AV793" s="297"/>
      <c r="AW793" s="297"/>
      <c r="AX793" s="297"/>
      <c r="AY793" s="297"/>
      <c r="AZ793" s="297"/>
      <c r="BA793" s="297"/>
      <c r="BB793" s="297"/>
    </row>
    <row r="794" spans="1:54" thickBot="1">
      <c r="X794" s="297"/>
      <c r="Y794" s="297"/>
      <c r="Z794" s="297"/>
      <c r="AA794" s="297"/>
      <c r="AB794" s="297"/>
      <c r="AC794" s="297"/>
      <c r="AD794" s="297"/>
      <c r="AE794" s="297"/>
      <c r="AF794" s="297"/>
      <c r="AG794" s="297"/>
      <c r="AH794" s="297"/>
      <c r="AI794" s="297"/>
      <c r="AJ794" s="297"/>
      <c r="AK794" s="297"/>
      <c r="AL794" s="297"/>
      <c r="AM794" s="297"/>
      <c r="AN794" s="297"/>
      <c r="AO794" s="297"/>
      <c r="AP794" s="297"/>
      <c r="AQ794" s="297"/>
      <c r="AR794" s="297"/>
      <c r="AS794" s="297"/>
      <c r="AT794" s="297"/>
      <c r="AU794" s="297"/>
      <c r="AV794" s="297"/>
      <c r="AW794" s="297"/>
      <c r="AX794" s="297"/>
      <c r="AY794" s="297"/>
      <c r="AZ794" s="297"/>
      <c r="BA794" s="297"/>
      <c r="BB794" s="297"/>
    </row>
    <row r="795" spans="1:54" thickBot="1">
      <c r="X795" s="297"/>
      <c r="Y795" s="297"/>
      <c r="Z795" s="297"/>
      <c r="AA795" s="297"/>
      <c r="AB795" s="297"/>
      <c r="AC795" s="297"/>
      <c r="AD795" s="297"/>
      <c r="AE795" s="297"/>
      <c r="AF795" s="297"/>
      <c r="AG795" s="297"/>
      <c r="AH795" s="297"/>
      <c r="AI795" s="297"/>
      <c r="AJ795" s="297"/>
      <c r="AK795" s="297"/>
      <c r="AL795" s="297"/>
      <c r="AM795" s="297"/>
      <c r="AN795" s="297"/>
      <c r="AO795" s="297"/>
      <c r="AP795" s="297"/>
      <c r="AQ795" s="297"/>
      <c r="AR795" s="297"/>
      <c r="AS795" s="297"/>
      <c r="AT795" s="297"/>
      <c r="AU795" s="297"/>
      <c r="AV795" s="297"/>
      <c r="AW795" s="297"/>
      <c r="AX795" s="297"/>
      <c r="AY795" s="297"/>
      <c r="AZ795" s="297"/>
      <c r="BA795" s="297"/>
      <c r="BB795" s="297"/>
    </row>
    <row r="796" spans="1:54" thickBot="1">
      <c r="X796" s="297"/>
      <c r="Y796" s="297"/>
      <c r="Z796" s="297"/>
      <c r="AA796" s="297"/>
      <c r="AB796" s="297"/>
      <c r="AC796" s="297"/>
      <c r="AD796" s="297"/>
      <c r="AE796" s="297"/>
      <c r="AF796" s="297"/>
      <c r="AG796" s="297"/>
      <c r="AH796" s="297"/>
      <c r="AI796" s="297"/>
      <c r="AJ796" s="297"/>
      <c r="AK796" s="297"/>
      <c r="AL796" s="297"/>
      <c r="AM796" s="297"/>
      <c r="AN796" s="297"/>
      <c r="AO796" s="297"/>
      <c r="AP796" s="297"/>
      <c r="AQ796" s="297"/>
      <c r="AR796" s="297"/>
      <c r="AS796" s="297"/>
      <c r="AT796" s="297"/>
      <c r="AU796" s="297"/>
      <c r="AV796" s="297"/>
      <c r="AW796" s="297"/>
      <c r="AX796" s="297"/>
      <c r="AY796" s="297"/>
      <c r="AZ796" s="297"/>
      <c r="BA796" s="297"/>
      <c r="BB796" s="297"/>
    </row>
    <row r="797" spans="1:54" thickBot="1">
      <c r="X797" s="297"/>
      <c r="Y797" s="297"/>
      <c r="Z797" s="297"/>
      <c r="AA797" s="297"/>
      <c r="AB797" s="297"/>
      <c r="AC797" s="297"/>
      <c r="AD797" s="297"/>
      <c r="AE797" s="297"/>
      <c r="AF797" s="297"/>
      <c r="AG797" s="297"/>
      <c r="AH797" s="297"/>
      <c r="AI797" s="297"/>
      <c r="AJ797" s="297"/>
      <c r="AK797" s="297"/>
      <c r="AL797" s="297"/>
      <c r="AM797" s="297"/>
      <c r="AN797" s="297"/>
      <c r="AO797" s="297"/>
      <c r="AP797" s="297"/>
      <c r="AQ797" s="297"/>
      <c r="AR797" s="297"/>
      <c r="AS797" s="297"/>
      <c r="AT797" s="297"/>
      <c r="AU797" s="297"/>
      <c r="AV797" s="297"/>
      <c r="AW797" s="297"/>
      <c r="AX797" s="297"/>
      <c r="AY797" s="297"/>
      <c r="AZ797" s="297"/>
      <c r="BA797" s="297"/>
      <c r="BB797" s="297"/>
    </row>
    <row r="798" spans="1:54" thickBot="1">
      <c r="A798" s="297"/>
      <c r="B798" s="297"/>
      <c r="C798" s="297"/>
      <c r="D798" s="297"/>
      <c r="E798" s="297"/>
      <c r="F798" s="297"/>
      <c r="G798" s="297"/>
      <c r="H798" s="297"/>
      <c r="I798" s="297"/>
      <c r="J798" s="297"/>
      <c r="K798" s="297"/>
      <c r="L798" s="297"/>
      <c r="M798" s="297"/>
      <c r="N798" s="297"/>
      <c r="O798" s="297"/>
      <c r="P798" s="297"/>
      <c r="Q798" s="297"/>
      <c r="R798" s="297"/>
      <c r="S798" s="297"/>
      <c r="T798" s="297"/>
      <c r="U798" s="297"/>
      <c r="V798" s="297"/>
      <c r="W798" s="297"/>
      <c r="X798" s="297"/>
      <c r="Y798" s="297"/>
      <c r="Z798" s="297"/>
      <c r="AA798" s="297"/>
      <c r="AB798" s="297"/>
      <c r="AC798" s="297"/>
      <c r="AD798" s="297"/>
      <c r="AE798" s="297"/>
      <c r="AF798" s="297"/>
      <c r="AG798" s="297"/>
      <c r="AH798" s="297"/>
      <c r="AI798" s="297"/>
      <c r="AJ798" s="297"/>
      <c r="AK798" s="297"/>
      <c r="AL798" s="297"/>
      <c r="AM798" s="297"/>
      <c r="AN798" s="297"/>
      <c r="AO798" s="297"/>
      <c r="AP798" s="297"/>
      <c r="AQ798" s="297"/>
      <c r="AR798" s="297"/>
      <c r="AS798" s="297"/>
      <c r="AT798" s="297"/>
      <c r="AU798" s="297"/>
      <c r="AV798" s="297"/>
      <c r="AW798" s="297"/>
      <c r="AX798" s="297"/>
      <c r="AY798" s="297"/>
      <c r="AZ798" s="297"/>
      <c r="BA798" s="297"/>
      <c r="BB798" s="297"/>
    </row>
    <row r="799" spans="1:54" thickBot="1">
      <c r="A799" s="297"/>
      <c r="B799" s="297"/>
      <c r="C799" s="297"/>
      <c r="D799" s="297"/>
      <c r="E799" s="297"/>
      <c r="F799" s="297"/>
      <c r="G799" s="297"/>
      <c r="H799" s="297"/>
      <c r="I799" s="297"/>
      <c r="J799" s="297"/>
      <c r="K799" s="297"/>
      <c r="L799" s="297"/>
      <c r="M799" s="297"/>
      <c r="N799" s="297"/>
      <c r="O799" s="297"/>
      <c r="P799" s="297"/>
      <c r="Q799" s="297"/>
      <c r="R799" s="297"/>
      <c r="S799" s="297"/>
      <c r="T799" s="297"/>
      <c r="U799" s="297"/>
      <c r="V799" s="297"/>
      <c r="W799" s="297"/>
      <c r="X799" s="297"/>
      <c r="Y799" s="297"/>
      <c r="Z799" s="297"/>
      <c r="AA799" s="297"/>
      <c r="AB799" s="297"/>
      <c r="AC799" s="297"/>
      <c r="AD799" s="297"/>
      <c r="AE799" s="297"/>
      <c r="AF799" s="297"/>
      <c r="AG799" s="297"/>
      <c r="AH799" s="297"/>
      <c r="AI799" s="297"/>
      <c r="AJ799" s="297"/>
      <c r="AK799" s="297"/>
      <c r="AL799" s="297"/>
      <c r="AM799" s="297"/>
      <c r="AN799" s="297"/>
      <c r="AO799" s="297"/>
      <c r="AP799" s="297"/>
      <c r="AQ799" s="297"/>
      <c r="AR799" s="297"/>
      <c r="AS799" s="297"/>
      <c r="AT799" s="297"/>
      <c r="AU799" s="297"/>
      <c r="AV799" s="297"/>
      <c r="AW799" s="297"/>
      <c r="AX799" s="297"/>
      <c r="AY799" s="297"/>
      <c r="AZ799" s="297"/>
      <c r="BA799" s="297"/>
      <c r="BB799" s="297"/>
    </row>
    <row r="800" spans="1:54" thickBot="1">
      <c r="A800" s="297"/>
      <c r="B800" s="297"/>
      <c r="C800" s="297"/>
      <c r="D800" s="297"/>
      <c r="E800" s="297"/>
      <c r="F800" s="297"/>
      <c r="G800" s="297"/>
      <c r="H800" s="297"/>
      <c r="I800" s="297"/>
      <c r="J800" s="297"/>
      <c r="K800" s="297"/>
      <c r="L800" s="297"/>
      <c r="M800" s="297"/>
      <c r="N800" s="297"/>
      <c r="O800" s="297"/>
      <c r="P800" s="297"/>
      <c r="Q800" s="297"/>
      <c r="R800" s="297"/>
      <c r="S800" s="297"/>
      <c r="T800" s="297"/>
      <c r="U800" s="297"/>
      <c r="V800" s="297"/>
      <c r="W800" s="297"/>
      <c r="X800" s="297"/>
      <c r="Y800" s="297"/>
      <c r="Z800" s="297"/>
      <c r="AA800" s="297"/>
      <c r="AB800" s="297"/>
      <c r="AC800" s="297"/>
      <c r="AD800" s="297"/>
      <c r="AE800" s="297"/>
      <c r="AF800" s="297"/>
      <c r="AG800" s="297"/>
      <c r="AH800" s="297"/>
      <c r="AI800" s="297"/>
      <c r="AJ800" s="297"/>
      <c r="AK800" s="297"/>
      <c r="AL800" s="297"/>
      <c r="AM800" s="297"/>
      <c r="AN800" s="297"/>
      <c r="AO800" s="297"/>
      <c r="AP800" s="297"/>
      <c r="AQ800" s="297"/>
      <c r="AR800" s="297"/>
      <c r="AS800" s="297"/>
      <c r="AT800" s="297"/>
      <c r="AU800" s="297"/>
      <c r="AV800" s="297"/>
      <c r="AW800" s="297"/>
      <c r="AX800" s="297"/>
      <c r="AY800" s="297"/>
      <c r="AZ800" s="297"/>
      <c r="BA800" s="297"/>
      <c r="BB800" s="297"/>
    </row>
    <row r="801" spans="1:54" thickBot="1">
      <c r="A801" s="297"/>
      <c r="B801" s="297"/>
      <c r="C801" s="297"/>
      <c r="D801" s="297"/>
      <c r="E801" s="297"/>
      <c r="F801" s="297"/>
      <c r="G801" s="297"/>
      <c r="H801" s="297"/>
      <c r="I801" s="297"/>
      <c r="J801" s="297"/>
      <c r="K801" s="297"/>
      <c r="L801" s="297"/>
      <c r="M801" s="297"/>
      <c r="N801" s="297"/>
      <c r="O801" s="297"/>
      <c r="P801" s="297"/>
      <c r="Q801" s="297"/>
      <c r="R801" s="297"/>
      <c r="S801" s="297"/>
      <c r="T801" s="297"/>
      <c r="U801" s="297"/>
      <c r="V801" s="297"/>
      <c r="W801" s="297"/>
      <c r="X801" s="297"/>
      <c r="Y801" s="297"/>
      <c r="Z801" s="297"/>
      <c r="AA801" s="297"/>
      <c r="AB801" s="297"/>
      <c r="AC801" s="297"/>
      <c r="AD801" s="297"/>
      <c r="AE801" s="297"/>
      <c r="AF801" s="297"/>
      <c r="AG801" s="297"/>
      <c r="AH801" s="297"/>
      <c r="AI801" s="297"/>
      <c r="AJ801" s="297"/>
      <c r="AK801" s="297"/>
      <c r="AL801" s="297"/>
      <c r="AM801" s="297"/>
      <c r="AN801" s="297"/>
      <c r="AO801" s="297"/>
      <c r="AP801" s="297"/>
      <c r="AQ801" s="297"/>
      <c r="AR801" s="297"/>
      <c r="AS801" s="297"/>
      <c r="AT801" s="297"/>
      <c r="AU801" s="297"/>
      <c r="AV801" s="297"/>
      <c r="AW801" s="297"/>
      <c r="AX801" s="297"/>
      <c r="AY801" s="297"/>
      <c r="AZ801" s="297"/>
      <c r="BA801" s="297"/>
      <c r="BB801" s="297"/>
    </row>
    <row r="802" spans="1:54" thickBot="1">
      <c r="A802" s="297"/>
      <c r="B802" s="297"/>
      <c r="C802" s="297"/>
      <c r="D802" s="297"/>
      <c r="E802" s="297"/>
      <c r="F802" s="297"/>
      <c r="G802" s="297"/>
      <c r="H802" s="297"/>
      <c r="I802" s="297"/>
      <c r="J802" s="297"/>
      <c r="K802" s="297"/>
      <c r="L802" s="297"/>
      <c r="M802" s="297"/>
      <c r="N802" s="297"/>
      <c r="O802" s="297"/>
      <c r="P802" s="297"/>
      <c r="Q802" s="297"/>
      <c r="R802" s="297"/>
      <c r="S802" s="297"/>
      <c r="T802" s="297"/>
      <c r="U802" s="297"/>
      <c r="V802" s="297"/>
      <c r="W802" s="297"/>
      <c r="X802" s="297"/>
      <c r="Y802" s="297"/>
      <c r="Z802" s="297"/>
      <c r="AA802" s="297"/>
      <c r="AB802" s="297"/>
      <c r="AC802" s="297"/>
      <c r="AD802" s="297"/>
      <c r="AE802" s="297"/>
      <c r="AF802" s="297"/>
      <c r="AG802" s="297"/>
      <c r="AH802" s="297"/>
      <c r="AI802" s="297"/>
      <c r="AJ802" s="297"/>
      <c r="AK802" s="297"/>
      <c r="AL802" s="297"/>
      <c r="AM802" s="297"/>
      <c r="AN802" s="297"/>
      <c r="AO802" s="297"/>
      <c r="AP802" s="297"/>
      <c r="AQ802" s="297"/>
      <c r="AR802" s="297"/>
      <c r="AS802" s="297"/>
      <c r="AT802" s="297"/>
      <c r="AU802" s="297"/>
      <c r="AV802" s="297"/>
      <c r="AW802" s="297"/>
      <c r="AX802" s="297"/>
      <c r="AY802" s="297"/>
      <c r="AZ802" s="297"/>
      <c r="BA802" s="297"/>
      <c r="BB802" s="297"/>
    </row>
    <row r="803" spans="1:54" thickBot="1">
      <c r="A803" s="297"/>
      <c r="B803" s="297"/>
      <c r="C803" s="297"/>
      <c r="D803" s="297"/>
      <c r="E803" s="297"/>
      <c r="F803" s="297"/>
      <c r="G803" s="297"/>
      <c r="H803" s="297"/>
      <c r="I803" s="297"/>
      <c r="J803" s="297"/>
      <c r="K803" s="297"/>
      <c r="L803" s="297"/>
      <c r="M803" s="297"/>
      <c r="N803" s="297"/>
      <c r="O803" s="297"/>
      <c r="P803" s="297"/>
      <c r="Q803" s="297"/>
      <c r="R803" s="297"/>
      <c r="S803" s="297"/>
      <c r="T803" s="297"/>
      <c r="U803" s="297"/>
      <c r="V803" s="297"/>
      <c r="W803" s="297"/>
      <c r="X803" s="297"/>
      <c r="Y803" s="297"/>
      <c r="Z803" s="297"/>
      <c r="AA803" s="297"/>
      <c r="AB803" s="297"/>
      <c r="AC803" s="297"/>
      <c r="AD803" s="297"/>
      <c r="AE803" s="297"/>
      <c r="AF803" s="297"/>
      <c r="AG803" s="297"/>
      <c r="AH803" s="297"/>
      <c r="AI803" s="297"/>
      <c r="AJ803" s="297"/>
      <c r="AK803" s="297"/>
      <c r="AL803" s="297"/>
      <c r="AM803" s="297"/>
      <c r="AN803" s="297"/>
      <c r="AO803" s="297"/>
      <c r="AP803" s="297"/>
      <c r="AQ803" s="297"/>
      <c r="AR803" s="297"/>
      <c r="AS803" s="297"/>
      <c r="AT803" s="297"/>
      <c r="AU803" s="297"/>
      <c r="AV803" s="297"/>
      <c r="AW803" s="297"/>
      <c r="AX803" s="297"/>
      <c r="AY803" s="297"/>
      <c r="AZ803" s="297"/>
      <c r="BA803" s="297"/>
      <c r="BB803" s="297"/>
    </row>
  </sheetData>
  <mergeCells count="25">
    <mergeCell ref="A3:W3"/>
    <mergeCell ref="A20:B20"/>
    <mergeCell ref="A21:B21"/>
    <mergeCell ref="A22:B22"/>
    <mergeCell ref="A23:B23"/>
    <mergeCell ref="A15:B15"/>
    <mergeCell ref="A16:B16"/>
    <mergeCell ref="A17:B17"/>
    <mergeCell ref="A18:B18"/>
    <mergeCell ref="A19:B19"/>
    <mergeCell ref="U6:W6"/>
    <mergeCell ref="A6:B7"/>
    <mergeCell ref="F6:H6"/>
    <mergeCell ref="I6:K6"/>
    <mergeCell ref="A14:B14"/>
    <mergeCell ref="L6:N6"/>
    <mergeCell ref="A8:B8"/>
    <mergeCell ref="A12:B12"/>
    <mergeCell ref="A25:B25"/>
    <mergeCell ref="A24:B24"/>
    <mergeCell ref="R6:T6"/>
    <mergeCell ref="O6:Q6"/>
    <mergeCell ref="C6:E6"/>
    <mergeCell ref="A11:B11"/>
    <mergeCell ref="A13:B13"/>
  </mergeCells>
  <pageMargins left="0.70866141732283472" right="0.70866141732283472" top="0.74803149606299213" bottom="0.74803149606299213" header="0.31496062992125984" footer="0.31496062992125984"/>
  <pageSetup paperSize="9" scale="24" orientation="landscape" horizontalDpi="300" verticalDpi="300" r:id="rId1"/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0"/>
  <sheetViews>
    <sheetView view="pageBreakPreview" zoomScale="112" zoomScaleSheetLayoutView="112" workbookViewId="0"/>
  </sheetViews>
  <sheetFormatPr defaultRowHeight="12.75"/>
  <cols>
    <col min="1" max="1" width="77.42578125" style="20" customWidth="1"/>
    <col min="2" max="4" width="17.140625" style="20" customWidth="1"/>
    <col min="5" max="37" width="9.140625" style="25"/>
    <col min="38" max="256" width="9.140625" style="20"/>
    <col min="257" max="257" width="72" style="20" customWidth="1"/>
    <col min="258" max="260" width="17.140625" style="20" customWidth="1"/>
    <col min="261" max="512" width="9.140625" style="20"/>
    <col min="513" max="513" width="72" style="20" customWidth="1"/>
    <col min="514" max="516" width="17.140625" style="20" customWidth="1"/>
    <col min="517" max="768" width="9.140625" style="20"/>
    <col min="769" max="769" width="72" style="20" customWidth="1"/>
    <col min="770" max="772" width="17.140625" style="20" customWidth="1"/>
    <col min="773" max="1024" width="9.140625" style="20"/>
    <col min="1025" max="1025" width="72" style="20" customWidth="1"/>
    <col min="1026" max="1028" width="17.140625" style="20" customWidth="1"/>
    <col min="1029" max="1280" width="9.140625" style="20"/>
    <col min="1281" max="1281" width="72" style="20" customWidth="1"/>
    <col min="1282" max="1284" width="17.140625" style="20" customWidth="1"/>
    <col min="1285" max="1536" width="9.140625" style="20"/>
    <col min="1537" max="1537" width="72" style="20" customWidth="1"/>
    <col min="1538" max="1540" width="17.140625" style="20" customWidth="1"/>
    <col min="1541" max="1792" width="9.140625" style="20"/>
    <col min="1793" max="1793" width="72" style="20" customWidth="1"/>
    <col min="1794" max="1796" width="17.140625" style="20" customWidth="1"/>
    <col min="1797" max="2048" width="9.140625" style="20"/>
    <col min="2049" max="2049" width="72" style="20" customWidth="1"/>
    <col min="2050" max="2052" width="17.140625" style="20" customWidth="1"/>
    <col min="2053" max="2304" width="9.140625" style="20"/>
    <col min="2305" max="2305" width="72" style="20" customWidth="1"/>
    <col min="2306" max="2308" width="17.140625" style="20" customWidth="1"/>
    <col min="2309" max="2560" width="9.140625" style="20"/>
    <col min="2561" max="2561" width="72" style="20" customWidth="1"/>
    <col min="2562" max="2564" width="17.140625" style="20" customWidth="1"/>
    <col min="2565" max="2816" width="9.140625" style="20"/>
    <col min="2817" max="2817" width="72" style="20" customWidth="1"/>
    <col min="2818" max="2820" width="17.140625" style="20" customWidth="1"/>
    <col min="2821" max="3072" width="9.140625" style="20"/>
    <col min="3073" max="3073" width="72" style="20" customWidth="1"/>
    <col min="3074" max="3076" width="17.140625" style="20" customWidth="1"/>
    <col min="3077" max="3328" width="9.140625" style="20"/>
    <col min="3329" max="3329" width="72" style="20" customWidth="1"/>
    <col min="3330" max="3332" width="17.140625" style="20" customWidth="1"/>
    <col min="3333" max="3584" width="9.140625" style="20"/>
    <col min="3585" max="3585" width="72" style="20" customWidth="1"/>
    <col min="3586" max="3588" width="17.140625" style="20" customWidth="1"/>
    <col min="3589" max="3840" width="9.140625" style="20"/>
    <col min="3841" max="3841" width="72" style="20" customWidth="1"/>
    <col min="3842" max="3844" width="17.140625" style="20" customWidth="1"/>
    <col min="3845" max="4096" width="9.140625" style="20"/>
    <col min="4097" max="4097" width="72" style="20" customWidth="1"/>
    <col min="4098" max="4100" width="17.140625" style="20" customWidth="1"/>
    <col min="4101" max="4352" width="9.140625" style="20"/>
    <col min="4353" max="4353" width="72" style="20" customWidth="1"/>
    <col min="4354" max="4356" width="17.140625" style="20" customWidth="1"/>
    <col min="4357" max="4608" width="9.140625" style="20"/>
    <col min="4609" max="4609" width="72" style="20" customWidth="1"/>
    <col min="4610" max="4612" width="17.140625" style="20" customWidth="1"/>
    <col min="4613" max="4864" width="9.140625" style="20"/>
    <col min="4865" max="4865" width="72" style="20" customWidth="1"/>
    <col min="4866" max="4868" width="17.140625" style="20" customWidth="1"/>
    <col min="4869" max="5120" width="9.140625" style="20"/>
    <col min="5121" max="5121" width="72" style="20" customWidth="1"/>
    <col min="5122" max="5124" width="17.140625" style="20" customWidth="1"/>
    <col min="5125" max="5376" width="9.140625" style="20"/>
    <col min="5377" max="5377" width="72" style="20" customWidth="1"/>
    <col min="5378" max="5380" width="17.140625" style="20" customWidth="1"/>
    <col min="5381" max="5632" width="9.140625" style="20"/>
    <col min="5633" max="5633" width="72" style="20" customWidth="1"/>
    <col min="5634" max="5636" width="17.140625" style="20" customWidth="1"/>
    <col min="5637" max="5888" width="9.140625" style="20"/>
    <col min="5889" max="5889" width="72" style="20" customWidth="1"/>
    <col min="5890" max="5892" width="17.140625" style="20" customWidth="1"/>
    <col min="5893" max="6144" width="9.140625" style="20"/>
    <col min="6145" max="6145" width="72" style="20" customWidth="1"/>
    <col min="6146" max="6148" width="17.140625" style="20" customWidth="1"/>
    <col min="6149" max="6400" width="9.140625" style="20"/>
    <col min="6401" max="6401" width="72" style="20" customWidth="1"/>
    <col min="6402" max="6404" width="17.140625" style="20" customWidth="1"/>
    <col min="6405" max="6656" width="9.140625" style="20"/>
    <col min="6657" max="6657" width="72" style="20" customWidth="1"/>
    <col min="6658" max="6660" width="17.140625" style="20" customWidth="1"/>
    <col min="6661" max="6912" width="9.140625" style="20"/>
    <col min="6913" max="6913" width="72" style="20" customWidth="1"/>
    <col min="6914" max="6916" width="17.140625" style="20" customWidth="1"/>
    <col min="6917" max="7168" width="9.140625" style="20"/>
    <col min="7169" max="7169" width="72" style="20" customWidth="1"/>
    <col min="7170" max="7172" width="17.140625" style="20" customWidth="1"/>
    <col min="7173" max="7424" width="9.140625" style="20"/>
    <col min="7425" max="7425" width="72" style="20" customWidth="1"/>
    <col min="7426" max="7428" width="17.140625" style="20" customWidth="1"/>
    <col min="7429" max="7680" width="9.140625" style="20"/>
    <col min="7681" max="7681" width="72" style="20" customWidth="1"/>
    <col min="7682" max="7684" width="17.140625" style="20" customWidth="1"/>
    <col min="7685" max="7936" width="9.140625" style="20"/>
    <col min="7937" max="7937" width="72" style="20" customWidth="1"/>
    <col min="7938" max="7940" width="17.140625" style="20" customWidth="1"/>
    <col min="7941" max="8192" width="9.140625" style="20"/>
    <col min="8193" max="8193" width="72" style="20" customWidth="1"/>
    <col min="8194" max="8196" width="17.140625" style="20" customWidth="1"/>
    <col min="8197" max="8448" width="9.140625" style="20"/>
    <col min="8449" max="8449" width="72" style="20" customWidth="1"/>
    <col min="8450" max="8452" width="17.140625" style="20" customWidth="1"/>
    <col min="8453" max="8704" width="9.140625" style="20"/>
    <col min="8705" max="8705" width="72" style="20" customWidth="1"/>
    <col min="8706" max="8708" width="17.140625" style="20" customWidth="1"/>
    <col min="8709" max="8960" width="9.140625" style="20"/>
    <col min="8961" max="8961" width="72" style="20" customWidth="1"/>
    <col min="8962" max="8964" width="17.140625" style="20" customWidth="1"/>
    <col min="8965" max="9216" width="9.140625" style="20"/>
    <col min="9217" max="9217" width="72" style="20" customWidth="1"/>
    <col min="9218" max="9220" width="17.140625" style="20" customWidth="1"/>
    <col min="9221" max="9472" width="9.140625" style="20"/>
    <col min="9473" max="9473" width="72" style="20" customWidth="1"/>
    <col min="9474" max="9476" width="17.140625" style="20" customWidth="1"/>
    <col min="9477" max="9728" width="9.140625" style="20"/>
    <col min="9729" max="9729" width="72" style="20" customWidth="1"/>
    <col min="9730" max="9732" width="17.140625" style="20" customWidth="1"/>
    <col min="9733" max="9984" width="9.140625" style="20"/>
    <col min="9985" max="9985" width="72" style="20" customWidth="1"/>
    <col min="9986" max="9988" width="17.140625" style="20" customWidth="1"/>
    <col min="9989" max="10240" width="9.140625" style="20"/>
    <col min="10241" max="10241" width="72" style="20" customWidth="1"/>
    <col min="10242" max="10244" width="17.140625" style="20" customWidth="1"/>
    <col min="10245" max="10496" width="9.140625" style="20"/>
    <col min="10497" max="10497" width="72" style="20" customWidth="1"/>
    <col min="10498" max="10500" width="17.140625" style="20" customWidth="1"/>
    <col min="10501" max="10752" width="9.140625" style="20"/>
    <col min="10753" max="10753" width="72" style="20" customWidth="1"/>
    <col min="10754" max="10756" width="17.140625" style="20" customWidth="1"/>
    <col min="10757" max="11008" width="9.140625" style="20"/>
    <col min="11009" max="11009" width="72" style="20" customWidth="1"/>
    <col min="11010" max="11012" width="17.140625" style="20" customWidth="1"/>
    <col min="11013" max="11264" width="9.140625" style="20"/>
    <col min="11265" max="11265" width="72" style="20" customWidth="1"/>
    <col min="11266" max="11268" width="17.140625" style="20" customWidth="1"/>
    <col min="11269" max="11520" width="9.140625" style="20"/>
    <col min="11521" max="11521" width="72" style="20" customWidth="1"/>
    <col min="11522" max="11524" width="17.140625" style="20" customWidth="1"/>
    <col min="11525" max="11776" width="9.140625" style="20"/>
    <col min="11777" max="11777" width="72" style="20" customWidth="1"/>
    <col min="11778" max="11780" width="17.140625" style="20" customWidth="1"/>
    <col min="11781" max="12032" width="9.140625" style="20"/>
    <col min="12033" max="12033" width="72" style="20" customWidth="1"/>
    <col min="12034" max="12036" width="17.140625" style="20" customWidth="1"/>
    <col min="12037" max="12288" width="9.140625" style="20"/>
    <col min="12289" max="12289" width="72" style="20" customWidth="1"/>
    <col min="12290" max="12292" width="17.140625" style="20" customWidth="1"/>
    <col min="12293" max="12544" width="9.140625" style="20"/>
    <col min="12545" max="12545" width="72" style="20" customWidth="1"/>
    <col min="12546" max="12548" width="17.140625" style="20" customWidth="1"/>
    <col min="12549" max="12800" width="9.140625" style="20"/>
    <col min="12801" max="12801" width="72" style="20" customWidth="1"/>
    <col min="12802" max="12804" width="17.140625" style="20" customWidth="1"/>
    <col min="12805" max="13056" width="9.140625" style="20"/>
    <col min="13057" max="13057" width="72" style="20" customWidth="1"/>
    <col min="13058" max="13060" width="17.140625" style="20" customWidth="1"/>
    <col min="13061" max="13312" width="9.140625" style="20"/>
    <col min="13313" max="13313" width="72" style="20" customWidth="1"/>
    <col min="13314" max="13316" width="17.140625" style="20" customWidth="1"/>
    <col min="13317" max="13568" width="9.140625" style="20"/>
    <col min="13569" max="13569" width="72" style="20" customWidth="1"/>
    <col min="13570" max="13572" width="17.140625" style="20" customWidth="1"/>
    <col min="13573" max="13824" width="9.140625" style="20"/>
    <col min="13825" max="13825" width="72" style="20" customWidth="1"/>
    <col min="13826" max="13828" width="17.140625" style="20" customWidth="1"/>
    <col min="13829" max="14080" width="9.140625" style="20"/>
    <col min="14081" max="14081" width="72" style="20" customWidth="1"/>
    <col min="14082" max="14084" width="17.140625" style="20" customWidth="1"/>
    <col min="14085" max="14336" width="9.140625" style="20"/>
    <col min="14337" max="14337" width="72" style="20" customWidth="1"/>
    <col min="14338" max="14340" width="17.140625" style="20" customWidth="1"/>
    <col min="14341" max="14592" width="9.140625" style="20"/>
    <col min="14593" max="14593" width="72" style="20" customWidth="1"/>
    <col min="14594" max="14596" width="17.140625" style="20" customWidth="1"/>
    <col min="14597" max="14848" width="9.140625" style="20"/>
    <col min="14849" max="14849" width="72" style="20" customWidth="1"/>
    <col min="14850" max="14852" width="17.140625" style="20" customWidth="1"/>
    <col min="14853" max="15104" width="9.140625" style="20"/>
    <col min="15105" max="15105" width="72" style="20" customWidth="1"/>
    <col min="15106" max="15108" width="17.140625" style="20" customWidth="1"/>
    <col min="15109" max="15360" width="9.140625" style="20"/>
    <col min="15361" max="15361" width="72" style="20" customWidth="1"/>
    <col min="15362" max="15364" width="17.140625" style="20" customWidth="1"/>
    <col min="15365" max="15616" width="9.140625" style="20"/>
    <col min="15617" max="15617" width="72" style="20" customWidth="1"/>
    <col min="15618" max="15620" width="17.140625" style="20" customWidth="1"/>
    <col min="15621" max="15872" width="9.140625" style="20"/>
    <col min="15873" max="15873" width="72" style="20" customWidth="1"/>
    <col min="15874" max="15876" width="17.140625" style="20" customWidth="1"/>
    <col min="15877" max="16128" width="9.140625" style="20"/>
    <col min="16129" max="16129" width="72" style="20" customWidth="1"/>
    <col min="16130" max="16132" width="17.140625" style="20" customWidth="1"/>
    <col min="16133" max="16384" width="9.140625" style="20"/>
  </cols>
  <sheetData>
    <row r="1" spans="1:37" s="1" customFormat="1" ht="15.75">
      <c r="A1" s="1" t="s">
        <v>1028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s="1" customFormat="1" ht="15.75"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s="1" customFormat="1" ht="15.75"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s="2" customFormat="1" ht="16.5">
      <c r="A4" s="818" t="s">
        <v>751</v>
      </c>
      <c r="B4" s="818"/>
      <c r="C4" s="818"/>
      <c r="D4" s="818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s="2" customFormat="1" ht="15.75">
      <c r="A5" s="3"/>
      <c r="B5" s="3"/>
      <c r="C5" s="3"/>
      <c r="D5" s="3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s="1" customFormat="1" ht="15.75">
      <c r="D6" s="4" t="s">
        <v>7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s="18" customFormat="1" ht="31.5">
      <c r="A7" s="15" t="s">
        <v>0</v>
      </c>
      <c r="B7" s="15" t="s">
        <v>1</v>
      </c>
      <c r="C7" s="15" t="s">
        <v>2</v>
      </c>
      <c r="D7" s="15" t="s">
        <v>3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</row>
    <row r="8" spans="1:37" s="19" customFormat="1" ht="21.75" customHeight="1">
      <c r="A8" s="10" t="s">
        <v>68</v>
      </c>
      <c r="B8" s="11">
        <v>706939902</v>
      </c>
      <c r="C8" s="11">
        <v>0</v>
      </c>
      <c r="D8" s="438">
        <f>SUM(B8+C8)</f>
        <v>706939902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1:37" s="19" customFormat="1" ht="21.75" customHeight="1">
      <c r="A9" s="10" t="s">
        <v>69</v>
      </c>
      <c r="B9" s="11">
        <v>111426373</v>
      </c>
      <c r="C9" s="11">
        <v>0</v>
      </c>
      <c r="D9" s="438">
        <f t="shared" ref="D9:D40" si="0">SUM(B9+C9)</f>
        <v>111426373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s="19" customFormat="1" ht="21.75" customHeight="1">
      <c r="A10" s="10" t="s">
        <v>70</v>
      </c>
      <c r="B10" s="11">
        <v>174207921</v>
      </c>
      <c r="C10" s="11">
        <v>0</v>
      </c>
      <c r="D10" s="438">
        <f t="shared" si="0"/>
        <v>174207921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s="19" customFormat="1" ht="21.75" customHeight="1">
      <c r="A11" s="13" t="s">
        <v>71</v>
      </c>
      <c r="B11" s="14">
        <f>SUM(B8:B10)</f>
        <v>992574196</v>
      </c>
      <c r="C11" s="439">
        <f t="shared" ref="C11" si="1">SUM(C8:C10)</f>
        <v>0</v>
      </c>
      <c r="D11" s="439">
        <f t="shared" si="0"/>
        <v>992574196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s="19" customFormat="1" ht="21.75" customHeight="1">
      <c r="A12" s="10" t="s">
        <v>77</v>
      </c>
      <c r="B12" s="11">
        <v>4131123</v>
      </c>
      <c r="C12" s="11">
        <v>0</v>
      </c>
      <c r="D12" s="438">
        <f t="shared" si="0"/>
        <v>4131123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s="19" customFormat="1" ht="21.75" customHeight="1">
      <c r="A13" s="10" t="s">
        <v>78</v>
      </c>
      <c r="B13" s="11">
        <v>9498500</v>
      </c>
      <c r="C13" s="11">
        <v>0</v>
      </c>
      <c r="D13" s="438">
        <f t="shared" si="0"/>
        <v>9498500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s="19" customFormat="1" ht="21.75" customHeight="1">
      <c r="A14" s="13" t="s">
        <v>91</v>
      </c>
      <c r="B14" s="14">
        <f>SUM(B12:B13)</f>
        <v>13629623</v>
      </c>
      <c r="C14" s="439">
        <f t="shared" ref="C14" si="2">SUM(C12:C13)</f>
        <v>0</v>
      </c>
      <c r="D14" s="439">
        <f t="shared" si="0"/>
        <v>13629623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37" s="19" customFormat="1" ht="21.75" customHeight="1">
      <c r="A15" s="10" t="s">
        <v>72</v>
      </c>
      <c r="B15" s="11">
        <v>3226382216</v>
      </c>
      <c r="C15" s="11">
        <v>-1429730665</v>
      </c>
      <c r="D15" s="438">
        <f t="shared" si="0"/>
        <v>1796651551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r="16" spans="1:37" s="19" customFormat="1" ht="21.75" customHeight="1">
      <c r="A16" s="10" t="s">
        <v>73</v>
      </c>
      <c r="B16" s="11">
        <v>547065345</v>
      </c>
      <c r="C16" s="11">
        <v>0</v>
      </c>
      <c r="D16" s="438">
        <f t="shared" si="0"/>
        <v>547065345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1:37" s="19" customFormat="1" ht="21.75" customHeight="1">
      <c r="A17" s="10" t="s">
        <v>79</v>
      </c>
      <c r="B17" s="11">
        <v>172760345</v>
      </c>
      <c r="C17" s="11">
        <v>0</v>
      </c>
      <c r="D17" s="438">
        <f t="shared" si="0"/>
        <v>172760345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1:37" s="19" customFormat="1" ht="21.75" customHeight="1">
      <c r="A18" s="10" t="s">
        <v>80</v>
      </c>
      <c r="B18" s="11">
        <v>42191954</v>
      </c>
      <c r="C18" s="11">
        <v>0</v>
      </c>
      <c r="D18" s="438">
        <f t="shared" si="0"/>
        <v>42191954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1:37" s="19" customFormat="1" ht="21.75" customHeight="1">
      <c r="A19" s="13" t="s">
        <v>74</v>
      </c>
      <c r="B19" s="14">
        <f>SUM(B15:B18)</f>
        <v>3988399860</v>
      </c>
      <c r="C19" s="439">
        <f>SUM(C15:C18)</f>
        <v>-1429730665</v>
      </c>
      <c r="D19" s="439">
        <f t="shared" si="0"/>
        <v>2558669195</v>
      </c>
      <c r="E19" s="439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1:37" s="19" customFormat="1" ht="21.75" customHeight="1">
      <c r="A20" s="10" t="s">
        <v>81</v>
      </c>
      <c r="B20" s="11">
        <v>91339688</v>
      </c>
      <c r="C20" s="11">
        <v>0</v>
      </c>
      <c r="D20" s="438">
        <f t="shared" si="0"/>
        <v>91339688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37" s="19" customFormat="1" ht="21.75" customHeight="1">
      <c r="A21" s="10" t="s">
        <v>82</v>
      </c>
      <c r="B21" s="11">
        <v>544148336</v>
      </c>
      <c r="C21" s="11">
        <v>0</v>
      </c>
      <c r="D21" s="438">
        <f t="shared" si="0"/>
        <v>544148336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2" spans="1:37" s="19" customFormat="1" ht="21.75" customHeight="1">
      <c r="A22" s="10" t="s">
        <v>83</v>
      </c>
      <c r="B22" s="11">
        <v>529300</v>
      </c>
      <c r="C22" s="11">
        <v>0</v>
      </c>
      <c r="D22" s="438">
        <f t="shared" si="0"/>
        <v>529300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37" s="19" customFormat="1" ht="21.75" customHeight="1">
      <c r="A23" s="10" t="s">
        <v>84</v>
      </c>
      <c r="B23" s="11">
        <v>4939891</v>
      </c>
      <c r="C23" s="11">
        <v>0</v>
      </c>
      <c r="D23" s="438">
        <f t="shared" si="0"/>
        <v>4939891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s="19" customFormat="1" ht="21.75" customHeight="1">
      <c r="A24" s="13" t="s">
        <v>75</v>
      </c>
      <c r="B24" s="14">
        <f>SUM(B20:B23)</f>
        <v>640957215</v>
      </c>
      <c r="C24" s="14">
        <v>0</v>
      </c>
      <c r="D24" s="439">
        <f t="shared" si="0"/>
        <v>640957215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s="19" customFormat="1" ht="21.75" customHeight="1">
      <c r="A25" s="10" t="s">
        <v>85</v>
      </c>
      <c r="B25" s="11">
        <v>1166930124</v>
      </c>
      <c r="C25" s="11">
        <v>0</v>
      </c>
      <c r="D25" s="438">
        <f t="shared" si="0"/>
        <v>1166930124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37" s="19" customFormat="1" ht="21.75" customHeight="1">
      <c r="A26" s="10" t="s">
        <v>86</v>
      </c>
      <c r="B26" s="11">
        <v>130229280</v>
      </c>
      <c r="C26" s="11">
        <v>0</v>
      </c>
      <c r="D26" s="438">
        <f t="shared" si="0"/>
        <v>130229280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37" s="19" customFormat="1" ht="21.75" customHeight="1">
      <c r="A27" s="10" t="s">
        <v>87</v>
      </c>
      <c r="B27" s="11">
        <v>233598653</v>
      </c>
      <c r="C27" s="11">
        <v>0</v>
      </c>
      <c r="D27" s="438">
        <f t="shared" si="0"/>
        <v>233598653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37" s="19" customFormat="1" ht="21.75" customHeight="1">
      <c r="A28" s="13" t="s">
        <v>92</v>
      </c>
      <c r="B28" s="14">
        <f>SUM(B25:B27)</f>
        <v>1530758057</v>
      </c>
      <c r="C28" s="14">
        <v>0</v>
      </c>
      <c r="D28" s="439">
        <f t="shared" si="0"/>
        <v>1530758057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19" customFormat="1" ht="21.75" customHeight="1">
      <c r="A29" s="13" t="s">
        <v>88</v>
      </c>
      <c r="B29" s="14">
        <v>547622428</v>
      </c>
      <c r="C29" s="14">
        <v>0</v>
      </c>
      <c r="D29" s="439">
        <f t="shared" si="0"/>
        <v>547622428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19" customFormat="1" ht="21.75" customHeight="1">
      <c r="A30" s="13" t="s">
        <v>76</v>
      </c>
      <c r="B30" s="14">
        <v>2879341562</v>
      </c>
      <c r="C30" s="14">
        <v>-1429730665</v>
      </c>
      <c r="D30" s="439">
        <f t="shared" si="0"/>
        <v>1449610897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s="19" customFormat="1" ht="21.75" customHeight="1">
      <c r="A31" s="16" t="s">
        <v>93</v>
      </c>
      <c r="B31" s="17">
        <f>SUM(B11+B14+B19-B24-B28-B29-B30)</f>
        <v>-604075583</v>
      </c>
      <c r="C31" s="17">
        <v>0</v>
      </c>
      <c r="D31" s="17">
        <f>SUM(B31+C31)</f>
        <v>-604075583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s="19" customFormat="1" ht="38.25" customHeight="1">
      <c r="A32" s="10" t="s">
        <v>752</v>
      </c>
      <c r="B32" s="11">
        <v>23059500</v>
      </c>
      <c r="C32" s="11">
        <v>0</v>
      </c>
      <c r="D32" s="438">
        <f t="shared" si="0"/>
        <v>23059500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7" s="19" customFormat="1" ht="21.75" customHeight="1">
      <c r="A33" s="437" t="s">
        <v>89</v>
      </c>
      <c r="B33" s="438">
        <v>3119852</v>
      </c>
      <c r="C33" s="438">
        <v>0</v>
      </c>
      <c r="D33" s="438">
        <f t="shared" ref="D33:D34" si="3">SUM(B33+C33)</f>
        <v>3119852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1:37" s="19" customFormat="1" ht="21.75" customHeight="1">
      <c r="A34" s="437" t="s">
        <v>753</v>
      </c>
      <c r="B34" s="438">
        <v>348960</v>
      </c>
      <c r="C34" s="438">
        <v>0</v>
      </c>
      <c r="D34" s="438">
        <f t="shared" si="3"/>
        <v>348960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</row>
    <row r="35" spans="1:37" s="19" customFormat="1" ht="21.75" customHeight="1">
      <c r="A35" s="13" t="s">
        <v>90</v>
      </c>
      <c r="B35" s="14">
        <f>SUM(B32:B34)</f>
        <v>26528312</v>
      </c>
      <c r="C35" s="14">
        <v>0</v>
      </c>
      <c r="D35" s="439">
        <f t="shared" si="0"/>
        <v>26528312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 s="19" customFormat="1" ht="32.25" customHeight="1">
      <c r="A36" s="10" t="s">
        <v>754</v>
      </c>
      <c r="B36" s="11">
        <v>64900000</v>
      </c>
      <c r="C36" s="11">
        <v>0</v>
      </c>
      <c r="D36" s="438">
        <f t="shared" si="0"/>
        <v>64900000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</row>
    <row r="37" spans="1:37" s="19" customFormat="1" ht="21" customHeight="1">
      <c r="A37" s="10" t="s">
        <v>755</v>
      </c>
      <c r="B37" s="11">
        <v>120527</v>
      </c>
      <c r="C37" s="11">
        <v>0</v>
      </c>
      <c r="D37" s="438">
        <f t="shared" si="0"/>
        <v>120527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1:37" s="19" customFormat="1" ht="21.75" customHeight="1">
      <c r="A38" s="13" t="s">
        <v>94</v>
      </c>
      <c r="B38" s="14">
        <f>SUM(B36:B37)</f>
        <v>65020527</v>
      </c>
      <c r="C38" s="14">
        <v>0</v>
      </c>
      <c r="D38" s="439">
        <f t="shared" si="0"/>
        <v>65020527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  <row r="39" spans="1:37" s="19" customFormat="1" ht="21.75" customHeight="1">
      <c r="A39" s="16" t="s">
        <v>95</v>
      </c>
      <c r="B39" s="17">
        <f>SUM(B35-B38)</f>
        <v>-38492215</v>
      </c>
      <c r="C39" s="17">
        <v>0</v>
      </c>
      <c r="D39" s="17">
        <f t="shared" si="0"/>
        <v>-38492215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</row>
    <row r="40" spans="1:37" s="19" customFormat="1" ht="21.75" customHeight="1">
      <c r="A40" s="16" t="s">
        <v>96</v>
      </c>
      <c r="B40" s="17">
        <f>SUM(B31+B39)</f>
        <v>-642567798</v>
      </c>
      <c r="C40" s="17">
        <v>0</v>
      </c>
      <c r="D40" s="17">
        <f t="shared" si="0"/>
        <v>-642567798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</sheetData>
  <mergeCells count="1">
    <mergeCell ref="A4:D4"/>
  </mergeCells>
  <pageMargins left="0.7" right="0.7" top="0.75" bottom="0.75" header="0.3" footer="0.3"/>
  <pageSetup paperSize="9" scale="64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124" zoomScaleSheetLayoutView="124" workbookViewId="0">
      <selection sqref="A1:H1"/>
    </sheetView>
  </sheetViews>
  <sheetFormatPr defaultRowHeight="12.75"/>
  <cols>
    <col min="1" max="1" width="55.85546875" style="391" customWidth="1"/>
    <col min="2" max="2" width="9.42578125" style="391" customWidth="1"/>
    <col min="3" max="3" width="15.7109375" style="391" customWidth="1"/>
    <col min="4" max="4" width="14.140625" style="391" customWidth="1"/>
    <col min="5" max="11" width="14.7109375" style="391" customWidth="1"/>
    <col min="12" max="12" width="17.28515625" style="391" customWidth="1"/>
    <col min="13" max="254" width="9.140625" style="391"/>
    <col min="255" max="255" width="55.85546875" style="391" customWidth="1"/>
    <col min="256" max="256" width="9.42578125" style="391" customWidth="1"/>
    <col min="257" max="257" width="13.28515625" style="391" customWidth="1"/>
    <col min="258" max="258" width="14.140625" style="391" customWidth="1"/>
    <col min="259" max="268" width="13.5703125" style="391" customWidth="1"/>
    <col min="269" max="510" width="9.140625" style="391"/>
    <col min="511" max="511" width="55.85546875" style="391" customWidth="1"/>
    <col min="512" max="512" width="9.42578125" style="391" customWidth="1"/>
    <col min="513" max="513" width="13.28515625" style="391" customWidth="1"/>
    <col min="514" max="514" width="14.140625" style="391" customWidth="1"/>
    <col min="515" max="524" width="13.5703125" style="391" customWidth="1"/>
    <col min="525" max="766" width="9.140625" style="391"/>
    <col min="767" max="767" width="55.85546875" style="391" customWidth="1"/>
    <col min="768" max="768" width="9.42578125" style="391" customWidth="1"/>
    <col min="769" max="769" width="13.28515625" style="391" customWidth="1"/>
    <col min="770" max="770" width="14.140625" style="391" customWidth="1"/>
    <col min="771" max="780" width="13.5703125" style="391" customWidth="1"/>
    <col min="781" max="1022" width="9.140625" style="391"/>
    <col min="1023" max="1023" width="55.85546875" style="391" customWidth="1"/>
    <col min="1024" max="1024" width="9.42578125" style="391" customWidth="1"/>
    <col min="1025" max="1025" width="13.28515625" style="391" customWidth="1"/>
    <col min="1026" max="1026" width="14.140625" style="391" customWidth="1"/>
    <col min="1027" max="1036" width="13.5703125" style="391" customWidth="1"/>
    <col min="1037" max="1278" width="9.140625" style="391"/>
    <col min="1279" max="1279" width="55.85546875" style="391" customWidth="1"/>
    <col min="1280" max="1280" width="9.42578125" style="391" customWidth="1"/>
    <col min="1281" max="1281" width="13.28515625" style="391" customWidth="1"/>
    <col min="1282" max="1282" width="14.140625" style="391" customWidth="1"/>
    <col min="1283" max="1292" width="13.5703125" style="391" customWidth="1"/>
    <col min="1293" max="1534" width="9.140625" style="391"/>
    <col min="1535" max="1535" width="55.85546875" style="391" customWidth="1"/>
    <col min="1536" max="1536" width="9.42578125" style="391" customWidth="1"/>
    <col min="1537" max="1537" width="13.28515625" style="391" customWidth="1"/>
    <col min="1538" max="1538" width="14.140625" style="391" customWidth="1"/>
    <col min="1539" max="1548" width="13.5703125" style="391" customWidth="1"/>
    <col min="1549" max="1790" width="9.140625" style="391"/>
    <col min="1791" max="1791" width="55.85546875" style="391" customWidth="1"/>
    <col min="1792" max="1792" width="9.42578125" style="391" customWidth="1"/>
    <col min="1793" max="1793" width="13.28515625" style="391" customWidth="1"/>
    <col min="1794" max="1794" width="14.140625" style="391" customWidth="1"/>
    <col min="1795" max="1804" width="13.5703125" style="391" customWidth="1"/>
    <col min="1805" max="2046" width="9.140625" style="391"/>
    <col min="2047" max="2047" width="55.85546875" style="391" customWidth="1"/>
    <col min="2048" max="2048" width="9.42578125" style="391" customWidth="1"/>
    <col min="2049" max="2049" width="13.28515625" style="391" customWidth="1"/>
    <col min="2050" max="2050" width="14.140625" style="391" customWidth="1"/>
    <col min="2051" max="2060" width="13.5703125" style="391" customWidth="1"/>
    <col min="2061" max="2302" width="9.140625" style="391"/>
    <col min="2303" max="2303" width="55.85546875" style="391" customWidth="1"/>
    <col min="2304" max="2304" width="9.42578125" style="391" customWidth="1"/>
    <col min="2305" max="2305" width="13.28515625" style="391" customWidth="1"/>
    <col min="2306" max="2306" width="14.140625" style="391" customWidth="1"/>
    <col min="2307" max="2316" width="13.5703125" style="391" customWidth="1"/>
    <col min="2317" max="2558" width="9.140625" style="391"/>
    <col min="2559" max="2559" width="55.85546875" style="391" customWidth="1"/>
    <col min="2560" max="2560" width="9.42578125" style="391" customWidth="1"/>
    <col min="2561" max="2561" width="13.28515625" style="391" customWidth="1"/>
    <col min="2562" max="2562" width="14.140625" style="391" customWidth="1"/>
    <col min="2563" max="2572" width="13.5703125" style="391" customWidth="1"/>
    <col min="2573" max="2814" width="9.140625" style="391"/>
    <col min="2815" max="2815" width="55.85546875" style="391" customWidth="1"/>
    <col min="2816" max="2816" width="9.42578125" style="391" customWidth="1"/>
    <col min="2817" max="2817" width="13.28515625" style="391" customWidth="1"/>
    <col min="2818" max="2818" width="14.140625" style="391" customWidth="1"/>
    <col min="2819" max="2828" width="13.5703125" style="391" customWidth="1"/>
    <col min="2829" max="3070" width="9.140625" style="391"/>
    <col min="3071" max="3071" width="55.85546875" style="391" customWidth="1"/>
    <col min="3072" max="3072" width="9.42578125" style="391" customWidth="1"/>
    <col min="3073" max="3073" width="13.28515625" style="391" customWidth="1"/>
    <col min="3074" max="3074" width="14.140625" style="391" customWidth="1"/>
    <col min="3075" max="3084" width="13.5703125" style="391" customWidth="1"/>
    <col min="3085" max="3326" width="9.140625" style="391"/>
    <col min="3327" max="3327" width="55.85546875" style="391" customWidth="1"/>
    <col min="3328" max="3328" width="9.42578125" style="391" customWidth="1"/>
    <col min="3329" max="3329" width="13.28515625" style="391" customWidth="1"/>
    <col min="3330" max="3330" width="14.140625" style="391" customWidth="1"/>
    <col min="3331" max="3340" width="13.5703125" style="391" customWidth="1"/>
    <col min="3341" max="3582" width="9.140625" style="391"/>
    <col min="3583" max="3583" width="55.85546875" style="391" customWidth="1"/>
    <col min="3584" max="3584" width="9.42578125" style="391" customWidth="1"/>
    <col min="3585" max="3585" width="13.28515625" style="391" customWidth="1"/>
    <col min="3586" max="3586" width="14.140625" style="391" customWidth="1"/>
    <col min="3587" max="3596" width="13.5703125" style="391" customWidth="1"/>
    <col min="3597" max="3838" width="9.140625" style="391"/>
    <col min="3839" max="3839" width="55.85546875" style="391" customWidth="1"/>
    <col min="3840" max="3840" width="9.42578125" style="391" customWidth="1"/>
    <col min="3841" max="3841" width="13.28515625" style="391" customWidth="1"/>
    <col min="3842" max="3842" width="14.140625" style="391" customWidth="1"/>
    <col min="3843" max="3852" width="13.5703125" style="391" customWidth="1"/>
    <col min="3853" max="4094" width="9.140625" style="391"/>
    <col min="4095" max="4095" width="55.85546875" style="391" customWidth="1"/>
    <col min="4096" max="4096" width="9.42578125" style="391" customWidth="1"/>
    <col min="4097" max="4097" width="13.28515625" style="391" customWidth="1"/>
    <col min="4098" max="4098" width="14.140625" style="391" customWidth="1"/>
    <col min="4099" max="4108" width="13.5703125" style="391" customWidth="1"/>
    <col min="4109" max="4350" width="9.140625" style="391"/>
    <col min="4351" max="4351" width="55.85546875" style="391" customWidth="1"/>
    <col min="4352" max="4352" width="9.42578125" style="391" customWidth="1"/>
    <col min="4353" max="4353" width="13.28515625" style="391" customWidth="1"/>
    <col min="4354" max="4354" width="14.140625" style="391" customWidth="1"/>
    <col min="4355" max="4364" width="13.5703125" style="391" customWidth="1"/>
    <col min="4365" max="4606" width="9.140625" style="391"/>
    <col min="4607" max="4607" width="55.85546875" style="391" customWidth="1"/>
    <col min="4608" max="4608" width="9.42578125" style="391" customWidth="1"/>
    <col min="4609" max="4609" width="13.28515625" style="391" customWidth="1"/>
    <col min="4610" max="4610" width="14.140625" style="391" customWidth="1"/>
    <col min="4611" max="4620" width="13.5703125" style="391" customWidth="1"/>
    <col min="4621" max="4862" width="9.140625" style="391"/>
    <col min="4863" max="4863" width="55.85546875" style="391" customWidth="1"/>
    <col min="4864" max="4864" width="9.42578125" style="391" customWidth="1"/>
    <col min="4865" max="4865" width="13.28515625" style="391" customWidth="1"/>
    <col min="4866" max="4866" width="14.140625" style="391" customWidth="1"/>
    <col min="4867" max="4876" width="13.5703125" style="391" customWidth="1"/>
    <col min="4877" max="5118" width="9.140625" style="391"/>
    <col min="5119" max="5119" width="55.85546875" style="391" customWidth="1"/>
    <col min="5120" max="5120" width="9.42578125" style="391" customWidth="1"/>
    <col min="5121" max="5121" width="13.28515625" style="391" customWidth="1"/>
    <col min="5122" max="5122" width="14.140625" style="391" customWidth="1"/>
    <col min="5123" max="5132" width="13.5703125" style="391" customWidth="1"/>
    <col min="5133" max="5374" width="9.140625" style="391"/>
    <col min="5375" max="5375" width="55.85546875" style="391" customWidth="1"/>
    <col min="5376" max="5376" width="9.42578125" style="391" customWidth="1"/>
    <col min="5377" max="5377" width="13.28515625" style="391" customWidth="1"/>
    <col min="5378" max="5378" width="14.140625" style="391" customWidth="1"/>
    <col min="5379" max="5388" width="13.5703125" style="391" customWidth="1"/>
    <col min="5389" max="5630" width="9.140625" style="391"/>
    <col min="5631" max="5631" width="55.85546875" style="391" customWidth="1"/>
    <col min="5632" max="5632" width="9.42578125" style="391" customWidth="1"/>
    <col min="5633" max="5633" width="13.28515625" style="391" customWidth="1"/>
    <col min="5634" max="5634" width="14.140625" style="391" customWidth="1"/>
    <col min="5635" max="5644" width="13.5703125" style="391" customWidth="1"/>
    <col min="5645" max="5886" width="9.140625" style="391"/>
    <col min="5887" max="5887" width="55.85546875" style="391" customWidth="1"/>
    <col min="5888" max="5888" width="9.42578125" style="391" customWidth="1"/>
    <col min="5889" max="5889" width="13.28515625" style="391" customWidth="1"/>
    <col min="5890" max="5890" width="14.140625" style="391" customWidth="1"/>
    <col min="5891" max="5900" width="13.5703125" style="391" customWidth="1"/>
    <col min="5901" max="6142" width="9.140625" style="391"/>
    <col min="6143" max="6143" width="55.85546875" style="391" customWidth="1"/>
    <col min="6144" max="6144" width="9.42578125" style="391" customWidth="1"/>
    <col min="6145" max="6145" width="13.28515625" style="391" customWidth="1"/>
    <col min="6146" max="6146" width="14.140625" style="391" customWidth="1"/>
    <col min="6147" max="6156" width="13.5703125" style="391" customWidth="1"/>
    <col min="6157" max="6398" width="9.140625" style="391"/>
    <col min="6399" max="6399" width="55.85546875" style="391" customWidth="1"/>
    <col min="6400" max="6400" width="9.42578125" style="391" customWidth="1"/>
    <col min="6401" max="6401" width="13.28515625" style="391" customWidth="1"/>
    <col min="6402" max="6402" width="14.140625" style="391" customWidth="1"/>
    <col min="6403" max="6412" width="13.5703125" style="391" customWidth="1"/>
    <col min="6413" max="6654" width="9.140625" style="391"/>
    <col min="6655" max="6655" width="55.85546875" style="391" customWidth="1"/>
    <col min="6656" max="6656" width="9.42578125" style="391" customWidth="1"/>
    <col min="6657" max="6657" width="13.28515625" style="391" customWidth="1"/>
    <col min="6658" max="6658" width="14.140625" style="391" customWidth="1"/>
    <col min="6659" max="6668" width="13.5703125" style="391" customWidth="1"/>
    <col min="6669" max="6910" width="9.140625" style="391"/>
    <col min="6911" max="6911" width="55.85546875" style="391" customWidth="1"/>
    <col min="6912" max="6912" width="9.42578125" style="391" customWidth="1"/>
    <col min="6913" max="6913" width="13.28515625" style="391" customWidth="1"/>
    <col min="6914" max="6914" width="14.140625" style="391" customWidth="1"/>
    <col min="6915" max="6924" width="13.5703125" style="391" customWidth="1"/>
    <col min="6925" max="7166" width="9.140625" style="391"/>
    <col min="7167" max="7167" width="55.85546875" style="391" customWidth="1"/>
    <col min="7168" max="7168" width="9.42578125" style="391" customWidth="1"/>
    <col min="7169" max="7169" width="13.28515625" style="391" customWidth="1"/>
    <col min="7170" max="7170" width="14.140625" style="391" customWidth="1"/>
    <col min="7171" max="7180" width="13.5703125" style="391" customWidth="1"/>
    <col min="7181" max="7422" width="9.140625" style="391"/>
    <col min="7423" max="7423" width="55.85546875" style="391" customWidth="1"/>
    <col min="7424" max="7424" width="9.42578125" style="391" customWidth="1"/>
    <col min="7425" max="7425" width="13.28515625" style="391" customWidth="1"/>
    <col min="7426" max="7426" width="14.140625" style="391" customWidth="1"/>
    <col min="7427" max="7436" width="13.5703125" style="391" customWidth="1"/>
    <col min="7437" max="7678" width="9.140625" style="391"/>
    <col min="7679" max="7679" width="55.85546875" style="391" customWidth="1"/>
    <col min="7680" max="7680" width="9.42578125" style="391" customWidth="1"/>
    <col min="7681" max="7681" width="13.28515625" style="391" customWidth="1"/>
    <col min="7682" max="7682" width="14.140625" style="391" customWidth="1"/>
    <col min="7683" max="7692" width="13.5703125" style="391" customWidth="1"/>
    <col min="7693" max="7934" width="9.140625" style="391"/>
    <col min="7935" max="7935" width="55.85546875" style="391" customWidth="1"/>
    <col min="7936" max="7936" width="9.42578125" style="391" customWidth="1"/>
    <col min="7937" max="7937" width="13.28515625" style="391" customWidth="1"/>
    <col min="7938" max="7938" width="14.140625" style="391" customWidth="1"/>
    <col min="7939" max="7948" width="13.5703125" style="391" customWidth="1"/>
    <col min="7949" max="8190" width="9.140625" style="391"/>
    <col min="8191" max="8191" width="55.85546875" style="391" customWidth="1"/>
    <col min="8192" max="8192" width="9.42578125" style="391" customWidth="1"/>
    <col min="8193" max="8193" width="13.28515625" style="391" customWidth="1"/>
    <col min="8194" max="8194" width="14.140625" style="391" customWidth="1"/>
    <col min="8195" max="8204" width="13.5703125" style="391" customWidth="1"/>
    <col min="8205" max="8446" width="9.140625" style="391"/>
    <col min="8447" max="8447" width="55.85546875" style="391" customWidth="1"/>
    <col min="8448" max="8448" width="9.42578125" style="391" customWidth="1"/>
    <col min="8449" max="8449" width="13.28515625" style="391" customWidth="1"/>
    <col min="8450" max="8450" width="14.140625" style="391" customWidth="1"/>
    <col min="8451" max="8460" width="13.5703125" style="391" customWidth="1"/>
    <col min="8461" max="8702" width="9.140625" style="391"/>
    <col min="8703" max="8703" width="55.85546875" style="391" customWidth="1"/>
    <col min="8704" max="8704" width="9.42578125" style="391" customWidth="1"/>
    <col min="8705" max="8705" width="13.28515625" style="391" customWidth="1"/>
    <col min="8706" max="8706" width="14.140625" style="391" customWidth="1"/>
    <col min="8707" max="8716" width="13.5703125" style="391" customWidth="1"/>
    <col min="8717" max="8958" width="9.140625" style="391"/>
    <col min="8959" max="8959" width="55.85546875" style="391" customWidth="1"/>
    <col min="8960" max="8960" width="9.42578125" style="391" customWidth="1"/>
    <col min="8961" max="8961" width="13.28515625" style="391" customWidth="1"/>
    <col min="8962" max="8962" width="14.140625" style="391" customWidth="1"/>
    <col min="8963" max="8972" width="13.5703125" style="391" customWidth="1"/>
    <col min="8973" max="9214" width="9.140625" style="391"/>
    <col min="9215" max="9215" width="55.85546875" style="391" customWidth="1"/>
    <col min="9216" max="9216" width="9.42578125" style="391" customWidth="1"/>
    <col min="9217" max="9217" width="13.28515625" style="391" customWidth="1"/>
    <col min="9218" max="9218" width="14.140625" style="391" customWidth="1"/>
    <col min="9219" max="9228" width="13.5703125" style="391" customWidth="1"/>
    <col min="9229" max="9470" width="9.140625" style="391"/>
    <col min="9471" max="9471" width="55.85546875" style="391" customWidth="1"/>
    <col min="9472" max="9472" width="9.42578125" style="391" customWidth="1"/>
    <col min="9473" max="9473" width="13.28515625" style="391" customWidth="1"/>
    <col min="9474" max="9474" width="14.140625" style="391" customWidth="1"/>
    <col min="9475" max="9484" width="13.5703125" style="391" customWidth="1"/>
    <col min="9485" max="9726" width="9.140625" style="391"/>
    <col min="9727" max="9727" width="55.85546875" style="391" customWidth="1"/>
    <col min="9728" max="9728" width="9.42578125" style="391" customWidth="1"/>
    <col min="9729" max="9729" width="13.28515625" style="391" customWidth="1"/>
    <col min="9730" max="9730" width="14.140625" style="391" customWidth="1"/>
    <col min="9731" max="9740" width="13.5703125" style="391" customWidth="1"/>
    <col min="9741" max="9982" width="9.140625" style="391"/>
    <col min="9983" max="9983" width="55.85546875" style="391" customWidth="1"/>
    <col min="9984" max="9984" width="9.42578125" style="391" customWidth="1"/>
    <col min="9985" max="9985" width="13.28515625" style="391" customWidth="1"/>
    <col min="9986" max="9986" width="14.140625" style="391" customWidth="1"/>
    <col min="9987" max="9996" width="13.5703125" style="391" customWidth="1"/>
    <col min="9997" max="10238" width="9.140625" style="391"/>
    <col min="10239" max="10239" width="55.85546875" style="391" customWidth="1"/>
    <col min="10240" max="10240" width="9.42578125" style="391" customWidth="1"/>
    <col min="10241" max="10241" width="13.28515625" style="391" customWidth="1"/>
    <col min="10242" max="10242" width="14.140625" style="391" customWidth="1"/>
    <col min="10243" max="10252" width="13.5703125" style="391" customWidth="1"/>
    <col min="10253" max="10494" width="9.140625" style="391"/>
    <col min="10495" max="10495" width="55.85546875" style="391" customWidth="1"/>
    <col min="10496" max="10496" width="9.42578125" style="391" customWidth="1"/>
    <col min="10497" max="10497" width="13.28515625" style="391" customWidth="1"/>
    <col min="10498" max="10498" width="14.140625" style="391" customWidth="1"/>
    <col min="10499" max="10508" width="13.5703125" style="391" customWidth="1"/>
    <col min="10509" max="10750" width="9.140625" style="391"/>
    <col min="10751" max="10751" width="55.85546875" style="391" customWidth="1"/>
    <col min="10752" max="10752" width="9.42578125" style="391" customWidth="1"/>
    <col min="10753" max="10753" width="13.28515625" style="391" customWidth="1"/>
    <col min="10754" max="10754" width="14.140625" style="391" customWidth="1"/>
    <col min="10755" max="10764" width="13.5703125" style="391" customWidth="1"/>
    <col min="10765" max="11006" width="9.140625" style="391"/>
    <col min="11007" max="11007" width="55.85546875" style="391" customWidth="1"/>
    <col min="11008" max="11008" width="9.42578125" style="391" customWidth="1"/>
    <col min="11009" max="11009" width="13.28515625" style="391" customWidth="1"/>
    <col min="11010" max="11010" width="14.140625" style="391" customWidth="1"/>
    <col min="11011" max="11020" width="13.5703125" style="391" customWidth="1"/>
    <col min="11021" max="11262" width="9.140625" style="391"/>
    <col min="11263" max="11263" width="55.85546875" style="391" customWidth="1"/>
    <col min="11264" max="11264" width="9.42578125" style="391" customWidth="1"/>
    <col min="11265" max="11265" width="13.28515625" style="391" customWidth="1"/>
    <col min="11266" max="11266" width="14.140625" style="391" customWidth="1"/>
    <col min="11267" max="11276" width="13.5703125" style="391" customWidth="1"/>
    <col min="11277" max="11518" width="9.140625" style="391"/>
    <col min="11519" max="11519" width="55.85546875" style="391" customWidth="1"/>
    <col min="11520" max="11520" width="9.42578125" style="391" customWidth="1"/>
    <col min="11521" max="11521" width="13.28515625" style="391" customWidth="1"/>
    <col min="11522" max="11522" width="14.140625" style="391" customWidth="1"/>
    <col min="11523" max="11532" width="13.5703125" style="391" customWidth="1"/>
    <col min="11533" max="11774" width="9.140625" style="391"/>
    <col min="11775" max="11775" width="55.85546875" style="391" customWidth="1"/>
    <col min="11776" max="11776" width="9.42578125" style="391" customWidth="1"/>
    <col min="11777" max="11777" width="13.28515625" style="391" customWidth="1"/>
    <col min="11778" max="11778" width="14.140625" style="391" customWidth="1"/>
    <col min="11779" max="11788" width="13.5703125" style="391" customWidth="1"/>
    <col min="11789" max="12030" width="9.140625" style="391"/>
    <col min="12031" max="12031" width="55.85546875" style="391" customWidth="1"/>
    <col min="12032" max="12032" width="9.42578125" style="391" customWidth="1"/>
    <col min="12033" max="12033" width="13.28515625" style="391" customWidth="1"/>
    <col min="12034" max="12034" width="14.140625" style="391" customWidth="1"/>
    <col min="12035" max="12044" width="13.5703125" style="391" customWidth="1"/>
    <col min="12045" max="12286" width="9.140625" style="391"/>
    <col min="12287" max="12287" width="55.85546875" style="391" customWidth="1"/>
    <col min="12288" max="12288" width="9.42578125" style="391" customWidth="1"/>
    <col min="12289" max="12289" width="13.28515625" style="391" customWidth="1"/>
    <col min="12290" max="12290" width="14.140625" style="391" customWidth="1"/>
    <col min="12291" max="12300" width="13.5703125" style="391" customWidth="1"/>
    <col min="12301" max="12542" width="9.140625" style="391"/>
    <col min="12543" max="12543" width="55.85546875" style="391" customWidth="1"/>
    <col min="12544" max="12544" width="9.42578125" style="391" customWidth="1"/>
    <col min="12545" max="12545" width="13.28515625" style="391" customWidth="1"/>
    <col min="12546" max="12546" width="14.140625" style="391" customWidth="1"/>
    <col min="12547" max="12556" width="13.5703125" style="391" customWidth="1"/>
    <col min="12557" max="12798" width="9.140625" style="391"/>
    <col min="12799" max="12799" width="55.85546875" style="391" customWidth="1"/>
    <col min="12800" max="12800" width="9.42578125" style="391" customWidth="1"/>
    <col min="12801" max="12801" width="13.28515625" style="391" customWidth="1"/>
    <col min="12802" max="12802" width="14.140625" style="391" customWidth="1"/>
    <col min="12803" max="12812" width="13.5703125" style="391" customWidth="1"/>
    <col min="12813" max="13054" width="9.140625" style="391"/>
    <col min="13055" max="13055" width="55.85546875" style="391" customWidth="1"/>
    <col min="13056" max="13056" width="9.42578125" style="391" customWidth="1"/>
    <col min="13057" max="13057" width="13.28515625" style="391" customWidth="1"/>
    <col min="13058" max="13058" width="14.140625" style="391" customWidth="1"/>
    <col min="13059" max="13068" width="13.5703125" style="391" customWidth="1"/>
    <col min="13069" max="13310" width="9.140625" style="391"/>
    <col min="13311" max="13311" width="55.85546875" style="391" customWidth="1"/>
    <col min="13312" max="13312" width="9.42578125" style="391" customWidth="1"/>
    <col min="13313" max="13313" width="13.28515625" style="391" customWidth="1"/>
    <col min="13314" max="13314" width="14.140625" style="391" customWidth="1"/>
    <col min="13315" max="13324" width="13.5703125" style="391" customWidth="1"/>
    <col min="13325" max="13566" width="9.140625" style="391"/>
    <col min="13567" max="13567" width="55.85546875" style="391" customWidth="1"/>
    <col min="13568" max="13568" width="9.42578125" style="391" customWidth="1"/>
    <col min="13569" max="13569" width="13.28515625" style="391" customWidth="1"/>
    <col min="13570" max="13570" width="14.140625" style="391" customWidth="1"/>
    <col min="13571" max="13580" width="13.5703125" style="391" customWidth="1"/>
    <col min="13581" max="13822" width="9.140625" style="391"/>
    <col min="13823" max="13823" width="55.85546875" style="391" customWidth="1"/>
    <col min="13824" max="13824" width="9.42578125" style="391" customWidth="1"/>
    <col min="13825" max="13825" width="13.28515625" style="391" customWidth="1"/>
    <col min="13826" max="13826" width="14.140625" style="391" customWidth="1"/>
    <col min="13827" max="13836" width="13.5703125" style="391" customWidth="1"/>
    <col min="13837" max="14078" width="9.140625" style="391"/>
    <col min="14079" max="14079" width="55.85546875" style="391" customWidth="1"/>
    <col min="14080" max="14080" width="9.42578125" style="391" customWidth="1"/>
    <col min="14081" max="14081" width="13.28515625" style="391" customWidth="1"/>
    <col min="14082" max="14082" width="14.140625" style="391" customWidth="1"/>
    <col min="14083" max="14092" width="13.5703125" style="391" customWidth="1"/>
    <col min="14093" max="14334" width="9.140625" style="391"/>
    <col min="14335" max="14335" width="55.85546875" style="391" customWidth="1"/>
    <col min="14336" max="14336" width="9.42578125" style="391" customWidth="1"/>
    <col min="14337" max="14337" width="13.28515625" style="391" customWidth="1"/>
    <col min="14338" max="14338" width="14.140625" style="391" customWidth="1"/>
    <col min="14339" max="14348" width="13.5703125" style="391" customWidth="1"/>
    <col min="14349" max="14590" width="9.140625" style="391"/>
    <col min="14591" max="14591" width="55.85546875" style="391" customWidth="1"/>
    <col min="14592" max="14592" width="9.42578125" style="391" customWidth="1"/>
    <col min="14593" max="14593" width="13.28515625" style="391" customWidth="1"/>
    <col min="14594" max="14594" width="14.140625" style="391" customWidth="1"/>
    <col min="14595" max="14604" width="13.5703125" style="391" customWidth="1"/>
    <col min="14605" max="14846" width="9.140625" style="391"/>
    <col min="14847" max="14847" width="55.85546875" style="391" customWidth="1"/>
    <col min="14848" max="14848" width="9.42578125" style="391" customWidth="1"/>
    <col min="14849" max="14849" width="13.28515625" style="391" customWidth="1"/>
    <col min="14850" max="14850" width="14.140625" style="391" customWidth="1"/>
    <col min="14851" max="14860" width="13.5703125" style="391" customWidth="1"/>
    <col min="14861" max="15102" width="9.140625" style="391"/>
    <col min="15103" max="15103" width="55.85546875" style="391" customWidth="1"/>
    <col min="15104" max="15104" width="9.42578125" style="391" customWidth="1"/>
    <col min="15105" max="15105" width="13.28515625" style="391" customWidth="1"/>
    <col min="15106" max="15106" width="14.140625" style="391" customWidth="1"/>
    <col min="15107" max="15116" width="13.5703125" style="391" customWidth="1"/>
    <col min="15117" max="15358" width="9.140625" style="391"/>
    <col min="15359" max="15359" width="55.85546875" style="391" customWidth="1"/>
    <col min="15360" max="15360" width="9.42578125" style="391" customWidth="1"/>
    <col min="15361" max="15361" width="13.28515625" style="391" customWidth="1"/>
    <col min="15362" max="15362" width="14.140625" style="391" customWidth="1"/>
    <col min="15363" max="15372" width="13.5703125" style="391" customWidth="1"/>
    <col min="15373" max="15614" width="9.140625" style="391"/>
    <col min="15615" max="15615" width="55.85546875" style="391" customWidth="1"/>
    <col min="15616" max="15616" width="9.42578125" style="391" customWidth="1"/>
    <col min="15617" max="15617" width="13.28515625" style="391" customWidth="1"/>
    <col min="15618" max="15618" width="14.140625" style="391" customWidth="1"/>
    <col min="15619" max="15628" width="13.5703125" style="391" customWidth="1"/>
    <col min="15629" max="15870" width="9.140625" style="391"/>
    <col min="15871" max="15871" width="55.85546875" style="391" customWidth="1"/>
    <col min="15872" max="15872" width="9.42578125" style="391" customWidth="1"/>
    <col min="15873" max="15873" width="13.28515625" style="391" customWidth="1"/>
    <col min="15874" max="15874" width="14.140625" style="391" customWidth="1"/>
    <col min="15875" max="15884" width="13.5703125" style="391" customWidth="1"/>
    <col min="15885" max="16126" width="9.140625" style="391"/>
    <col min="16127" max="16127" width="55.85546875" style="391" customWidth="1"/>
    <col min="16128" max="16128" width="9.42578125" style="391" customWidth="1"/>
    <col min="16129" max="16129" width="13.28515625" style="391" customWidth="1"/>
    <col min="16130" max="16130" width="14.140625" style="391" customWidth="1"/>
    <col min="16131" max="16140" width="13.5703125" style="391" customWidth="1"/>
    <col min="16141" max="16384" width="9.140625" style="391"/>
  </cols>
  <sheetData>
    <row r="1" spans="1:12" s="323" customFormat="1" ht="15.75">
      <c r="A1" s="955" t="s">
        <v>1046</v>
      </c>
      <c r="B1" s="955"/>
      <c r="C1" s="955"/>
      <c r="D1" s="955"/>
      <c r="E1" s="955"/>
      <c r="F1" s="955"/>
      <c r="G1" s="955"/>
      <c r="H1" s="955"/>
    </row>
    <row r="2" spans="1:12">
      <c r="A2" s="735"/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</row>
    <row r="3" spans="1:12">
      <c r="A3" s="735"/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</row>
    <row r="4" spans="1:12" s="736" customFormat="1" ht="15.75">
      <c r="A4" s="945" t="s">
        <v>937</v>
      </c>
      <c r="B4" s="945"/>
      <c r="C4" s="945"/>
      <c r="D4" s="945"/>
      <c r="E4" s="945"/>
      <c r="F4" s="945"/>
      <c r="G4" s="945"/>
      <c r="H4" s="945"/>
      <c r="I4" s="945"/>
      <c r="J4" s="945"/>
      <c r="K4" s="945"/>
      <c r="L4" s="945"/>
    </row>
    <row r="5" spans="1:12" ht="15.7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spans="1:12" ht="15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2" ht="15.7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</row>
    <row r="8" spans="1:12" ht="13.5" thickBot="1">
      <c r="A8" s="1020" t="s">
        <v>7</v>
      </c>
      <c r="B8" s="1020"/>
      <c r="C8" s="1020"/>
      <c r="D8" s="1020"/>
      <c r="E8" s="1020"/>
      <c r="F8" s="1020"/>
      <c r="G8" s="1020"/>
      <c r="H8" s="1020"/>
      <c r="I8" s="1020"/>
      <c r="J8" s="1020"/>
      <c r="K8" s="1020"/>
      <c r="L8" s="1020"/>
    </row>
    <row r="9" spans="1:12" s="737" customFormat="1" ht="15" thickBot="1">
      <c r="A9" s="1021" t="s">
        <v>0</v>
      </c>
      <c r="B9" s="952" t="s">
        <v>938</v>
      </c>
      <c r="C9" s="952" t="s">
        <v>1006</v>
      </c>
      <c r="D9" s="977" t="s">
        <v>939</v>
      </c>
      <c r="E9" s="1005"/>
      <c r="F9" s="1005"/>
      <c r="G9" s="1005"/>
      <c r="H9" s="1005"/>
      <c r="I9" s="1005"/>
      <c r="J9" s="1005"/>
      <c r="K9" s="1005"/>
      <c r="L9" s="978"/>
    </row>
    <row r="10" spans="1:12" s="244" customFormat="1" ht="15" thickBot="1">
      <c r="A10" s="1022"/>
      <c r="B10" s="1023"/>
      <c r="C10" s="1023"/>
      <c r="D10" s="733" t="s">
        <v>1007</v>
      </c>
      <c r="E10" s="733" t="s">
        <v>940</v>
      </c>
      <c r="F10" s="733" t="s">
        <v>941</v>
      </c>
      <c r="G10" s="733" t="s">
        <v>942</v>
      </c>
      <c r="H10" s="733" t="s">
        <v>943</v>
      </c>
      <c r="I10" s="733" t="s">
        <v>944</v>
      </c>
      <c r="J10" s="733" t="s">
        <v>945</v>
      </c>
      <c r="K10" s="733" t="s">
        <v>946</v>
      </c>
      <c r="L10" s="733" t="s">
        <v>947</v>
      </c>
    </row>
    <row r="11" spans="1:12">
      <c r="A11" s="738" t="s">
        <v>948</v>
      </c>
      <c r="B11" s="738" t="s">
        <v>949</v>
      </c>
      <c r="C11" s="738" t="s">
        <v>950</v>
      </c>
      <c r="D11" s="738" t="s">
        <v>951</v>
      </c>
      <c r="E11" s="738" t="s">
        <v>952</v>
      </c>
      <c r="F11" s="738" t="s">
        <v>953</v>
      </c>
      <c r="G11" s="738" t="s">
        <v>954</v>
      </c>
      <c r="H11" s="738" t="s">
        <v>955</v>
      </c>
      <c r="I11" s="738" t="s">
        <v>956</v>
      </c>
      <c r="J11" s="738" t="s">
        <v>957</v>
      </c>
      <c r="K11" s="738" t="s">
        <v>958</v>
      </c>
      <c r="L11" s="738" t="s">
        <v>959</v>
      </c>
    </row>
    <row r="12" spans="1:12" ht="15">
      <c r="A12" s="739" t="s">
        <v>960</v>
      </c>
      <c r="B12" s="740" t="s">
        <v>961</v>
      </c>
      <c r="C12" s="741">
        <f>SUM('6. sz. melléklet'!F93)</f>
        <v>617706304</v>
      </c>
      <c r="D12" s="741">
        <v>597500000</v>
      </c>
      <c r="E12" s="741">
        <v>597500000</v>
      </c>
      <c r="F12" s="741">
        <v>597500000</v>
      </c>
      <c r="G12" s="741">
        <v>597500000</v>
      </c>
      <c r="H12" s="741">
        <v>597500000</v>
      </c>
      <c r="I12" s="741">
        <v>597500000</v>
      </c>
      <c r="J12" s="741">
        <v>597500000</v>
      </c>
      <c r="K12" s="741">
        <v>597500000</v>
      </c>
      <c r="L12" s="741">
        <f t="shared" ref="L12:L17" si="0">SUM(C12:K12)</f>
        <v>5397706304</v>
      </c>
    </row>
    <row r="13" spans="1:12" ht="30">
      <c r="A13" s="739" t="s">
        <v>962</v>
      </c>
      <c r="B13" s="742" t="s">
        <v>963</v>
      </c>
      <c r="C13" s="743">
        <f>SUM('8. sz. melléklet'!T64+'8. sz. melléklet'!P33+'8. sz. melléklet'!P34+'8. sz. melléklet'!P35+'8. sz. melléklet'!P37+'8. sz. melléklet'!P36)</f>
        <v>180130715</v>
      </c>
      <c r="D13" s="741">
        <v>615910000</v>
      </c>
      <c r="E13" s="741"/>
      <c r="F13" s="741"/>
      <c r="G13" s="741"/>
      <c r="H13" s="741"/>
      <c r="I13" s="741"/>
      <c r="J13" s="741"/>
      <c r="K13" s="741"/>
      <c r="L13" s="741">
        <f t="shared" si="0"/>
        <v>796040715</v>
      </c>
    </row>
    <row r="14" spans="1:12" ht="15">
      <c r="A14" s="739" t="s">
        <v>964</v>
      </c>
      <c r="B14" s="742" t="s">
        <v>965</v>
      </c>
      <c r="C14" s="741"/>
      <c r="D14" s="741">
        <v>20000000</v>
      </c>
      <c r="E14" s="741"/>
      <c r="F14" s="741"/>
      <c r="G14" s="741"/>
      <c r="H14" s="741"/>
      <c r="I14" s="741"/>
      <c r="J14" s="741"/>
      <c r="K14" s="741"/>
      <c r="L14" s="741">
        <f t="shared" si="0"/>
        <v>20000000</v>
      </c>
    </row>
    <row r="15" spans="1:12" ht="30">
      <c r="A15" s="739" t="s">
        <v>966</v>
      </c>
      <c r="B15" s="742" t="s">
        <v>967</v>
      </c>
      <c r="C15" s="741"/>
      <c r="D15" s="741"/>
      <c r="E15" s="741"/>
      <c r="F15" s="741"/>
      <c r="G15" s="741"/>
      <c r="H15" s="741"/>
      <c r="I15" s="741"/>
      <c r="J15" s="741"/>
      <c r="K15" s="741"/>
      <c r="L15" s="741">
        <f t="shared" si="0"/>
        <v>0</v>
      </c>
    </row>
    <row r="16" spans="1:12" ht="15">
      <c r="A16" s="739" t="s">
        <v>968</v>
      </c>
      <c r="B16" s="742" t="s">
        <v>969</v>
      </c>
      <c r="C16" s="741">
        <f>SUM('6. sz. melléklet'!F101)</f>
        <v>14570566</v>
      </c>
      <c r="D16" s="741">
        <v>3500000</v>
      </c>
      <c r="E16" s="741">
        <v>3500000</v>
      </c>
      <c r="F16" s="741">
        <v>3500000</v>
      </c>
      <c r="G16" s="741">
        <v>3500000</v>
      </c>
      <c r="H16" s="741">
        <v>3500000</v>
      </c>
      <c r="I16" s="741">
        <v>3500000</v>
      </c>
      <c r="J16" s="741">
        <v>3500000</v>
      </c>
      <c r="K16" s="741">
        <v>3500000</v>
      </c>
      <c r="L16" s="741">
        <f t="shared" si="0"/>
        <v>42570566</v>
      </c>
    </row>
    <row r="17" spans="1:12" ht="15">
      <c r="A17" s="739" t="s">
        <v>970</v>
      </c>
      <c r="B17" s="742" t="s">
        <v>971</v>
      </c>
      <c r="C17" s="741"/>
      <c r="D17" s="741"/>
      <c r="E17" s="741"/>
      <c r="F17" s="741"/>
      <c r="G17" s="741"/>
      <c r="H17" s="741"/>
      <c r="I17" s="741"/>
      <c r="J17" s="741"/>
      <c r="K17" s="741"/>
      <c r="L17" s="741">
        <f t="shared" si="0"/>
        <v>0</v>
      </c>
    </row>
    <row r="18" spans="1:12" s="244" customFormat="1" ht="14.25">
      <c r="A18" s="744" t="s">
        <v>972</v>
      </c>
      <c r="B18" s="745" t="s">
        <v>973</v>
      </c>
      <c r="C18" s="746">
        <f>SUM(C12:C17)</f>
        <v>812407585</v>
      </c>
      <c r="D18" s="746">
        <f>SUM(D12:D17)</f>
        <v>1236910000</v>
      </c>
      <c r="E18" s="746">
        <f>SUM(E12:E17)</f>
        <v>601000000</v>
      </c>
      <c r="F18" s="746">
        <f t="shared" ref="F18:K18" si="1">SUM(F12:F17)</f>
        <v>601000000</v>
      </c>
      <c r="G18" s="746">
        <f t="shared" si="1"/>
        <v>601000000</v>
      </c>
      <c r="H18" s="746">
        <f t="shared" si="1"/>
        <v>601000000</v>
      </c>
      <c r="I18" s="746">
        <f t="shared" si="1"/>
        <v>601000000</v>
      </c>
      <c r="J18" s="746">
        <f t="shared" si="1"/>
        <v>601000000</v>
      </c>
      <c r="K18" s="746">
        <f t="shared" si="1"/>
        <v>601000000</v>
      </c>
      <c r="L18" s="746">
        <f>SUM(L12:L17)</f>
        <v>6256317585</v>
      </c>
    </row>
    <row r="19" spans="1:12" s="244" customFormat="1" ht="14.25">
      <c r="A19" s="744" t="s">
        <v>974</v>
      </c>
      <c r="B19" s="745" t="s">
        <v>975</v>
      </c>
      <c r="C19" s="746">
        <f>C18/2</f>
        <v>406203792.5</v>
      </c>
      <c r="D19" s="746">
        <f>D18/2</f>
        <v>618455000</v>
      </c>
      <c r="E19" s="746">
        <f>E18/2</f>
        <v>300500000</v>
      </c>
      <c r="F19" s="746">
        <f t="shared" ref="F19:K19" si="2">F18/2</f>
        <v>300500000</v>
      </c>
      <c r="G19" s="746">
        <f t="shared" si="2"/>
        <v>300500000</v>
      </c>
      <c r="H19" s="746">
        <f t="shared" si="2"/>
        <v>300500000</v>
      </c>
      <c r="I19" s="746">
        <f t="shared" si="2"/>
        <v>300500000</v>
      </c>
      <c r="J19" s="746">
        <f t="shared" si="2"/>
        <v>300500000</v>
      </c>
      <c r="K19" s="746">
        <f t="shared" si="2"/>
        <v>300500000</v>
      </c>
      <c r="L19" s="746">
        <f>L18/2</f>
        <v>3128158792.5</v>
      </c>
    </row>
    <row r="20" spans="1:12" ht="28.5">
      <c r="A20" s="747" t="s">
        <v>976</v>
      </c>
      <c r="B20" s="748" t="s">
        <v>977</v>
      </c>
      <c r="C20" s="749">
        <f>SUM(C21:C27)</f>
        <v>11481132</v>
      </c>
      <c r="D20" s="749">
        <f t="shared" ref="D20:K20" si="3">SUM(D21:D27)</f>
        <v>11481132</v>
      </c>
      <c r="E20" s="749">
        <f t="shared" si="3"/>
        <v>11481132</v>
      </c>
      <c r="F20" s="749">
        <f t="shared" si="3"/>
        <v>11481132</v>
      </c>
      <c r="G20" s="749">
        <f t="shared" si="3"/>
        <v>11481132</v>
      </c>
      <c r="H20" s="749">
        <f t="shared" si="3"/>
        <v>11481132</v>
      </c>
      <c r="I20" s="749">
        <f t="shared" si="3"/>
        <v>11481132</v>
      </c>
      <c r="J20" s="749">
        <f>SUM(J21:J27)</f>
        <v>11481132</v>
      </c>
      <c r="K20" s="749">
        <f t="shared" si="3"/>
        <v>8610850</v>
      </c>
      <c r="L20" s="749">
        <f>SUM(C20:K20)</f>
        <v>100459906</v>
      </c>
    </row>
    <row r="21" spans="1:12" ht="15">
      <c r="A21" s="750" t="s">
        <v>978</v>
      </c>
      <c r="B21" s="742" t="s">
        <v>979</v>
      </c>
      <c r="C21" s="741"/>
      <c r="D21" s="741"/>
      <c r="E21" s="741"/>
      <c r="F21" s="741"/>
      <c r="G21" s="741"/>
      <c r="H21" s="741"/>
      <c r="I21" s="741"/>
      <c r="J21" s="741"/>
      <c r="K21" s="741"/>
      <c r="L21" s="741"/>
    </row>
    <row r="22" spans="1:12" ht="15">
      <c r="A22" s="750" t="s">
        <v>980</v>
      </c>
      <c r="B22" s="742" t="s">
        <v>981</v>
      </c>
      <c r="C22" s="741"/>
      <c r="D22" s="741"/>
      <c r="E22" s="741"/>
      <c r="F22" s="741"/>
      <c r="G22" s="741"/>
      <c r="H22" s="741"/>
      <c r="I22" s="741"/>
      <c r="J22" s="741"/>
      <c r="K22" s="741"/>
      <c r="L22" s="741"/>
    </row>
    <row r="23" spans="1:12" ht="15">
      <c r="A23" s="750" t="s">
        <v>982</v>
      </c>
      <c r="B23" s="742" t="s">
        <v>983</v>
      </c>
      <c r="C23" s="741"/>
      <c r="D23" s="741"/>
      <c r="E23" s="741"/>
      <c r="F23" s="741"/>
      <c r="G23" s="741"/>
      <c r="H23" s="741"/>
      <c r="I23" s="741"/>
      <c r="J23" s="741"/>
      <c r="K23" s="741"/>
      <c r="L23" s="741"/>
    </row>
    <row r="24" spans="1:12" ht="15">
      <c r="A24" s="750" t="s">
        <v>984</v>
      </c>
      <c r="B24" s="742" t="s">
        <v>985</v>
      </c>
      <c r="C24" s="741"/>
      <c r="D24" s="741"/>
      <c r="E24" s="741"/>
      <c r="F24" s="741"/>
      <c r="G24" s="741"/>
      <c r="H24" s="741"/>
      <c r="I24" s="741"/>
      <c r="J24" s="741"/>
      <c r="K24" s="741"/>
      <c r="L24" s="741"/>
    </row>
    <row r="25" spans="1:12" ht="15">
      <c r="A25" s="750" t="s">
        <v>986</v>
      </c>
      <c r="B25" s="742" t="s">
        <v>987</v>
      </c>
      <c r="C25" s="741"/>
      <c r="D25" s="741"/>
      <c r="E25" s="741"/>
      <c r="F25" s="741"/>
      <c r="G25" s="741"/>
      <c r="H25" s="741"/>
      <c r="I25" s="741"/>
      <c r="J25" s="741"/>
      <c r="K25" s="741"/>
      <c r="L25" s="741"/>
    </row>
    <row r="26" spans="1:12" ht="15">
      <c r="A26" s="750" t="s">
        <v>988</v>
      </c>
      <c r="B26" s="742" t="s">
        <v>989</v>
      </c>
      <c r="C26" s="741"/>
      <c r="D26" s="741"/>
      <c r="E26" s="741"/>
      <c r="F26" s="741"/>
      <c r="G26" s="741"/>
      <c r="H26" s="741"/>
      <c r="I26" s="741"/>
      <c r="J26" s="741"/>
      <c r="K26" s="741"/>
      <c r="L26" s="741"/>
    </row>
    <row r="27" spans="1:12" ht="60">
      <c r="A27" s="750" t="s">
        <v>990</v>
      </c>
      <c r="B27" s="742" t="s">
        <v>991</v>
      </c>
      <c r="C27" s="741">
        <v>11481132</v>
      </c>
      <c r="D27" s="741">
        <v>11481132</v>
      </c>
      <c r="E27" s="741">
        <v>11481132</v>
      </c>
      <c r="F27" s="741">
        <v>11481132</v>
      </c>
      <c r="G27" s="741">
        <v>11481132</v>
      </c>
      <c r="H27" s="741">
        <v>11481132</v>
      </c>
      <c r="I27" s="741">
        <v>11481132</v>
      </c>
      <c r="J27" s="741">
        <v>11481132</v>
      </c>
      <c r="K27" s="741">
        <v>8610850</v>
      </c>
      <c r="L27" s="741">
        <f>SUM(C27:K27)</f>
        <v>100459906</v>
      </c>
    </row>
    <row r="28" spans="1:12" ht="28.5">
      <c r="A28" s="747" t="s">
        <v>992</v>
      </c>
      <c r="B28" s="748" t="s">
        <v>993</v>
      </c>
      <c r="C28" s="749">
        <f>SUM(C29:C35)</f>
        <v>0</v>
      </c>
      <c r="D28" s="749">
        <f>SUM(D29:D35)</f>
        <v>0</v>
      </c>
      <c r="E28" s="749">
        <f>SUM(E29:E35)</f>
        <v>0</v>
      </c>
      <c r="F28" s="749">
        <f t="shared" ref="F28:K28" si="4">SUM(F29:F35)</f>
        <v>0</v>
      </c>
      <c r="G28" s="749">
        <f t="shared" si="4"/>
        <v>0</v>
      </c>
      <c r="H28" s="749">
        <f t="shared" si="4"/>
        <v>0</v>
      </c>
      <c r="I28" s="749">
        <f t="shared" si="4"/>
        <v>0</v>
      </c>
      <c r="J28" s="749">
        <f t="shared" si="4"/>
        <v>0</v>
      </c>
      <c r="K28" s="749">
        <f t="shared" si="4"/>
        <v>0</v>
      </c>
      <c r="L28" s="749">
        <f>SUM(L29:L35)</f>
        <v>0</v>
      </c>
    </row>
    <row r="29" spans="1:12" ht="15">
      <c r="A29" s="750" t="s">
        <v>978</v>
      </c>
      <c r="B29" s="742" t="s">
        <v>994</v>
      </c>
      <c r="C29" s="741"/>
      <c r="D29" s="741"/>
      <c r="E29" s="741"/>
      <c r="F29" s="741"/>
      <c r="G29" s="741"/>
      <c r="H29" s="741"/>
      <c r="I29" s="741"/>
      <c r="J29" s="741"/>
      <c r="K29" s="741"/>
      <c r="L29" s="741"/>
    </row>
    <row r="30" spans="1:12" ht="15">
      <c r="A30" s="750" t="s">
        <v>980</v>
      </c>
      <c r="B30" s="742" t="s">
        <v>995</v>
      </c>
      <c r="C30" s="741"/>
      <c r="D30" s="741"/>
      <c r="E30" s="741"/>
      <c r="F30" s="741"/>
      <c r="G30" s="741"/>
      <c r="H30" s="741"/>
      <c r="I30" s="741"/>
      <c r="J30" s="741"/>
      <c r="K30" s="741"/>
      <c r="L30" s="741"/>
    </row>
    <row r="31" spans="1:12" ht="15">
      <c r="A31" s="750" t="s">
        <v>982</v>
      </c>
      <c r="B31" s="742" t="s">
        <v>996</v>
      </c>
      <c r="C31" s="741"/>
      <c r="D31" s="741"/>
      <c r="E31" s="741"/>
      <c r="F31" s="741"/>
      <c r="G31" s="741"/>
      <c r="H31" s="741"/>
      <c r="I31" s="741"/>
      <c r="J31" s="741"/>
      <c r="K31" s="741"/>
      <c r="L31" s="741"/>
    </row>
    <row r="32" spans="1:12" ht="15">
      <c r="A32" s="750" t="s">
        <v>984</v>
      </c>
      <c r="B32" s="742" t="s">
        <v>997</v>
      </c>
      <c r="C32" s="741"/>
      <c r="D32" s="741"/>
      <c r="E32" s="741"/>
      <c r="F32" s="741"/>
      <c r="G32" s="741"/>
      <c r="H32" s="741"/>
      <c r="I32" s="741"/>
      <c r="J32" s="741"/>
      <c r="K32" s="741"/>
      <c r="L32" s="741"/>
    </row>
    <row r="33" spans="1:12" ht="15">
      <c r="A33" s="750" t="s">
        <v>986</v>
      </c>
      <c r="B33" s="742" t="s">
        <v>998</v>
      </c>
      <c r="C33" s="749"/>
      <c r="D33" s="749"/>
      <c r="E33" s="749"/>
      <c r="F33" s="749"/>
      <c r="G33" s="749"/>
      <c r="H33" s="749"/>
      <c r="I33" s="749"/>
      <c r="J33" s="749"/>
      <c r="K33" s="749"/>
      <c r="L33" s="749"/>
    </row>
    <row r="34" spans="1:12" ht="15">
      <c r="A34" s="750" t="s">
        <v>988</v>
      </c>
      <c r="B34" s="742" t="s">
        <v>999</v>
      </c>
      <c r="C34" s="741"/>
      <c r="D34" s="741"/>
      <c r="E34" s="741"/>
      <c r="F34" s="741"/>
      <c r="G34" s="741"/>
      <c r="H34" s="741"/>
      <c r="I34" s="741"/>
      <c r="J34" s="741"/>
      <c r="K34" s="741"/>
      <c r="L34" s="741"/>
    </row>
    <row r="35" spans="1:12" ht="15.75" thickBot="1">
      <c r="A35" s="751" t="s">
        <v>1000</v>
      </c>
      <c r="B35" s="752" t="s">
        <v>1001</v>
      </c>
      <c r="C35" s="753"/>
      <c r="D35" s="753"/>
      <c r="E35" s="753"/>
      <c r="F35" s="753"/>
      <c r="G35" s="753"/>
      <c r="H35" s="753"/>
      <c r="I35" s="753"/>
      <c r="J35" s="753"/>
      <c r="K35" s="753"/>
      <c r="L35" s="753"/>
    </row>
    <row r="36" spans="1:12" s="244" customFormat="1" ht="15" thickBot="1">
      <c r="A36" s="754" t="s">
        <v>1002</v>
      </c>
      <c r="B36" s="755" t="s">
        <v>1003</v>
      </c>
      <c r="C36" s="354">
        <f>C20+C28</f>
        <v>11481132</v>
      </c>
      <c r="D36" s="354">
        <f>D20+D28</f>
        <v>11481132</v>
      </c>
      <c r="E36" s="354">
        <f>E20+E28</f>
        <v>11481132</v>
      </c>
      <c r="F36" s="354">
        <f t="shared" ref="F36:K36" si="5">F20+F28</f>
        <v>11481132</v>
      </c>
      <c r="G36" s="354">
        <f t="shared" si="5"/>
        <v>11481132</v>
      </c>
      <c r="H36" s="354">
        <f t="shared" si="5"/>
        <v>11481132</v>
      </c>
      <c r="I36" s="354">
        <f t="shared" si="5"/>
        <v>11481132</v>
      </c>
      <c r="J36" s="354">
        <f t="shared" si="5"/>
        <v>11481132</v>
      </c>
      <c r="K36" s="354">
        <f t="shared" si="5"/>
        <v>8610850</v>
      </c>
      <c r="L36" s="354">
        <f>L20+L28</f>
        <v>100459906</v>
      </c>
    </row>
    <row r="37" spans="1:12" s="244" customFormat="1" ht="29.25" thickBot="1">
      <c r="A37" s="754" t="s">
        <v>1004</v>
      </c>
      <c r="B37" s="755" t="s">
        <v>1005</v>
      </c>
      <c r="C37" s="354">
        <f>C19-C36</f>
        <v>394722660.5</v>
      </c>
      <c r="D37" s="354">
        <f>D19-D36</f>
        <v>606973868</v>
      </c>
      <c r="E37" s="354">
        <f>E19-E36</f>
        <v>289018868</v>
      </c>
      <c r="F37" s="354">
        <f t="shared" ref="F37:K37" si="6">F19-F36</f>
        <v>289018868</v>
      </c>
      <c r="G37" s="354">
        <f t="shared" si="6"/>
        <v>289018868</v>
      </c>
      <c r="H37" s="354">
        <f t="shared" si="6"/>
        <v>289018868</v>
      </c>
      <c r="I37" s="354">
        <f t="shared" si="6"/>
        <v>289018868</v>
      </c>
      <c r="J37" s="354">
        <f t="shared" si="6"/>
        <v>289018868</v>
      </c>
      <c r="K37" s="354">
        <f t="shared" si="6"/>
        <v>291889150</v>
      </c>
      <c r="L37" s="354">
        <f>L19-L36</f>
        <v>3027698886.5</v>
      </c>
    </row>
  </sheetData>
  <mergeCells count="7">
    <mergeCell ref="A1:H1"/>
    <mergeCell ref="A4:L4"/>
    <mergeCell ref="A8:L8"/>
    <mergeCell ref="A9:A10"/>
    <mergeCell ref="B9:B10"/>
    <mergeCell ref="C9:C10"/>
    <mergeCell ref="D9:L9"/>
  </mergeCells>
  <pageMargins left="0.7" right="0.7" top="0.75" bottom="0.75" header="0.3" footer="0.3"/>
  <pageSetup paperSize="9" scale="6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15"/>
  <sheetViews>
    <sheetView view="pageBreakPreview" zoomScale="93" zoomScaleSheetLayoutView="93" workbookViewId="0"/>
  </sheetViews>
  <sheetFormatPr defaultRowHeight="15.75"/>
  <cols>
    <col min="1" max="1" width="13.140625" style="8" customWidth="1"/>
    <col min="2" max="2" width="85.140625" style="1" customWidth="1"/>
    <col min="3" max="3" width="17.5703125" style="1" customWidth="1"/>
    <col min="4" max="4" width="15.5703125" style="1" customWidth="1"/>
    <col min="5" max="5" width="17.5703125" style="1" customWidth="1"/>
    <col min="6" max="6" width="15.140625" style="21" customWidth="1"/>
    <col min="7" max="37" width="9.140625" style="21"/>
    <col min="38" max="257" width="9.140625" style="1"/>
    <col min="258" max="258" width="82" style="1" customWidth="1"/>
    <col min="259" max="259" width="17.5703125" style="1" customWidth="1"/>
    <col min="260" max="260" width="13.7109375" style="1" customWidth="1"/>
    <col min="261" max="261" width="17.5703125" style="1" customWidth="1"/>
    <col min="262" max="513" width="9.140625" style="1"/>
    <col min="514" max="514" width="82" style="1" customWidth="1"/>
    <col min="515" max="515" width="17.5703125" style="1" customWidth="1"/>
    <col min="516" max="516" width="13.7109375" style="1" customWidth="1"/>
    <col min="517" max="517" width="17.5703125" style="1" customWidth="1"/>
    <col min="518" max="769" width="9.140625" style="1"/>
    <col min="770" max="770" width="82" style="1" customWidth="1"/>
    <col min="771" max="771" width="17.5703125" style="1" customWidth="1"/>
    <col min="772" max="772" width="13.7109375" style="1" customWidth="1"/>
    <col min="773" max="773" width="17.5703125" style="1" customWidth="1"/>
    <col min="774" max="1025" width="9.140625" style="1"/>
    <col min="1026" max="1026" width="82" style="1" customWidth="1"/>
    <col min="1027" max="1027" width="17.5703125" style="1" customWidth="1"/>
    <col min="1028" max="1028" width="13.7109375" style="1" customWidth="1"/>
    <col min="1029" max="1029" width="17.5703125" style="1" customWidth="1"/>
    <col min="1030" max="1281" width="9.140625" style="1"/>
    <col min="1282" max="1282" width="82" style="1" customWidth="1"/>
    <col min="1283" max="1283" width="17.5703125" style="1" customWidth="1"/>
    <col min="1284" max="1284" width="13.7109375" style="1" customWidth="1"/>
    <col min="1285" max="1285" width="17.5703125" style="1" customWidth="1"/>
    <col min="1286" max="1537" width="9.140625" style="1"/>
    <col min="1538" max="1538" width="82" style="1" customWidth="1"/>
    <col min="1539" max="1539" width="17.5703125" style="1" customWidth="1"/>
    <col min="1540" max="1540" width="13.7109375" style="1" customWidth="1"/>
    <col min="1541" max="1541" width="17.5703125" style="1" customWidth="1"/>
    <col min="1542" max="1793" width="9.140625" style="1"/>
    <col min="1794" max="1794" width="82" style="1" customWidth="1"/>
    <col min="1795" max="1795" width="17.5703125" style="1" customWidth="1"/>
    <col min="1796" max="1796" width="13.7109375" style="1" customWidth="1"/>
    <col min="1797" max="1797" width="17.5703125" style="1" customWidth="1"/>
    <col min="1798" max="2049" width="9.140625" style="1"/>
    <col min="2050" max="2050" width="82" style="1" customWidth="1"/>
    <col min="2051" max="2051" width="17.5703125" style="1" customWidth="1"/>
    <col min="2052" max="2052" width="13.7109375" style="1" customWidth="1"/>
    <col min="2053" max="2053" width="17.5703125" style="1" customWidth="1"/>
    <col min="2054" max="2305" width="9.140625" style="1"/>
    <col min="2306" max="2306" width="82" style="1" customWidth="1"/>
    <col min="2307" max="2307" width="17.5703125" style="1" customWidth="1"/>
    <col min="2308" max="2308" width="13.7109375" style="1" customWidth="1"/>
    <col min="2309" max="2309" width="17.5703125" style="1" customWidth="1"/>
    <col min="2310" max="2561" width="9.140625" style="1"/>
    <col min="2562" max="2562" width="82" style="1" customWidth="1"/>
    <col min="2563" max="2563" width="17.5703125" style="1" customWidth="1"/>
    <col min="2564" max="2564" width="13.7109375" style="1" customWidth="1"/>
    <col min="2565" max="2565" width="17.5703125" style="1" customWidth="1"/>
    <col min="2566" max="2817" width="9.140625" style="1"/>
    <col min="2818" max="2818" width="82" style="1" customWidth="1"/>
    <col min="2819" max="2819" width="17.5703125" style="1" customWidth="1"/>
    <col min="2820" max="2820" width="13.7109375" style="1" customWidth="1"/>
    <col min="2821" max="2821" width="17.5703125" style="1" customWidth="1"/>
    <col min="2822" max="3073" width="9.140625" style="1"/>
    <col min="3074" max="3074" width="82" style="1" customWidth="1"/>
    <col min="3075" max="3075" width="17.5703125" style="1" customWidth="1"/>
    <col min="3076" max="3076" width="13.7109375" style="1" customWidth="1"/>
    <col min="3077" max="3077" width="17.5703125" style="1" customWidth="1"/>
    <col min="3078" max="3329" width="9.140625" style="1"/>
    <col min="3330" max="3330" width="82" style="1" customWidth="1"/>
    <col min="3331" max="3331" width="17.5703125" style="1" customWidth="1"/>
    <col min="3332" max="3332" width="13.7109375" style="1" customWidth="1"/>
    <col min="3333" max="3333" width="17.5703125" style="1" customWidth="1"/>
    <col min="3334" max="3585" width="9.140625" style="1"/>
    <col min="3586" max="3586" width="82" style="1" customWidth="1"/>
    <col min="3587" max="3587" width="17.5703125" style="1" customWidth="1"/>
    <col min="3588" max="3588" width="13.7109375" style="1" customWidth="1"/>
    <col min="3589" max="3589" width="17.5703125" style="1" customWidth="1"/>
    <col min="3590" max="3841" width="9.140625" style="1"/>
    <col min="3842" max="3842" width="82" style="1" customWidth="1"/>
    <col min="3843" max="3843" width="17.5703125" style="1" customWidth="1"/>
    <col min="3844" max="3844" width="13.7109375" style="1" customWidth="1"/>
    <col min="3845" max="3845" width="17.5703125" style="1" customWidth="1"/>
    <col min="3846" max="4097" width="9.140625" style="1"/>
    <col min="4098" max="4098" width="82" style="1" customWidth="1"/>
    <col min="4099" max="4099" width="17.5703125" style="1" customWidth="1"/>
    <col min="4100" max="4100" width="13.7109375" style="1" customWidth="1"/>
    <col min="4101" max="4101" width="17.5703125" style="1" customWidth="1"/>
    <col min="4102" max="4353" width="9.140625" style="1"/>
    <col min="4354" max="4354" width="82" style="1" customWidth="1"/>
    <col min="4355" max="4355" width="17.5703125" style="1" customWidth="1"/>
    <col min="4356" max="4356" width="13.7109375" style="1" customWidth="1"/>
    <col min="4357" max="4357" width="17.5703125" style="1" customWidth="1"/>
    <col min="4358" max="4609" width="9.140625" style="1"/>
    <col min="4610" max="4610" width="82" style="1" customWidth="1"/>
    <col min="4611" max="4611" width="17.5703125" style="1" customWidth="1"/>
    <col min="4612" max="4612" width="13.7109375" style="1" customWidth="1"/>
    <col min="4613" max="4613" width="17.5703125" style="1" customWidth="1"/>
    <col min="4614" max="4865" width="9.140625" style="1"/>
    <col min="4866" max="4866" width="82" style="1" customWidth="1"/>
    <col min="4867" max="4867" width="17.5703125" style="1" customWidth="1"/>
    <col min="4868" max="4868" width="13.7109375" style="1" customWidth="1"/>
    <col min="4869" max="4869" width="17.5703125" style="1" customWidth="1"/>
    <col min="4870" max="5121" width="9.140625" style="1"/>
    <col min="5122" max="5122" width="82" style="1" customWidth="1"/>
    <col min="5123" max="5123" width="17.5703125" style="1" customWidth="1"/>
    <col min="5124" max="5124" width="13.7109375" style="1" customWidth="1"/>
    <col min="5125" max="5125" width="17.5703125" style="1" customWidth="1"/>
    <col min="5126" max="5377" width="9.140625" style="1"/>
    <col min="5378" max="5378" width="82" style="1" customWidth="1"/>
    <col min="5379" max="5379" width="17.5703125" style="1" customWidth="1"/>
    <col min="5380" max="5380" width="13.7109375" style="1" customWidth="1"/>
    <col min="5381" max="5381" width="17.5703125" style="1" customWidth="1"/>
    <col min="5382" max="5633" width="9.140625" style="1"/>
    <col min="5634" max="5634" width="82" style="1" customWidth="1"/>
    <col min="5635" max="5635" width="17.5703125" style="1" customWidth="1"/>
    <col min="5636" max="5636" width="13.7109375" style="1" customWidth="1"/>
    <col min="5637" max="5637" width="17.5703125" style="1" customWidth="1"/>
    <col min="5638" max="5889" width="9.140625" style="1"/>
    <col min="5890" max="5890" width="82" style="1" customWidth="1"/>
    <col min="5891" max="5891" width="17.5703125" style="1" customWidth="1"/>
    <col min="5892" max="5892" width="13.7109375" style="1" customWidth="1"/>
    <col min="5893" max="5893" width="17.5703125" style="1" customWidth="1"/>
    <col min="5894" max="6145" width="9.140625" style="1"/>
    <col min="6146" max="6146" width="82" style="1" customWidth="1"/>
    <col min="6147" max="6147" width="17.5703125" style="1" customWidth="1"/>
    <col min="6148" max="6148" width="13.7109375" style="1" customWidth="1"/>
    <col min="6149" max="6149" width="17.5703125" style="1" customWidth="1"/>
    <col min="6150" max="6401" width="9.140625" style="1"/>
    <col min="6402" max="6402" width="82" style="1" customWidth="1"/>
    <col min="6403" max="6403" width="17.5703125" style="1" customWidth="1"/>
    <col min="6404" max="6404" width="13.7109375" style="1" customWidth="1"/>
    <col min="6405" max="6405" width="17.5703125" style="1" customWidth="1"/>
    <col min="6406" max="6657" width="9.140625" style="1"/>
    <col min="6658" max="6658" width="82" style="1" customWidth="1"/>
    <col min="6659" max="6659" width="17.5703125" style="1" customWidth="1"/>
    <col min="6660" max="6660" width="13.7109375" style="1" customWidth="1"/>
    <col min="6661" max="6661" width="17.5703125" style="1" customWidth="1"/>
    <col min="6662" max="6913" width="9.140625" style="1"/>
    <col min="6914" max="6914" width="82" style="1" customWidth="1"/>
    <col min="6915" max="6915" width="17.5703125" style="1" customWidth="1"/>
    <col min="6916" max="6916" width="13.7109375" style="1" customWidth="1"/>
    <col min="6917" max="6917" width="17.5703125" style="1" customWidth="1"/>
    <col min="6918" max="7169" width="9.140625" style="1"/>
    <col min="7170" max="7170" width="82" style="1" customWidth="1"/>
    <col min="7171" max="7171" width="17.5703125" style="1" customWidth="1"/>
    <col min="7172" max="7172" width="13.7109375" style="1" customWidth="1"/>
    <col min="7173" max="7173" width="17.5703125" style="1" customWidth="1"/>
    <col min="7174" max="7425" width="9.140625" style="1"/>
    <col min="7426" max="7426" width="82" style="1" customWidth="1"/>
    <col min="7427" max="7427" width="17.5703125" style="1" customWidth="1"/>
    <col min="7428" max="7428" width="13.7109375" style="1" customWidth="1"/>
    <col min="7429" max="7429" width="17.5703125" style="1" customWidth="1"/>
    <col min="7430" max="7681" width="9.140625" style="1"/>
    <col min="7682" max="7682" width="82" style="1" customWidth="1"/>
    <col min="7683" max="7683" width="17.5703125" style="1" customWidth="1"/>
    <col min="7684" max="7684" width="13.7109375" style="1" customWidth="1"/>
    <col min="7685" max="7685" width="17.5703125" style="1" customWidth="1"/>
    <col min="7686" max="7937" width="9.140625" style="1"/>
    <col min="7938" max="7938" width="82" style="1" customWidth="1"/>
    <col min="7939" max="7939" width="17.5703125" style="1" customWidth="1"/>
    <col min="7940" max="7940" width="13.7109375" style="1" customWidth="1"/>
    <col min="7941" max="7941" width="17.5703125" style="1" customWidth="1"/>
    <col min="7942" max="8193" width="9.140625" style="1"/>
    <col min="8194" max="8194" width="82" style="1" customWidth="1"/>
    <col min="8195" max="8195" width="17.5703125" style="1" customWidth="1"/>
    <col min="8196" max="8196" width="13.7109375" style="1" customWidth="1"/>
    <col min="8197" max="8197" width="17.5703125" style="1" customWidth="1"/>
    <col min="8198" max="8449" width="9.140625" style="1"/>
    <col min="8450" max="8450" width="82" style="1" customWidth="1"/>
    <col min="8451" max="8451" width="17.5703125" style="1" customWidth="1"/>
    <col min="8452" max="8452" width="13.7109375" style="1" customWidth="1"/>
    <col min="8453" max="8453" width="17.5703125" style="1" customWidth="1"/>
    <col min="8454" max="8705" width="9.140625" style="1"/>
    <col min="8706" max="8706" width="82" style="1" customWidth="1"/>
    <col min="8707" max="8707" width="17.5703125" style="1" customWidth="1"/>
    <col min="8708" max="8708" width="13.7109375" style="1" customWidth="1"/>
    <col min="8709" max="8709" width="17.5703125" style="1" customWidth="1"/>
    <col min="8710" max="8961" width="9.140625" style="1"/>
    <col min="8962" max="8962" width="82" style="1" customWidth="1"/>
    <col min="8963" max="8963" width="17.5703125" style="1" customWidth="1"/>
    <col min="8964" max="8964" width="13.7109375" style="1" customWidth="1"/>
    <col min="8965" max="8965" width="17.5703125" style="1" customWidth="1"/>
    <col min="8966" max="9217" width="9.140625" style="1"/>
    <col min="9218" max="9218" width="82" style="1" customWidth="1"/>
    <col min="9219" max="9219" width="17.5703125" style="1" customWidth="1"/>
    <col min="9220" max="9220" width="13.7109375" style="1" customWidth="1"/>
    <col min="9221" max="9221" width="17.5703125" style="1" customWidth="1"/>
    <col min="9222" max="9473" width="9.140625" style="1"/>
    <col min="9474" max="9474" width="82" style="1" customWidth="1"/>
    <col min="9475" max="9475" width="17.5703125" style="1" customWidth="1"/>
    <col min="9476" max="9476" width="13.7109375" style="1" customWidth="1"/>
    <col min="9477" max="9477" width="17.5703125" style="1" customWidth="1"/>
    <col min="9478" max="9729" width="9.140625" style="1"/>
    <col min="9730" max="9730" width="82" style="1" customWidth="1"/>
    <col min="9731" max="9731" width="17.5703125" style="1" customWidth="1"/>
    <col min="9732" max="9732" width="13.7109375" style="1" customWidth="1"/>
    <col min="9733" max="9733" width="17.5703125" style="1" customWidth="1"/>
    <col min="9734" max="9985" width="9.140625" style="1"/>
    <col min="9986" max="9986" width="82" style="1" customWidth="1"/>
    <col min="9987" max="9987" width="17.5703125" style="1" customWidth="1"/>
    <col min="9988" max="9988" width="13.7109375" style="1" customWidth="1"/>
    <col min="9989" max="9989" width="17.5703125" style="1" customWidth="1"/>
    <col min="9990" max="10241" width="9.140625" style="1"/>
    <col min="10242" max="10242" width="82" style="1" customWidth="1"/>
    <col min="10243" max="10243" width="17.5703125" style="1" customWidth="1"/>
    <col min="10244" max="10244" width="13.7109375" style="1" customWidth="1"/>
    <col min="10245" max="10245" width="17.5703125" style="1" customWidth="1"/>
    <col min="10246" max="10497" width="9.140625" style="1"/>
    <col min="10498" max="10498" width="82" style="1" customWidth="1"/>
    <col min="10499" max="10499" width="17.5703125" style="1" customWidth="1"/>
    <col min="10500" max="10500" width="13.7109375" style="1" customWidth="1"/>
    <col min="10501" max="10501" width="17.5703125" style="1" customWidth="1"/>
    <col min="10502" max="10753" width="9.140625" style="1"/>
    <col min="10754" max="10754" width="82" style="1" customWidth="1"/>
    <col min="10755" max="10755" width="17.5703125" style="1" customWidth="1"/>
    <col min="10756" max="10756" width="13.7109375" style="1" customWidth="1"/>
    <col min="10757" max="10757" width="17.5703125" style="1" customWidth="1"/>
    <col min="10758" max="11009" width="9.140625" style="1"/>
    <col min="11010" max="11010" width="82" style="1" customWidth="1"/>
    <col min="11011" max="11011" width="17.5703125" style="1" customWidth="1"/>
    <col min="11012" max="11012" width="13.7109375" style="1" customWidth="1"/>
    <col min="11013" max="11013" width="17.5703125" style="1" customWidth="1"/>
    <col min="11014" max="11265" width="9.140625" style="1"/>
    <col min="11266" max="11266" width="82" style="1" customWidth="1"/>
    <col min="11267" max="11267" width="17.5703125" style="1" customWidth="1"/>
    <col min="11268" max="11268" width="13.7109375" style="1" customWidth="1"/>
    <col min="11269" max="11269" width="17.5703125" style="1" customWidth="1"/>
    <col min="11270" max="11521" width="9.140625" style="1"/>
    <col min="11522" max="11522" width="82" style="1" customWidth="1"/>
    <col min="11523" max="11523" width="17.5703125" style="1" customWidth="1"/>
    <col min="11524" max="11524" width="13.7109375" style="1" customWidth="1"/>
    <col min="11525" max="11525" width="17.5703125" style="1" customWidth="1"/>
    <col min="11526" max="11777" width="9.140625" style="1"/>
    <col min="11778" max="11778" width="82" style="1" customWidth="1"/>
    <col min="11779" max="11779" width="17.5703125" style="1" customWidth="1"/>
    <col min="11780" max="11780" width="13.7109375" style="1" customWidth="1"/>
    <col min="11781" max="11781" width="17.5703125" style="1" customWidth="1"/>
    <col min="11782" max="12033" width="9.140625" style="1"/>
    <col min="12034" max="12034" width="82" style="1" customWidth="1"/>
    <col min="12035" max="12035" width="17.5703125" style="1" customWidth="1"/>
    <col min="12036" max="12036" width="13.7109375" style="1" customWidth="1"/>
    <col min="12037" max="12037" width="17.5703125" style="1" customWidth="1"/>
    <col min="12038" max="12289" width="9.140625" style="1"/>
    <col min="12290" max="12290" width="82" style="1" customWidth="1"/>
    <col min="12291" max="12291" width="17.5703125" style="1" customWidth="1"/>
    <col min="12292" max="12292" width="13.7109375" style="1" customWidth="1"/>
    <col min="12293" max="12293" width="17.5703125" style="1" customWidth="1"/>
    <col min="12294" max="12545" width="9.140625" style="1"/>
    <col min="12546" max="12546" width="82" style="1" customWidth="1"/>
    <col min="12547" max="12547" width="17.5703125" style="1" customWidth="1"/>
    <col min="12548" max="12548" width="13.7109375" style="1" customWidth="1"/>
    <col min="12549" max="12549" width="17.5703125" style="1" customWidth="1"/>
    <col min="12550" max="12801" width="9.140625" style="1"/>
    <col min="12802" max="12802" width="82" style="1" customWidth="1"/>
    <col min="12803" max="12803" width="17.5703125" style="1" customWidth="1"/>
    <col min="12804" max="12804" width="13.7109375" style="1" customWidth="1"/>
    <col min="12805" max="12805" width="17.5703125" style="1" customWidth="1"/>
    <col min="12806" max="13057" width="9.140625" style="1"/>
    <col min="13058" max="13058" width="82" style="1" customWidth="1"/>
    <col min="13059" max="13059" width="17.5703125" style="1" customWidth="1"/>
    <col min="13060" max="13060" width="13.7109375" style="1" customWidth="1"/>
    <col min="13061" max="13061" width="17.5703125" style="1" customWidth="1"/>
    <col min="13062" max="13313" width="9.140625" style="1"/>
    <col min="13314" max="13314" width="82" style="1" customWidth="1"/>
    <col min="13315" max="13315" width="17.5703125" style="1" customWidth="1"/>
    <col min="13316" max="13316" width="13.7109375" style="1" customWidth="1"/>
    <col min="13317" max="13317" width="17.5703125" style="1" customWidth="1"/>
    <col min="13318" max="13569" width="9.140625" style="1"/>
    <col min="13570" max="13570" width="82" style="1" customWidth="1"/>
    <col min="13571" max="13571" width="17.5703125" style="1" customWidth="1"/>
    <col min="13572" max="13572" width="13.7109375" style="1" customWidth="1"/>
    <col min="13573" max="13573" width="17.5703125" style="1" customWidth="1"/>
    <col min="13574" max="13825" width="9.140625" style="1"/>
    <col min="13826" max="13826" width="82" style="1" customWidth="1"/>
    <col min="13827" max="13827" width="17.5703125" style="1" customWidth="1"/>
    <col min="13828" max="13828" width="13.7109375" style="1" customWidth="1"/>
    <col min="13829" max="13829" width="17.5703125" style="1" customWidth="1"/>
    <col min="13830" max="14081" width="9.140625" style="1"/>
    <col min="14082" max="14082" width="82" style="1" customWidth="1"/>
    <col min="14083" max="14083" width="17.5703125" style="1" customWidth="1"/>
    <col min="14084" max="14084" width="13.7109375" style="1" customWidth="1"/>
    <col min="14085" max="14085" width="17.5703125" style="1" customWidth="1"/>
    <col min="14086" max="14337" width="9.140625" style="1"/>
    <col min="14338" max="14338" width="82" style="1" customWidth="1"/>
    <col min="14339" max="14339" width="17.5703125" style="1" customWidth="1"/>
    <col min="14340" max="14340" width="13.7109375" style="1" customWidth="1"/>
    <col min="14341" max="14341" width="17.5703125" style="1" customWidth="1"/>
    <col min="14342" max="14593" width="9.140625" style="1"/>
    <col min="14594" max="14594" width="82" style="1" customWidth="1"/>
    <col min="14595" max="14595" width="17.5703125" style="1" customWidth="1"/>
    <col min="14596" max="14596" width="13.7109375" style="1" customWidth="1"/>
    <col min="14597" max="14597" width="17.5703125" style="1" customWidth="1"/>
    <col min="14598" max="14849" width="9.140625" style="1"/>
    <col min="14850" max="14850" width="82" style="1" customWidth="1"/>
    <col min="14851" max="14851" width="17.5703125" style="1" customWidth="1"/>
    <col min="14852" max="14852" width="13.7109375" style="1" customWidth="1"/>
    <col min="14853" max="14853" width="17.5703125" style="1" customWidth="1"/>
    <col min="14854" max="15105" width="9.140625" style="1"/>
    <col min="15106" max="15106" width="82" style="1" customWidth="1"/>
    <col min="15107" max="15107" width="17.5703125" style="1" customWidth="1"/>
    <col min="15108" max="15108" width="13.7109375" style="1" customWidth="1"/>
    <col min="15109" max="15109" width="17.5703125" style="1" customWidth="1"/>
    <col min="15110" max="15361" width="9.140625" style="1"/>
    <col min="15362" max="15362" width="82" style="1" customWidth="1"/>
    <col min="15363" max="15363" width="17.5703125" style="1" customWidth="1"/>
    <col min="15364" max="15364" width="13.7109375" style="1" customWidth="1"/>
    <col min="15365" max="15365" width="17.5703125" style="1" customWidth="1"/>
    <col min="15366" max="15617" width="9.140625" style="1"/>
    <col min="15618" max="15618" width="82" style="1" customWidth="1"/>
    <col min="15619" max="15619" width="17.5703125" style="1" customWidth="1"/>
    <col min="15620" max="15620" width="13.7109375" style="1" customWidth="1"/>
    <col min="15621" max="15621" width="17.5703125" style="1" customWidth="1"/>
    <col min="15622" max="15873" width="9.140625" style="1"/>
    <col min="15874" max="15874" width="82" style="1" customWidth="1"/>
    <col min="15875" max="15875" width="17.5703125" style="1" customWidth="1"/>
    <col min="15876" max="15876" width="13.7109375" style="1" customWidth="1"/>
    <col min="15877" max="15877" width="17.5703125" style="1" customWidth="1"/>
    <col min="15878" max="16129" width="9.140625" style="1"/>
    <col min="16130" max="16130" width="82" style="1" customWidth="1"/>
    <col min="16131" max="16131" width="17.5703125" style="1" customWidth="1"/>
    <col min="16132" max="16132" width="13.7109375" style="1" customWidth="1"/>
    <col min="16133" max="16133" width="17.5703125" style="1" customWidth="1"/>
    <col min="16134" max="16384" width="9.140625" style="1"/>
  </cols>
  <sheetData>
    <row r="1" spans="1:37">
      <c r="A1" s="1" t="s">
        <v>1029</v>
      </c>
    </row>
    <row r="4" spans="1:37" s="2" customFormat="1" ht="16.5">
      <c r="A4" s="818" t="s">
        <v>756</v>
      </c>
      <c r="B4" s="818"/>
      <c r="C4" s="818"/>
      <c r="D4" s="818"/>
      <c r="E4" s="818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s="2" customFormat="1">
      <c r="A5" s="3"/>
      <c r="B5" s="3"/>
      <c r="C5" s="3"/>
      <c r="D5" s="3"/>
      <c r="E5" s="3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>
      <c r="E6" s="4" t="s">
        <v>7</v>
      </c>
    </row>
    <row r="7" spans="1:37" s="26" customFormat="1" ht="30.75" customHeight="1">
      <c r="A7" s="30" t="s">
        <v>8</v>
      </c>
      <c r="B7" s="5" t="s">
        <v>0</v>
      </c>
      <c r="C7" s="5" t="s">
        <v>633</v>
      </c>
      <c r="D7" s="5" t="s">
        <v>97</v>
      </c>
      <c r="E7" s="5" t="s">
        <v>757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</row>
    <row r="8" spans="1:37" s="7" customFormat="1" ht="24.75" customHeight="1">
      <c r="A8" s="9" t="s">
        <v>98</v>
      </c>
      <c r="B8" s="10" t="s">
        <v>184</v>
      </c>
      <c r="C8" s="438">
        <v>265577</v>
      </c>
      <c r="D8" s="11">
        <v>0</v>
      </c>
      <c r="E8" s="11">
        <v>658022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s="7" customFormat="1" ht="24.75" customHeight="1">
      <c r="A9" s="9" t="s">
        <v>99</v>
      </c>
      <c r="B9" s="10" t="s">
        <v>185</v>
      </c>
      <c r="C9" s="438">
        <v>29420310</v>
      </c>
      <c r="D9" s="11">
        <v>0</v>
      </c>
      <c r="E9" s="11">
        <v>30168833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s="7" customFormat="1" ht="24.75" customHeight="1">
      <c r="A10" s="12" t="s">
        <v>100</v>
      </c>
      <c r="B10" s="13" t="s">
        <v>186</v>
      </c>
      <c r="C10" s="439">
        <f>SUM(C8:C9)</f>
        <v>29685887</v>
      </c>
      <c r="D10" s="14">
        <v>0</v>
      </c>
      <c r="E10" s="14">
        <f>SUM(E8:E9)</f>
        <v>30826855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</row>
    <row r="11" spans="1:37" s="7" customFormat="1" ht="24.75" customHeight="1">
      <c r="A11" s="9" t="s">
        <v>101</v>
      </c>
      <c r="B11" s="10" t="s">
        <v>187</v>
      </c>
      <c r="C11" s="438">
        <v>14736177590</v>
      </c>
      <c r="D11" s="11">
        <v>0</v>
      </c>
      <c r="E11" s="11">
        <v>14823167106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</row>
    <row r="12" spans="1:37" s="7" customFormat="1" ht="24.75" customHeight="1">
      <c r="A12" s="9" t="s">
        <v>102</v>
      </c>
      <c r="B12" s="10" t="s">
        <v>188</v>
      </c>
      <c r="C12" s="438">
        <v>487672224</v>
      </c>
      <c r="D12" s="11">
        <v>0</v>
      </c>
      <c r="E12" s="11">
        <v>393941940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s="7" customFormat="1" ht="24.75" customHeight="1">
      <c r="A13" s="9" t="s">
        <v>103</v>
      </c>
      <c r="B13" s="10" t="s">
        <v>189</v>
      </c>
      <c r="C13" s="438">
        <v>296465</v>
      </c>
      <c r="D13" s="11">
        <v>0</v>
      </c>
      <c r="E13" s="11">
        <v>48329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37" s="7" customFormat="1" ht="24.75" customHeight="1">
      <c r="A14" s="9" t="s">
        <v>104</v>
      </c>
      <c r="B14" s="10" t="s">
        <v>190</v>
      </c>
      <c r="C14" s="438">
        <v>97390167</v>
      </c>
      <c r="D14" s="11">
        <v>0</v>
      </c>
      <c r="E14" s="11">
        <v>298790176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</row>
    <row r="15" spans="1:37" s="7" customFormat="1" ht="24.75" customHeight="1">
      <c r="A15" s="12" t="s">
        <v>105</v>
      </c>
      <c r="B15" s="13" t="s">
        <v>44</v>
      </c>
      <c r="C15" s="439">
        <f>SUM(C11:C14)</f>
        <v>15321536446</v>
      </c>
      <c r="D15" s="14">
        <v>0</v>
      </c>
      <c r="E15" s="14">
        <f>SUM(E11:E14)</f>
        <v>15515947551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1:37" s="7" customFormat="1" ht="24.75" customHeight="1">
      <c r="A16" s="9" t="s">
        <v>106</v>
      </c>
      <c r="B16" s="10" t="s">
        <v>192</v>
      </c>
      <c r="C16" s="438">
        <v>131926200</v>
      </c>
      <c r="D16" s="11">
        <v>0</v>
      </c>
      <c r="E16" s="11">
        <v>131966200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1:37" s="7" customFormat="1" ht="24.75" customHeight="1">
      <c r="A17" s="9" t="s">
        <v>107</v>
      </c>
      <c r="B17" s="10" t="s">
        <v>191</v>
      </c>
      <c r="C17" s="438">
        <v>131926200</v>
      </c>
      <c r="D17" s="11">
        <v>0</v>
      </c>
      <c r="E17" s="11">
        <v>131966200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7" s="7" customFormat="1" ht="24.75" customHeight="1">
      <c r="A18" s="12" t="s">
        <v>108</v>
      </c>
      <c r="B18" s="13" t="s">
        <v>195</v>
      </c>
      <c r="C18" s="439">
        <f>SUM(C16)</f>
        <v>131926200</v>
      </c>
      <c r="D18" s="14">
        <v>0</v>
      </c>
      <c r="E18" s="14">
        <f>SUM(E16)</f>
        <v>131966200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1:37" s="7" customFormat="1" ht="24.75" customHeight="1">
      <c r="A19" s="9" t="s">
        <v>109</v>
      </c>
      <c r="B19" s="10" t="s">
        <v>194</v>
      </c>
      <c r="C19" s="438">
        <v>87367159</v>
      </c>
      <c r="D19" s="11">
        <v>0</v>
      </c>
      <c r="E19" s="11">
        <v>81560395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</row>
    <row r="20" spans="1:37" s="7" customFormat="1" ht="24.75" customHeight="1">
      <c r="A20" s="9" t="s">
        <v>110</v>
      </c>
      <c r="B20" s="10" t="s">
        <v>193</v>
      </c>
      <c r="C20" s="438">
        <v>87367159</v>
      </c>
      <c r="D20" s="11">
        <v>0</v>
      </c>
      <c r="E20" s="11">
        <v>81560395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</row>
    <row r="21" spans="1:37" s="7" customFormat="1" ht="24.75" customHeight="1">
      <c r="A21" s="12" t="s">
        <v>111</v>
      </c>
      <c r="B21" s="13" t="s">
        <v>194</v>
      </c>
      <c r="C21" s="439">
        <f>SUM(C19)</f>
        <v>87367159</v>
      </c>
      <c r="D21" s="14">
        <v>0</v>
      </c>
      <c r="E21" s="14">
        <f>SUM(E19)</f>
        <v>81560395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1:37" s="7" customFormat="1" ht="24.75" customHeight="1">
      <c r="A22" s="12" t="s">
        <v>9</v>
      </c>
      <c r="B22" s="13" t="s">
        <v>196</v>
      </c>
      <c r="C22" s="439">
        <f>SUM(C10+C15+C18+C21)</f>
        <v>15570515692</v>
      </c>
      <c r="D22" s="14">
        <v>0</v>
      </c>
      <c r="E22" s="14">
        <f>SUM(E10+E15+E18+E21)</f>
        <v>15760301001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</row>
    <row r="23" spans="1:37" s="7" customFormat="1" ht="24.75" customHeight="1">
      <c r="A23" s="9" t="s">
        <v>112</v>
      </c>
      <c r="B23" s="10" t="s">
        <v>197</v>
      </c>
      <c r="C23" s="438">
        <v>6198081</v>
      </c>
      <c r="D23" s="11">
        <v>0</v>
      </c>
      <c r="E23" s="11">
        <v>5741588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</row>
    <row r="24" spans="1:37" s="7" customFormat="1" ht="24.75" customHeight="1">
      <c r="A24" s="9" t="s">
        <v>113</v>
      </c>
      <c r="B24" s="10" t="s">
        <v>198</v>
      </c>
      <c r="C24" s="438">
        <v>8325657</v>
      </c>
      <c r="D24" s="11">
        <v>0</v>
      </c>
      <c r="E24" s="11">
        <v>10188001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</row>
    <row r="25" spans="1:37" s="7" customFormat="1" ht="24.75" customHeight="1">
      <c r="A25" s="9" t="s">
        <v>114</v>
      </c>
      <c r="B25" s="10" t="s">
        <v>199</v>
      </c>
      <c r="C25" s="438">
        <v>126750</v>
      </c>
      <c r="D25" s="11">
        <v>0</v>
      </c>
      <c r="E25" s="11">
        <v>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</row>
    <row r="26" spans="1:37" s="7" customFormat="1" ht="24.75" customHeight="1">
      <c r="A26" s="12" t="s">
        <v>10</v>
      </c>
      <c r="B26" s="13" t="s">
        <v>48</v>
      </c>
      <c r="C26" s="439">
        <f>SUM(C23:C25)</f>
        <v>14650488</v>
      </c>
      <c r="D26" s="14">
        <v>0</v>
      </c>
      <c r="E26" s="14">
        <f>SUM(E23:E25)</f>
        <v>15929589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</row>
    <row r="27" spans="1:37" s="7" customFormat="1" ht="24.75" customHeight="1">
      <c r="A27" s="12" t="s">
        <v>11</v>
      </c>
      <c r="B27" s="13" t="s">
        <v>200</v>
      </c>
      <c r="C27" s="439">
        <f>SUM(C26)</f>
        <v>14650488</v>
      </c>
      <c r="D27" s="14">
        <v>0</v>
      </c>
      <c r="E27" s="14">
        <f>SUM(E26)</f>
        <v>15929589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</row>
    <row r="28" spans="1:37" s="7" customFormat="1" ht="24.75" customHeight="1">
      <c r="A28" s="9" t="s">
        <v>115</v>
      </c>
      <c r="B28" s="10" t="s">
        <v>201</v>
      </c>
      <c r="C28" s="438">
        <v>1212130</v>
      </c>
      <c r="D28" s="11">
        <v>0</v>
      </c>
      <c r="E28" s="11">
        <v>1041475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</row>
    <row r="29" spans="1:37" s="7" customFormat="1" ht="24.75" customHeight="1">
      <c r="A29" s="9" t="s">
        <v>116</v>
      </c>
      <c r="B29" s="10" t="s">
        <v>202</v>
      </c>
      <c r="C29" s="438">
        <v>281411</v>
      </c>
      <c r="D29" s="11">
        <v>0</v>
      </c>
      <c r="E29" s="11">
        <v>168206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</row>
    <row r="30" spans="1:37" s="7" customFormat="1" ht="24.75" customHeight="1">
      <c r="A30" s="12" t="s">
        <v>12</v>
      </c>
      <c r="B30" s="13" t="s">
        <v>203</v>
      </c>
      <c r="C30" s="439">
        <f>SUM(C28:C29)</f>
        <v>1493541</v>
      </c>
      <c r="D30" s="14">
        <v>0</v>
      </c>
      <c r="E30" s="14">
        <f>SUM(E28:E29)</f>
        <v>1209681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</row>
    <row r="31" spans="1:37" s="7" customFormat="1" ht="24.75" customHeight="1">
      <c r="A31" s="9" t="s">
        <v>117</v>
      </c>
      <c r="B31" s="10" t="s">
        <v>204</v>
      </c>
      <c r="C31" s="438">
        <v>1460167841</v>
      </c>
      <c r="D31" s="11">
        <v>0</v>
      </c>
      <c r="E31" s="11">
        <v>1595977800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</row>
    <row r="32" spans="1:37" s="7" customFormat="1" ht="24.75" customHeight="1">
      <c r="A32" s="436" t="s">
        <v>634</v>
      </c>
      <c r="B32" s="437" t="s">
        <v>635</v>
      </c>
      <c r="C32" s="438">
        <v>1327036135</v>
      </c>
      <c r="D32" s="438">
        <v>0</v>
      </c>
      <c r="E32" s="438">
        <v>1934371977</v>
      </c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  <c r="AA32" s="440"/>
      <c r="AB32" s="440"/>
      <c r="AC32" s="440"/>
      <c r="AD32" s="440"/>
      <c r="AE32" s="440"/>
      <c r="AF32" s="440"/>
      <c r="AG32" s="440"/>
      <c r="AH32" s="440"/>
      <c r="AI32" s="440"/>
      <c r="AJ32" s="440"/>
      <c r="AK32" s="440"/>
    </row>
    <row r="33" spans="1:37" s="7" customFormat="1" ht="24.75" customHeight="1">
      <c r="A33" s="12" t="s">
        <v>119</v>
      </c>
      <c r="B33" s="13" t="s">
        <v>205</v>
      </c>
      <c r="C33" s="439">
        <f>SUM(C31:C32)</f>
        <v>2787203976</v>
      </c>
      <c r="D33" s="14">
        <v>0</v>
      </c>
      <c r="E33" s="14">
        <f>SUM(E31:E32)</f>
        <v>3530349777</v>
      </c>
      <c r="F33" s="730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</row>
    <row r="34" spans="1:37" s="7" customFormat="1" ht="24.75" customHeight="1">
      <c r="A34" s="9" t="s">
        <v>118</v>
      </c>
      <c r="B34" s="10" t="s">
        <v>206</v>
      </c>
      <c r="C34" s="438">
        <v>9826501</v>
      </c>
      <c r="D34" s="11">
        <v>0</v>
      </c>
      <c r="E34" s="11">
        <v>9855240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37" s="7" customFormat="1" ht="24.75" customHeight="1">
      <c r="A35" s="12" t="s">
        <v>120</v>
      </c>
      <c r="B35" s="13" t="s">
        <v>207</v>
      </c>
      <c r="C35" s="439">
        <f>SUM(C34)</f>
        <v>9826501</v>
      </c>
      <c r="D35" s="14">
        <v>0</v>
      </c>
      <c r="E35" s="14">
        <f>SUM(E34)</f>
        <v>9855240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</row>
    <row r="36" spans="1:37" s="7" customFormat="1" ht="24.75" customHeight="1">
      <c r="A36" s="12" t="s">
        <v>121</v>
      </c>
      <c r="B36" s="13" t="s">
        <v>52</v>
      </c>
      <c r="C36" s="439">
        <f>SUM(C33+C35+C30)</f>
        <v>2798524018</v>
      </c>
      <c r="D36" s="14">
        <v>0</v>
      </c>
      <c r="E36" s="14">
        <f>SUM(E33+E35+E30)</f>
        <v>3541414698</v>
      </c>
      <c r="F36" s="730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</row>
    <row r="37" spans="1:37" s="7" customFormat="1" ht="24.75" customHeight="1">
      <c r="A37" s="9" t="s">
        <v>122</v>
      </c>
      <c r="B37" s="10" t="s">
        <v>208</v>
      </c>
      <c r="C37" s="438">
        <v>28820194</v>
      </c>
      <c r="D37" s="11">
        <v>0</v>
      </c>
      <c r="E37" s="11">
        <v>27254611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</row>
    <row r="38" spans="1:37" s="7" customFormat="1" ht="24.75" customHeight="1">
      <c r="A38" s="9" t="s">
        <v>124</v>
      </c>
      <c r="B38" s="10" t="s">
        <v>210</v>
      </c>
      <c r="C38" s="438">
        <v>13171517</v>
      </c>
      <c r="D38" s="11">
        <v>0</v>
      </c>
      <c r="E38" s="11">
        <v>16469018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</row>
    <row r="39" spans="1:37" s="7" customFormat="1" ht="24.75" customHeight="1">
      <c r="A39" s="9" t="s">
        <v>125</v>
      </c>
      <c r="B39" s="10" t="s">
        <v>211</v>
      </c>
      <c r="C39" s="438">
        <v>15648677</v>
      </c>
      <c r="D39" s="11">
        <v>0</v>
      </c>
      <c r="E39" s="11">
        <v>10785593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</row>
    <row r="40" spans="1:37" s="7" customFormat="1" ht="24.75" customHeight="1">
      <c r="A40" s="9" t="s">
        <v>126</v>
      </c>
      <c r="B40" s="10" t="s">
        <v>212</v>
      </c>
      <c r="C40" s="438">
        <v>176906379</v>
      </c>
      <c r="D40" s="11">
        <v>0</v>
      </c>
      <c r="E40" s="11">
        <f>SUM(E41+E43+E44+E45+E46+E47)</f>
        <v>228384376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</row>
    <row r="41" spans="1:37" s="7" customFormat="1" ht="16.5" customHeight="1">
      <c r="A41" s="31" t="s">
        <v>127</v>
      </c>
      <c r="B41" s="32" t="s">
        <v>215</v>
      </c>
      <c r="C41" s="819">
        <v>3651350</v>
      </c>
      <c r="D41" s="819">
        <v>0</v>
      </c>
      <c r="E41" s="819">
        <v>4074339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</row>
    <row r="42" spans="1:37" s="7" customFormat="1" ht="17.25" customHeight="1">
      <c r="A42" s="33"/>
      <c r="B42" s="34" t="s">
        <v>214</v>
      </c>
      <c r="C42" s="820"/>
      <c r="D42" s="820"/>
      <c r="E42" s="82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</row>
    <row r="43" spans="1:37" s="7" customFormat="1" ht="24.75" customHeight="1">
      <c r="A43" s="9" t="s">
        <v>128</v>
      </c>
      <c r="B43" s="10" t="s">
        <v>213</v>
      </c>
      <c r="C43" s="438">
        <v>36844281</v>
      </c>
      <c r="D43" s="11">
        <v>0</v>
      </c>
      <c r="E43" s="11">
        <v>71888873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</row>
    <row r="44" spans="1:37" s="7" customFormat="1" ht="24.75" customHeight="1">
      <c r="A44" s="9" t="s">
        <v>129</v>
      </c>
      <c r="B44" s="10" t="s">
        <v>216</v>
      </c>
      <c r="C44" s="438">
        <v>3379842</v>
      </c>
      <c r="D44" s="11">
        <v>0</v>
      </c>
      <c r="E44" s="11">
        <v>3348205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</row>
    <row r="45" spans="1:37" s="7" customFormat="1" ht="24.75" customHeight="1">
      <c r="A45" s="9" t="s">
        <v>130</v>
      </c>
      <c r="B45" s="10" t="s">
        <v>217</v>
      </c>
      <c r="C45" s="438">
        <v>2155597</v>
      </c>
      <c r="D45" s="11">
        <v>0</v>
      </c>
      <c r="E45" s="11">
        <v>16171132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</row>
    <row r="46" spans="1:37" s="7" customFormat="1" ht="39" customHeight="1">
      <c r="A46" s="9" t="s">
        <v>132</v>
      </c>
      <c r="B46" s="10" t="s">
        <v>219</v>
      </c>
      <c r="C46" s="438">
        <v>81029122</v>
      </c>
      <c r="D46" s="11">
        <v>0</v>
      </c>
      <c r="E46" s="11">
        <v>75497205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</row>
    <row r="47" spans="1:37" s="7" customFormat="1" ht="24.75" customHeight="1">
      <c r="A47" s="9" t="s">
        <v>131</v>
      </c>
      <c r="B47" s="10" t="s">
        <v>218</v>
      </c>
      <c r="C47" s="438">
        <v>49846187</v>
      </c>
      <c r="D47" s="11">
        <v>0</v>
      </c>
      <c r="E47" s="11">
        <v>57404622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</row>
    <row r="48" spans="1:37" s="7" customFormat="1" ht="24.75" customHeight="1">
      <c r="A48" s="9" t="s">
        <v>133</v>
      </c>
      <c r="B48" s="10" t="s">
        <v>220</v>
      </c>
      <c r="C48" s="438">
        <v>2607913</v>
      </c>
      <c r="D48" s="11">
        <v>0</v>
      </c>
      <c r="E48" s="11">
        <v>3072993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</row>
    <row r="49" spans="1:37" s="7" customFormat="1" ht="24.75" customHeight="1">
      <c r="A49" s="9" t="s">
        <v>134</v>
      </c>
      <c r="B49" s="10" t="s">
        <v>221</v>
      </c>
      <c r="C49" s="438">
        <v>2607913</v>
      </c>
      <c r="D49" s="11">
        <v>0</v>
      </c>
      <c r="E49" s="11">
        <v>3072993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1:37" s="7" customFormat="1" ht="24.75" customHeight="1">
      <c r="A50" s="9" t="s">
        <v>135</v>
      </c>
      <c r="B50" s="10" t="s">
        <v>222</v>
      </c>
      <c r="C50" s="438">
        <v>5186945</v>
      </c>
      <c r="D50" s="11">
        <v>0</v>
      </c>
      <c r="E50" s="438">
        <v>3278435</v>
      </c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  <row r="51" spans="1:37" s="26" customFormat="1" ht="30.75" customHeight="1">
      <c r="A51" s="30" t="s">
        <v>8</v>
      </c>
      <c r="B51" s="5" t="s">
        <v>0</v>
      </c>
      <c r="C51" s="5" t="s">
        <v>633</v>
      </c>
      <c r="D51" s="5" t="s">
        <v>97</v>
      </c>
      <c r="E51" s="5" t="s">
        <v>757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</row>
    <row r="52" spans="1:37" s="7" customFormat="1" ht="18" customHeight="1">
      <c r="A52" s="31" t="s">
        <v>136</v>
      </c>
      <c r="B52" s="32" t="s">
        <v>223</v>
      </c>
      <c r="C52" s="819">
        <v>5186945</v>
      </c>
      <c r="D52" s="819">
        <v>0</v>
      </c>
      <c r="E52" s="819">
        <v>3278435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</row>
    <row r="53" spans="1:37" s="7" customFormat="1" ht="18" customHeight="1">
      <c r="A53" s="33"/>
      <c r="B53" s="34" t="s">
        <v>224</v>
      </c>
      <c r="C53" s="820"/>
      <c r="D53" s="820"/>
      <c r="E53" s="820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</row>
    <row r="54" spans="1:37" s="7" customFormat="1" ht="24.75" customHeight="1">
      <c r="A54" s="12" t="s">
        <v>14</v>
      </c>
      <c r="B54" s="13" t="s">
        <v>53</v>
      </c>
      <c r="C54" s="439">
        <f>SUM(C37+C40+C48+C50)</f>
        <v>213521431</v>
      </c>
      <c r="D54" s="14">
        <v>0</v>
      </c>
      <c r="E54" s="14">
        <f>SUM(E37+E40+E48+E50)</f>
        <v>261990415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</row>
    <row r="55" spans="1:37" s="7" customFormat="1" ht="24.75" customHeight="1">
      <c r="A55" s="9" t="s">
        <v>137</v>
      </c>
      <c r="B55" s="10" t="s">
        <v>225</v>
      </c>
      <c r="C55" s="438">
        <v>325124</v>
      </c>
      <c r="D55" s="11">
        <v>0</v>
      </c>
      <c r="E55" s="11">
        <v>228674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</row>
    <row r="56" spans="1:37" s="7" customFormat="1" ht="23.25" customHeight="1">
      <c r="A56" s="436" t="s">
        <v>138</v>
      </c>
      <c r="B56" s="437" t="s">
        <v>636</v>
      </c>
      <c r="C56" s="438">
        <v>30450</v>
      </c>
      <c r="D56" s="438">
        <v>0</v>
      </c>
      <c r="E56" s="438">
        <v>4000</v>
      </c>
      <c r="F56" s="440"/>
      <c r="G56" s="440"/>
      <c r="H56" s="440"/>
      <c r="I56" s="440"/>
      <c r="J56" s="440"/>
      <c r="K56" s="440"/>
      <c r="L56" s="440"/>
      <c r="M56" s="440"/>
      <c r="N56" s="440"/>
      <c r="O56" s="440"/>
      <c r="P56" s="440"/>
      <c r="Q56" s="440"/>
      <c r="R56" s="440"/>
      <c r="S56" s="440"/>
      <c r="T56" s="440"/>
      <c r="U56" s="440"/>
      <c r="V56" s="440"/>
      <c r="W56" s="440"/>
      <c r="X56" s="440"/>
      <c r="Y56" s="440"/>
      <c r="Z56" s="440"/>
      <c r="AA56" s="440"/>
      <c r="AB56" s="440"/>
      <c r="AC56" s="440"/>
      <c r="AD56" s="440"/>
      <c r="AE56" s="440"/>
      <c r="AF56" s="440"/>
      <c r="AG56" s="440"/>
      <c r="AH56" s="440"/>
      <c r="AI56" s="440"/>
      <c r="AJ56" s="440"/>
      <c r="AK56" s="440"/>
    </row>
    <row r="57" spans="1:37" s="7" customFormat="1" ht="23.25" customHeight="1">
      <c r="A57" s="9" t="s">
        <v>138</v>
      </c>
      <c r="B57" s="10" t="s">
        <v>637</v>
      </c>
      <c r="C57" s="438">
        <v>294674</v>
      </c>
      <c r="D57" s="11">
        <v>0</v>
      </c>
      <c r="E57" s="11">
        <v>224674</v>
      </c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</row>
    <row r="58" spans="1:37" s="7" customFormat="1" ht="24.75" customHeight="1">
      <c r="A58" s="9" t="s">
        <v>139</v>
      </c>
      <c r="B58" s="10" t="s">
        <v>226</v>
      </c>
      <c r="C58" s="438">
        <v>3227710</v>
      </c>
      <c r="D58" s="11">
        <v>0</v>
      </c>
      <c r="E58" s="11">
        <v>370003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</row>
    <row r="59" spans="1:37" s="7" customFormat="1" ht="24.75" customHeight="1">
      <c r="A59" s="9" t="s">
        <v>140</v>
      </c>
      <c r="B59" s="10" t="s">
        <v>227</v>
      </c>
      <c r="C59" s="438">
        <v>3227710</v>
      </c>
      <c r="D59" s="11">
        <v>0</v>
      </c>
      <c r="E59" s="11">
        <v>370003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</row>
    <row r="60" spans="1:37" s="7" customFormat="1" ht="24.75" customHeight="1">
      <c r="A60" s="9" t="s">
        <v>141</v>
      </c>
      <c r="B60" s="10" t="s">
        <v>228</v>
      </c>
      <c r="C60" s="438">
        <v>17847000</v>
      </c>
      <c r="D60" s="11">
        <v>0</v>
      </c>
      <c r="E60" s="11">
        <v>11702500</v>
      </c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</row>
    <row r="61" spans="1:37" s="7" customFormat="1" ht="18" customHeight="1">
      <c r="A61" s="31" t="s">
        <v>142</v>
      </c>
      <c r="B61" s="32" t="s">
        <v>267</v>
      </c>
      <c r="C61" s="819">
        <v>17847000</v>
      </c>
      <c r="D61" s="819">
        <v>0</v>
      </c>
      <c r="E61" s="819">
        <v>11702500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</row>
    <row r="62" spans="1:37" s="7" customFormat="1" ht="18" customHeight="1">
      <c r="A62" s="33"/>
      <c r="B62" s="34" t="s">
        <v>266</v>
      </c>
      <c r="C62" s="820"/>
      <c r="D62" s="820"/>
      <c r="E62" s="820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</row>
    <row r="63" spans="1:37" s="7" customFormat="1" ht="24.75" customHeight="1">
      <c r="A63" s="9" t="s">
        <v>143</v>
      </c>
      <c r="B63" s="10" t="s">
        <v>229</v>
      </c>
      <c r="C63" s="438">
        <v>176878828</v>
      </c>
      <c r="D63" s="11">
        <v>0</v>
      </c>
      <c r="E63" s="11">
        <v>116653000</v>
      </c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</row>
    <row r="64" spans="1:37" s="26" customFormat="1" ht="18.75" customHeight="1">
      <c r="A64" s="31" t="s">
        <v>144</v>
      </c>
      <c r="B64" s="32" t="s">
        <v>268</v>
      </c>
      <c r="C64" s="819">
        <v>176878828</v>
      </c>
      <c r="D64" s="819">
        <v>0</v>
      </c>
      <c r="E64" s="819">
        <v>116653000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</row>
    <row r="65" spans="1:37" s="7" customFormat="1" ht="18" customHeight="1">
      <c r="A65" s="33"/>
      <c r="B65" s="34" t="s">
        <v>266</v>
      </c>
      <c r="C65" s="820"/>
      <c r="D65" s="820"/>
      <c r="E65" s="820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</row>
    <row r="66" spans="1:37" s="7" customFormat="1" ht="24.75" customHeight="1">
      <c r="A66" s="12" t="s">
        <v>145</v>
      </c>
      <c r="B66" s="13" t="s">
        <v>230</v>
      </c>
      <c r="C66" s="439">
        <f>SUM(C55+C58+C60+C63)</f>
        <v>198278662</v>
      </c>
      <c r="D66" s="14">
        <v>0</v>
      </c>
      <c r="E66" s="14">
        <f>SUM(E55+E58+E60+E63)</f>
        <v>128954177</v>
      </c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</row>
    <row r="67" spans="1:37" s="7" customFormat="1" ht="24.75" customHeight="1">
      <c r="A67" s="9" t="s">
        <v>146</v>
      </c>
      <c r="B67" s="10" t="s">
        <v>231</v>
      </c>
      <c r="C67" s="438">
        <v>55145203</v>
      </c>
      <c r="D67" s="11">
        <v>0</v>
      </c>
      <c r="E67" s="11">
        <f>SUM(E68:E71)</f>
        <v>207234172</v>
      </c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</row>
    <row r="68" spans="1:37" s="7" customFormat="1" ht="24.75" customHeight="1">
      <c r="A68" s="9" t="s">
        <v>147</v>
      </c>
      <c r="B68" s="10" t="s">
        <v>232</v>
      </c>
      <c r="C68" s="438">
        <v>43066579</v>
      </c>
      <c r="D68" s="11">
        <v>0</v>
      </c>
      <c r="E68" s="11">
        <v>181552989</v>
      </c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</row>
    <row r="69" spans="1:37" s="7" customFormat="1" ht="24.75" customHeight="1">
      <c r="A69" s="436" t="s">
        <v>638</v>
      </c>
      <c r="B69" s="437" t="s">
        <v>639</v>
      </c>
      <c r="C69" s="438">
        <v>11343529</v>
      </c>
      <c r="D69" s="438">
        <v>0</v>
      </c>
      <c r="E69" s="438">
        <v>24475696</v>
      </c>
      <c r="F69" s="440"/>
      <c r="G69" s="440"/>
      <c r="H69" s="440"/>
      <c r="I69" s="440"/>
      <c r="J69" s="440"/>
      <c r="K69" s="440"/>
      <c r="L69" s="440"/>
      <c r="M69" s="440"/>
      <c r="N69" s="440"/>
      <c r="O69" s="440"/>
      <c r="P69" s="440"/>
      <c r="Q69" s="440"/>
      <c r="R69" s="440"/>
      <c r="S69" s="440"/>
      <c r="T69" s="440"/>
      <c r="U69" s="440"/>
      <c r="V69" s="440"/>
      <c r="W69" s="440"/>
      <c r="X69" s="440"/>
      <c r="Y69" s="440"/>
      <c r="Z69" s="440"/>
      <c r="AA69" s="440"/>
      <c r="AB69" s="440"/>
      <c r="AC69" s="440"/>
      <c r="AD69" s="440"/>
      <c r="AE69" s="440"/>
      <c r="AF69" s="440"/>
      <c r="AG69" s="440"/>
      <c r="AH69" s="440"/>
      <c r="AI69" s="440"/>
      <c r="AJ69" s="440"/>
      <c r="AK69" s="440"/>
    </row>
    <row r="70" spans="1:37" s="7" customFormat="1" ht="24.75" customHeight="1">
      <c r="A70" s="9" t="s">
        <v>148</v>
      </c>
      <c r="B70" s="10" t="s">
        <v>233</v>
      </c>
      <c r="C70" s="438">
        <v>694999</v>
      </c>
      <c r="D70" s="11">
        <v>0</v>
      </c>
      <c r="E70" s="11">
        <v>564666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</row>
    <row r="71" spans="1:37" s="7" customFormat="1" ht="24.75" customHeight="1">
      <c r="A71" s="9" t="s">
        <v>149</v>
      </c>
      <c r="B71" s="10" t="s">
        <v>234</v>
      </c>
      <c r="C71" s="438">
        <v>40096</v>
      </c>
      <c r="D71" s="11">
        <v>0</v>
      </c>
      <c r="E71" s="11">
        <v>640821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</row>
    <row r="72" spans="1:37" s="7" customFormat="1" ht="24.75" customHeight="1">
      <c r="A72" s="436" t="s">
        <v>640</v>
      </c>
      <c r="B72" s="437" t="s">
        <v>641</v>
      </c>
      <c r="C72" s="438">
        <v>350859</v>
      </c>
      <c r="D72" s="438">
        <v>0</v>
      </c>
      <c r="E72" s="438">
        <v>0</v>
      </c>
      <c r="F72" s="440"/>
      <c r="G72" s="440"/>
      <c r="H72" s="440"/>
      <c r="I72" s="440"/>
      <c r="J72" s="440"/>
      <c r="K72" s="440"/>
      <c r="L72" s="440"/>
      <c r="M72" s="440"/>
      <c r="N72" s="440"/>
      <c r="O72" s="440"/>
      <c r="P72" s="440"/>
      <c r="Q72" s="440"/>
      <c r="R72" s="440"/>
      <c r="S72" s="440"/>
      <c r="T72" s="440"/>
      <c r="U72" s="440"/>
      <c r="V72" s="440"/>
      <c r="W72" s="440"/>
      <c r="X72" s="440"/>
      <c r="Y72" s="440"/>
      <c r="Z72" s="440"/>
      <c r="AA72" s="440"/>
      <c r="AB72" s="440"/>
      <c r="AC72" s="440"/>
      <c r="AD72" s="440"/>
      <c r="AE72" s="440"/>
      <c r="AF72" s="440"/>
      <c r="AG72" s="440"/>
      <c r="AH72" s="440"/>
      <c r="AI72" s="440"/>
      <c r="AJ72" s="440"/>
      <c r="AK72" s="440"/>
    </row>
    <row r="73" spans="1:37" s="7" customFormat="1" ht="24.75" customHeight="1">
      <c r="A73" s="9" t="s">
        <v>150</v>
      </c>
      <c r="B73" s="10" t="s">
        <v>235</v>
      </c>
      <c r="C73" s="438">
        <v>3102000</v>
      </c>
      <c r="D73" s="11">
        <v>0</v>
      </c>
      <c r="E73" s="11">
        <v>3102000</v>
      </c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</row>
    <row r="74" spans="1:37" s="7" customFormat="1" ht="24.75" customHeight="1">
      <c r="A74" s="12" t="s">
        <v>152</v>
      </c>
      <c r="B74" s="13" t="s">
        <v>237</v>
      </c>
      <c r="C74" s="439">
        <f>SUM(C67+C72+C73)</f>
        <v>58598062</v>
      </c>
      <c r="D74" s="14">
        <v>0</v>
      </c>
      <c r="E74" s="14">
        <f>SUM(E67+E72+E73)</f>
        <v>210336172</v>
      </c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</row>
    <row r="75" spans="1:37" s="7" customFormat="1" ht="24.75" customHeight="1">
      <c r="A75" s="12" t="s">
        <v>153</v>
      </c>
      <c r="B75" s="13" t="s">
        <v>238</v>
      </c>
      <c r="C75" s="439">
        <f>SUM(C54+C66+C74)</f>
        <v>470398155</v>
      </c>
      <c r="D75" s="14">
        <v>0</v>
      </c>
      <c r="E75" s="14">
        <f>SUM(E54+E66+E74)</f>
        <v>601280764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</row>
    <row r="76" spans="1:37" s="7" customFormat="1" ht="24.75" customHeight="1">
      <c r="A76" s="9" t="s">
        <v>154</v>
      </c>
      <c r="B76" s="10" t="s">
        <v>239</v>
      </c>
      <c r="C76" s="438">
        <v>374000</v>
      </c>
      <c r="D76" s="11">
        <v>0</v>
      </c>
      <c r="E76" s="11">
        <v>1943000</v>
      </c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</row>
    <row r="77" spans="1:37" s="7" customFormat="1" ht="24.75" customHeight="1">
      <c r="A77" s="436" t="s">
        <v>758</v>
      </c>
      <c r="B77" s="437" t="s">
        <v>759</v>
      </c>
      <c r="C77" s="438">
        <v>0</v>
      </c>
      <c r="D77" s="438">
        <v>0</v>
      </c>
      <c r="E77" s="438">
        <v>55423624</v>
      </c>
      <c r="F77" s="440"/>
      <c r="G77" s="440"/>
      <c r="H77" s="440"/>
      <c r="I77" s="440"/>
      <c r="J77" s="440"/>
      <c r="K77" s="440"/>
      <c r="L77" s="440"/>
      <c r="M77" s="440"/>
      <c r="N77" s="440"/>
      <c r="O77" s="440"/>
      <c r="P77" s="440"/>
      <c r="Q77" s="440"/>
      <c r="R77" s="440"/>
      <c r="S77" s="440"/>
      <c r="T77" s="440"/>
      <c r="U77" s="440"/>
      <c r="V77" s="440"/>
      <c r="W77" s="440"/>
      <c r="X77" s="440"/>
      <c r="Y77" s="440"/>
      <c r="Z77" s="440"/>
      <c r="AA77" s="440"/>
      <c r="AB77" s="440"/>
      <c r="AC77" s="440"/>
      <c r="AD77" s="440"/>
      <c r="AE77" s="440"/>
      <c r="AF77" s="440"/>
      <c r="AG77" s="440"/>
      <c r="AH77" s="440"/>
      <c r="AI77" s="440"/>
      <c r="AJ77" s="440"/>
      <c r="AK77" s="440"/>
    </row>
    <row r="78" spans="1:37" s="7" customFormat="1" ht="24.75" customHeight="1">
      <c r="A78" s="12" t="s">
        <v>155</v>
      </c>
      <c r="B78" s="13" t="s">
        <v>240</v>
      </c>
      <c r="C78" s="439">
        <f>SUM(C76:C77)</f>
        <v>374000</v>
      </c>
      <c r="D78" s="14">
        <v>0</v>
      </c>
      <c r="E78" s="14">
        <f>SUM(E76:E77)</f>
        <v>57366624</v>
      </c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</row>
    <row r="79" spans="1:37" s="7" customFormat="1" ht="24.75" customHeight="1">
      <c r="A79" s="9" t="s">
        <v>156</v>
      </c>
      <c r="B79" s="10" t="s">
        <v>241</v>
      </c>
      <c r="C79" s="438">
        <v>-6804733</v>
      </c>
      <c r="D79" s="11">
        <v>0</v>
      </c>
      <c r="E79" s="11">
        <v>-6744371</v>
      </c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</row>
    <row r="80" spans="1:37" s="27" customFormat="1" ht="24.75" customHeight="1">
      <c r="A80" s="12" t="s">
        <v>157</v>
      </c>
      <c r="B80" s="13" t="s">
        <v>242</v>
      </c>
      <c r="C80" s="439">
        <f>SUM(C79)</f>
        <v>-6804733</v>
      </c>
      <c r="D80" s="14">
        <v>0</v>
      </c>
      <c r="E80" s="14">
        <f>SUM(E79)</f>
        <v>-6744371</v>
      </c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</row>
    <row r="81" spans="1:37" s="7" customFormat="1" ht="24.75" customHeight="1">
      <c r="A81" s="9" t="s">
        <v>158</v>
      </c>
      <c r="B81" s="10" t="s">
        <v>243</v>
      </c>
      <c r="C81" s="438">
        <v>668127</v>
      </c>
      <c r="D81" s="11">
        <v>0</v>
      </c>
      <c r="E81" s="11">
        <v>0</v>
      </c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</row>
    <row r="82" spans="1:37" s="7" customFormat="1" ht="24.75" customHeight="1">
      <c r="A82" s="9" t="s">
        <v>159</v>
      </c>
      <c r="B82" s="10" t="s">
        <v>269</v>
      </c>
      <c r="C82" s="438">
        <v>367500</v>
      </c>
      <c r="D82" s="11">
        <v>0</v>
      </c>
      <c r="E82" s="11">
        <v>855000</v>
      </c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</row>
    <row r="83" spans="1:37" s="7" customFormat="1" ht="24.75" customHeight="1">
      <c r="A83" s="12" t="s">
        <v>160</v>
      </c>
      <c r="B83" s="13" t="s">
        <v>244</v>
      </c>
      <c r="C83" s="439">
        <f>SUM(C81:C82)</f>
        <v>1035627</v>
      </c>
      <c r="D83" s="14">
        <v>0</v>
      </c>
      <c r="E83" s="14">
        <f>SUM(E81:E82)</f>
        <v>855000</v>
      </c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</row>
    <row r="84" spans="1:37" s="7" customFormat="1" ht="24.75" customHeight="1">
      <c r="A84" s="12" t="s">
        <v>161</v>
      </c>
      <c r="B84" s="13" t="s">
        <v>245</v>
      </c>
      <c r="C84" s="439">
        <v>-5395106</v>
      </c>
      <c r="D84" s="14">
        <v>0</v>
      </c>
      <c r="E84" s="14">
        <v>51477253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</row>
    <row r="85" spans="1:37" s="7" customFormat="1" ht="24.75" customHeight="1">
      <c r="A85" s="9" t="s">
        <v>162</v>
      </c>
      <c r="B85" s="10" t="s">
        <v>246</v>
      </c>
      <c r="C85" s="438">
        <v>14180303</v>
      </c>
      <c r="D85" s="11">
        <v>0</v>
      </c>
      <c r="E85" s="11">
        <v>3206247</v>
      </c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</row>
    <row r="86" spans="1:37" s="7" customFormat="1" ht="24.75" customHeight="1">
      <c r="A86" s="12" t="s">
        <v>163</v>
      </c>
      <c r="B86" s="13" t="s">
        <v>247</v>
      </c>
      <c r="C86" s="439">
        <f>SUM(C85)</f>
        <v>14180303</v>
      </c>
      <c r="D86" s="14">
        <v>0</v>
      </c>
      <c r="E86" s="14">
        <f>SUM(E85)</f>
        <v>3206247</v>
      </c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</row>
    <row r="87" spans="1:37" s="7" customFormat="1" ht="24.75" customHeight="1">
      <c r="A87" s="15" t="s">
        <v>164</v>
      </c>
      <c r="B87" s="16" t="s">
        <v>4</v>
      </c>
      <c r="C87" s="17">
        <f>SUM(C22+C27+C36+C75+C84+C86)</f>
        <v>18862873550</v>
      </c>
      <c r="D87" s="17">
        <v>0</v>
      </c>
      <c r="E87" s="17">
        <f>SUM(E22+E27+E36+E75+E84+E86)</f>
        <v>19973609552</v>
      </c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</row>
    <row r="88" spans="1:37" s="7" customFormat="1" ht="24.75" customHeight="1">
      <c r="A88" s="9" t="s">
        <v>165</v>
      </c>
      <c r="B88" s="10" t="s">
        <v>248</v>
      </c>
      <c r="C88" s="438">
        <v>16561591404</v>
      </c>
      <c r="D88" s="11">
        <v>0</v>
      </c>
      <c r="E88" s="11">
        <v>16691319078</v>
      </c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</row>
    <row r="89" spans="1:37" s="7" customFormat="1" ht="24.75" customHeight="1">
      <c r="A89" s="9" t="s">
        <v>166</v>
      </c>
      <c r="B89" s="10" t="s">
        <v>249</v>
      </c>
      <c r="C89" s="438">
        <v>3018969624</v>
      </c>
      <c r="D89" s="11">
        <v>0</v>
      </c>
      <c r="E89" s="11">
        <v>2824376294</v>
      </c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</row>
    <row r="90" spans="1:37" s="7" customFormat="1" ht="24.75" customHeight="1">
      <c r="A90" s="9" t="s">
        <v>167</v>
      </c>
      <c r="B90" s="10" t="s">
        <v>250</v>
      </c>
      <c r="C90" s="438">
        <v>407955406</v>
      </c>
      <c r="D90" s="11">
        <v>0</v>
      </c>
      <c r="E90" s="11">
        <v>407969715</v>
      </c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</row>
    <row r="91" spans="1:37" s="7" customFormat="1" ht="24.75" customHeight="1">
      <c r="A91" s="9" t="s">
        <v>15</v>
      </c>
      <c r="B91" s="10" t="s">
        <v>60</v>
      </c>
      <c r="C91" s="438">
        <v>-4390459590</v>
      </c>
      <c r="D91" s="11">
        <v>0</v>
      </c>
      <c r="E91" s="11">
        <v>-4577345297</v>
      </c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</row>
    <row r="92" spans="1:37" s="7" customFormat="1" ht="24.75" customHeight="1">
      <c r="A92" s="9" t="s">
        <v>169</v>
      </c>
      <c r="B92" s="10" t="s">
        <v>61</v>
      </c>
      <c r="C92" s="438">
        <v>-444878181</v>
      </c>
      <c r="D92" s="11">
        <v>0</v>
      </c>
      <c r="E92" s="11">
        <v>-642567798</v>
      </c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</row>
    <row r="93" spans="1:37" s="7" customFormat="1" ht="24.75" customHeight="1">
      <c r="A93" s="12" t="s">
        <v>37</v>
      </c>
      <c r="B93" s="13" t="s">
        <v>252</v>
      </c>
      <c r="C93" s="439">
        <f>SUM(C88+C89+C91+C92+C90)</f>
        <v>15153178663</v>
      </c>
      <c r="D93" s="14">
        <v>0</v>
      </c>
      <c r="E93" s="14">
        <f>SUM(E88+E89+E90+E91+E92)</f>
        <v>14703751992</v>
      </c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</row>
    <row r="94" spans="1:37" s="7" customFormat="1" ht="24.75" customHeight="1">
      <c r="A94" s="436" t="s">
        <v>760</v>
      </c>
      <c r="B94" s="437" t="s">
        <v>761</v>
      </c>
      <c r="C94" s="438">
        <v>0</v>
      </c>
      <c r="D94" s="438">
        <v>0</v>
      </c>
      <c r="E94" s="438">
        <v>321603</v>
      </c>
      <c r="F94" s="440"/>
      <c r="G94" s="440"/>
      <c r="H94" s="440"/>
      <c r="I94" s="440"/>
      <c r="J94" s="440"/>
      <c r="K94" s="440"/>
      <c r="L94" s="440"/>
      <c r="M94" s="440"/>
      <c r="N94" s="440"/>
      <c r="O94" s="440"/>
      <c r="P94" s="440"/>
      <c r="Q94" s="440"/>
      <c r="R94" s="440"/>
      <c r="S94" s="440"/>
      <c r="T94" s="440"/>
      <c r="U94" s="440"/>
      <c r="V94" s="440"/>
      <c r="W94" s="440"/>
      <c r="X94" s="440"/>
      <c r="Y94" s="440"/>
      <c r="Z94" s="440"/>
      <c r="AA94" s="440"/>
      <c r="AB94" s="440"/>
      <c r="AC94" s="440"/>
      <c r="AD94" s="440"/>
      <c r="AE94" s="440"/>
      <c r="AF94" s="440"/>
      <c r="AG94" s="440"/>
      <c r="AH94" s="440"/>
      <c r="AI94" s="440"/>
      <c r="AJ94" s="440"/>
      <c r="AK94" s="440"/>
    </row>
    <row r="95" spans="1:37" s="7" customFormat="1" ht="24.75" customHeight="1">
      <c r="A95" s="436" t="s">
        <v>170</v>
      </c>
      <c r="B95" s="437" t="s">
        <v>253</v>
      </c>
      <c r="C95" s="438">
        <v>26109645</v>
      </c>
      <c r="D95" s="438">
        <v>0</v>
      </c>
      <c r="E95" s="438">
        <v>50566261</v>
      </c>
      <c r="F95" s="440"/>
      <c r="G95" s="440"/>
      <c r="H95" s="440"/>
      <c r="I95" s="440"/>
      <c r="J95" s="440"/>
      <c r="K95" s="440"/>
      <c r="L95" s="440"/>
      <c r="M95" s="440"/>
      <c r="N95" s="440"/>
      <c r="O95" s="440"/>
      <c r="P95" s="440"/>
      <c r="Q95" s="440"/>
      <c r="R95" s="440"/>
      <c r="S95" s="440"/>
      <c r="T95" s="440"/>
      <c r="U95" s="440"/>
      <c r="V95" s="440"/>
      <c r="W95" s="440"/>
      <c r="X95" s="440"/>
      <c r="Y95" s="440"/>
      <c r="Z95" s="440"/>
      <c r="AA95" s="440"/>
      <c r="AB95" s="440"/>
      <c r="AC95" s="440"/>
      <c r="AD95" s="440"/>
      <c r="AE95" s="440"/>
      <c r="AF95" s="440"/>
      <c r="AG95" s="440"/>
      <c r="AH95" s="440"/>
      <c r="AI95" s="440"/>
      <c r="AJ95" s="440"/>
      <c r="AK95" s="440"/>
    </row>
    <row r="96" spans="1:37" s="7" customFormat="1" ht="24.75" customHeight="1">
      <c r="A96" s="436" t="s">
        <v>171</v>
      </c>
      <c r="B96" s="437" t="s">
        <v>254</v>
      </c>
      <c r="C96" s="438">
        <v>1397000</v>
      </c>
      <c r="D96" s="11">
        <v>0</v>
      </c>
      <c r="E96" s="11">
        <v>2425848</v>
      </c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</row>
    <row r="97" spans="1:37" s="7" customFormat="1" ht="24.75" customHeight="1">
      <c r="A97" s="9" t="s">
        <v>762</v>
      </c>
      <c r="B97" s="10" t="s">
        <v>763</v>
      </c>
      <c r="C97" s="438">
        <v>0</v>
      </c>
      <c r="D97" s="11">
        <v>0</v>
      </c>
      <c r="E97" s="11">
        <v>81954104</v>
      </c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</row>
    <row r="98" spans="1:37" s="7" customFormat="1" ht="24.75" customHeight="1">
      <c r="A98" s="12" t="s">
        <v>172</v>
      </c>
      <c r="B98" s="13" t="s">
        <v>255</v>
      </c>
      <c r="C98" s="439">
        <f>SUM(C94:C97)</f>
        <v>27506645</v>
      </c>
      <c r="D98" s="14">
        <v>0</v>
      </c>
      <c r="E98" s="14">
        <f>SUM(E94:E97)</f>
        <v>135267816</v>
      </c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</row>
    <row r="99" spans="1:37" s="7" customFormat="1" ht="24.75" customHeight="1">
      <c r="A99" s="9" t="s">
        <v>173</v>
      </c>
      <c r="B99" s="10" t="s">
        <v>256</v>
      </c>
      <c r="C99" s="438">
        <v>984619</v>
      </c>
      <c r="D99" s="11">
        <v>0</v>
      </c>
      <c r="E99" s="11">
        <v>16151060</v>
      </c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</row>
    <row r="100" spans="1:37" s="7" customFormat="1" ht="24.75" customHeight="1">
      <c r="A100" s="436" t="s">
        <v>764</v>
      </c>
      <c r="B100" s="437" t="s">
        <v>765</v>
      </c>
      <c r="C100" s="438">
        <v>0</v>
      </c>
      <c r="D100" s="438">
        <v>0</v>
      </c>
      <c r="E100" s="438">
        <v>15478688</v>
      </c>
      <c r="F100" s="440"/>
      <c r="G100" s="440"/>
      <c r="H100" s="440"/>
      <c r="I100" s="440"/>
      <c r="J100" s="440"/>
      <c r="K100" s="440"/>
      <c r="L100" s="440"/>
      <c r="M100" s="440"/>
      <c r="N100" s="440"/>
      <c r="O100" s="440"/>
      <c r="P100" s="440"/>
      <c r="Q100" s="440"/>
      <c r="R100" s="440"/>
      <c r="S100" s="440"/>
      <c r="T100" s="440"/>
      <c r="U100" s="440"/>
      <c r="V100" s="440"/>
      <c r="W100" s="440"/>
      <c r="X100" s="440"/>
      <c r="Y100" s="440"/>
      <c r="Z100" s="440"/>
      <c r="AA100" s="440"/>
      <c r="AB100" s="440"/>
      <c r="AC100" s="440"/>
      <c r="AD100" s="440"/>
      <c r="AE100" s="440"/>
      <c r="AF100" s="440"/>
      <c r="AG100" s="440"/>
      <c r="AH100" s="440"/>
      <c r="AI100" s="440"/>
      <c r="AJ100" s="440"/>
      <c r="AK100" s="440"/>
    </row>
    <row r="101" spans="1:37" s="7" customFormat="1" ht="24.75" customHeight="1">
      <c r="A101" s="9" t="s">
        <v>174</v>
      </c>
      <c r="B101" s="10" t="s">
        <v>257</v>
      </c>
      <c r="C101" s="438">
        <v>58439181</v>
      </c>
      <c r="D101" s="11">
        <v>0</v>
      </c>
      <c r="E101" s="11">
        <v>61201257</v>
      </c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</row>
    <row r="102" spans="1:37" s="7" customFormat="1" ht="24.75" customHeight="1">
      <c r="A102" s="9" t="s">
        <v>175</v>
      </c>
      <c r="B102" s="10" t="s">
        <v>270</v>
      </c>
      <c r="C102" s="438">
        <v>58439181</v>
      </c>
      <c r="D102" s="11">
        <v>0</v>
      </c>
      <c r="E102" s="11">
        <v>61201257</v>
      </c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</row>
    <row r="103" spans="1:37" s="7" customFormat="1" ht="24.75" customHeight="1">
      <c r="A103" s="12" t="s">
        <v>16</v>
      </c>
      <c r="B103" s="13" t="s">
        <v>6</v>
      </c>
      <c r="C103" s="439">
        <f>SUM(C99:C101)</f>
        <v>59423800</v>
      </c>
      <c r="D103" s="14">
        <v>0</v>
      </c>
      <c r="E103" s="14">
        <f>SUM(E99:E101)</f>
        <v>92831005</v>
      </c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</row>
    <row r="104" spans="1:37" s="7" customFormat="1" ht="24.75" customHeight="1">
      <c r="A104" s="9" t="s">
        <v>176</v>
      </c>
      <c r="B104" s="10" t="s">
        <v>258</v>
      </c>
      <c r="C104" s="438">
        <v>41217394</v>
      </c>
      <c r="D104" s="11">
        <v>0</v>
      </c>
      <c r="E104" s="11">
        <v>32268696</v>
      </c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</row>
    <row r="105" spans="1:37" s="7" customFormat="1" ht="24.75" customHeight="1">
      <c r="A105" s="9" t="s">
        <v>177</v>
      </c>
      <c r="B105" s="10" t="s">
        <v>259</v>
      </c>
      <c r="C105" s="438">
        <v>1459450</v>
      </c>
      <c r="D105" s="11">
        <v>0</v>
      </c>
      <c r="E105" s="11">
        <v>2451650</v>
      </c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</row>
    <row r="106" spans="1:37" s="26" customFormat="1" ht="30.75" customHeight="1">
      <c r="A106" s="30" t="s">
        <v>8</v>
      </c>
      <c r="B106" s="5" t="s">
        <v>0</v>
      </c>
      <c r="C106" s="5" t="s">
        <v>633</v>
      </c>
      <c r="D106" s="5" t="s">
        <v>97</v>
      </c>
      <c r="E106" s="5" t="s">
        <v>757</v>
      </c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</row>
    <row r="107" spans="1:37" s="27" customFormat="1" ht="24.75" customHeight="1">
      <c r="A107" s="9" t="s">
        <v>178</v>
      </c>
      <c r="B107" s="10" t="s">
        <v>260</v>
      </c>
      <c r="C107" s="438">
        <v>1097878</v>
      </c>
      <c r="D107" s="11">
        <v>0</v>
      </c>
      <c r="E107" s="11">
        <v>989251</v>
      </c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</row>
    <row r="108" spans="1:37" s="7" customFormat="1" ht="24.75" customHeight="1">
      <c r="A108" s="12" t="s">
        <v>17</v>
      </c>
      <c r="B108" s="13" t="s">
        <v>261</v>
      </c>
      <c r="C108" s="439">
        <f>SUM(C104+C105+C107)</f>
        <v>43774722</v>
      </c>
      <c r="D108" s="14">
        <v>0</v>
      </c>
      <c r="E108" s="14">
        <f>SUM(E104+E105+E107)</f>
        <v>35709597</v>
      </c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</row>
    <row r="109" spans="1:37" ht="24.75" customHeight="1">
      <c r="A109" s="12" t="s">
        <v>179</v>
      </c>
      <c r="B109" s="13" t="s">
        <v>262</v>
      </c>
      <c r="C109" s="439">
        <f>SUM(C98+C103+C108)</f>
        <v>130705167</v>
      </c>
      <c r="D109" s="14">
        <v>0</v>
      </c>
      <c r="E109" s="14">
        <f>SUM(E98+E103+E108)</f>
        <v>263808418</v>
      </c>
    </row>
    <row r="110" spans="1:37" ht="24.75" customHeight="1">
      <c r="A110" s="9" t="s">
        <v>180</v>
      </c>
      <c r="B110" s="10" t="s">
        <v>263</v>
      </c>
      <c r="C110" s="438">
        <v>3328758679</v>
      </c>
      <c r="D110" s="11">
        <v>0</v>
      </c>
      <c r="E110" s="11">
        <v>4768653507</v>
      </c>
    </row>
    <row r="111" spans="1:37" ht="24.75" customHeight="1">
      <c r="A111" s="9" t="s">
        <v>181</v>
      </c>
      <c r="B111" s="10" t="s">
        <v>264</v>
      </c>
      <c r="C111" s="438">
        <v>130707428</v>
      </c>
      <c r="D111" s="11">
        <v>0</v>
      </c>
      <c r="E111" s="11">
        <v>120971282</v>
      </c>
    </row>
    <row r="112" spans="1:37" ht="24.75" customHeight="1">
      <c r="A112" s="9" t="s">
        <v>182</v>
      </c>
      <c r="B112" s="10" t="s">
        <v>265</v>
      </c>
      <c r="C112" s="438">
        <v>119523613</v>
      </c>
      <c r="D112" s="11">
        <v>0</v>
      </c>
      <c r="E112" s="11">
        <v>116424353</v>
      </c>
    </row>
    <row r="113" spans="1:6" ht="24.75" customHeight="1">
      <c r="A113" s="12" t="s">
        <v>183</v>
      </c>
      <c r="B113" s="13" t="s">
        <v>67</v>
      </c>
      <c r="C113" s="439">
        <f>SUM(C110:C112)</f>
        <v>3578989720</v>
      </c>
      <c r="D113" s="14">
        <v>0</v>
      </c>
      <c r="E113" s="14">
        <f>SUM(E110:E112)</f>
        <v>5006049142</v>
      </c>
    </row>
    <row r="114" spans="1:6" ht="24.75" customHeight="1">
      <c r="A114" s="15" t="s">
        <v>42</v>
      </c>
      <c r="B114" s="16" t="s">
        <v>5</v>
      </c>
      <c r="C114" s="17">
        <f>SUM(C93+C109+C113)</f>
        <v>18862873550</v>
      </c>
      <c r="D114" s="17">
        <v>0</v>
      </c>
      <c r="E114" s="17">
        <f>SUM(E93+E109+E113)</f>
        <v>19973609552</v>
      </c>
      <c r="F114" s="729"/>
    </row>
    <row r="115" spans="1:6">
      <c r="E115" s="275">
        <f>SUM(E87-E114)</f>
        <v>0</v>
      </c>
    </row>
  </sheetData>
  <mergeCells count="13">
    <mergeCell ref="A4:E4"/>
    <mergeCell ref="C41:C42"/>
    <mergeCell ref="D41:D42"/>
    <mergeCell ref="E41:E42"/>
    <mergeCell ref="C64:C65"/>
    <mergeCell ref="D64:D65"/>
    <mergeCell ref="E64:E65"/>
    <mergeCell ref="C52:C53"/>
    <mergeCell ref="D52:D53"/>
    <mergeCell ref="E52:E53"/>
    <mergeCell ref="C61:C62"/>
    <mergeCell ref="D61:D62"/>
    <mergeCell ref="E61:E62"/>
  </mergeCells>
  <pageMargins left="0.7" right="0.7" top="0.75" bottom="0.75" header="0.3" footer="0.3"/>
  <pageSetup paperSize="9" scale="57" orientation="portrait" horizontalDpi="300" verticalDpi="300" r:id="rId1"/>
  <rowBreaks count="2" manualBreakCount="2">
    <brk id="50" max="16383" man="1"/>
    <brk id="1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219"/>
  <sheetViews>
    <sheetView view="pageBreakPreview" zoomScale="98" zoomScaleNormal="98" zoomScaleSheetLayoutView="98" workbookViewId="0"/>
  </sheetViews>
  <sheetFormatPr defaultRowHeight="15.75"/>
  <cols>
    <col min="1" max="1" width="13.140625" style="8" customWidth="1"/>
    <col min="2" max="2" width="85.140625" style="1" customWidth="1"/>
    <col min="3" max="4" width="30.85546875" style="1" customWidth="1"/>
    <col min="5" max="35" width="9.140625" style="21"/>
    <col min="36" max="255" width="9.140625" style="1"/>
    <col min="256" max="256" width="82" style="1" customWidth="1"/>
    <col min="257" max="257" width="17.5703125" style="1" customWidth="1"/>
    <col min="258" max="258" width="13.7109375" style="1" customWidth="1"/>
    <col min="259" max="259" width="17.5703125" style="1" customWidth="1"/>
    <col min="260" max="511" width="9.140625" style="1"/>
    <col min="512" max="512" width="82" style="1" customWidth="1"/>
    <col min="513" max="513" width="17.5703125" style="1" customWidth="1"/>
    <col min="514" max="514" width="13.7109375" style="1" customWidth="1"/>
    <col min="515" max="515" width="17.5703125" style="1" customWidth="1"/>
    <col min="516" max="767" width="9.140625" style="1"/>
    <col min="768" max="768" width="82" style="1" customWidth="1"/>
    <col min="769" max="769" width="17.5703125" style="1" customWidth="1"/>
    <col min="770" max="770" width="13.7109375" style="1" customWidth="1"/>
    <col min="771" max="771" width="17.5703125" style="1" customWidth="1"/>
    <col min="772" max="1023" width="9.140625" style="1"/>
    <col min="1024" max="1024" width="82" style="1" customWidth="1"/>
    <col min="1025" max="1025" width="17.5703125" style="1" customWidth="1"/>
    <col min="1026" max="1026" width="13.7109375" style="1" customWidth="1"/>
    <col min="1027" max="1027" width="17.5703125" style="1" customWidth="1"/>
    <col min="1028" max="1279" width="9.140625" style="1"/>
    <col min="1280" max="1280" width="82" style="1" customWidth="1"/>
    <col min="1281" max="1281" width="17.5703125" style="1" customWidth="1"/>
    <col min="1282" max="1282" width="13.7109375" style="1" customWidth="1"/>
    <col min="1283" max="1283" width="17.5703125" style="1" customWidth="1"/>
    <col min="1284" max="1535" width="9.140625" style="1"/>
    <col min="1536" max="1536" width="82" style="1" customWidth="1"/>
    <col min="1537" max="1537" width="17.5703125" style="1" customWidth="1"/>
    <col min="1538" max="1538" width="13.7109375" style="1" customWidth="1"/>
    <col min="1539" max="1539" width="17.5703125" style="1" customWidth="1"/>
    <col min="1540" max="1791" width="9.140625" style="1"/>
    <col min="1792" max="1792" width="82" style="1" customWidth="1"/>
    <col min="1793" max="1793" width="17.5703125" style="1" customWidth="1"/>
    <col min="1794" max="1794" width="13.7109375" style="1" customWidth="1"/>
    <col min="1795" max="1795" width="17.5703125" style="1" customWidth="1"/>
    <col min="1796" max="2047" width="9.140625" style="1"/>
    <col min="2048" max="2048" width="82" style="1" customWidth="1"/>
    <col min="2049" max="2049" width="17.5703125" style="1" customWidth="1"/>
    <col min="2050" max="2050" width="13.7109375" style="1" customWidth="1"/>
    <col min="2051" max="2051" width="17.5703125" style="1" customWidth="1"/>
    <col min="2052" max="2303" width="9.140625" style="1"/>
    <col min="2304" max="2304" width="82" style="1" customWidth="1"/>
    <col min="2305" max="2305" width="17.5703125" style="1" customWidth="1"/>
    <col min="2306" max="2306" width="13.7109375" style="1" customWidth="1"/>
    <col min="2307" max="2307" width="17.5703125" style="1" customWidth="1"/>
    <col min="2308" max="2559" width="9.140625" style="1"/>
    <col min="2560" max="2560" width="82" style="1" customWidth="1"/>
    <col min="2561" max="2561" width="17.5703125" style="1" customWidth="1"/>
    <col min="2562" max="2562" width="13.7109375" style="1" customWidth="1"/>
    <col min="2563" max="2563" width="17.5703125" style="1" customWidth="1"/>
    <col min="2564" max="2815" width="9.140625" style="1"/>
    <col min="2816" max="2816" width="82" style="1" customWidth="1"/>
    <col min="2817" max="2817" width="17.5703125" style="1" customWidth="1"/>
    <col min="2818" max="2818" width="13.7109375" style="1" customWidth="1"/>
    <col min="2819" max="2819" width="17.5703125" style="1" customWidth="1"/>
    <col min="2820" max="3071" width="9.140625" style="1"/>
    <col min="3072" max="3072" width="82" style="1" customWidth="1"/>
    <col min="3073" max="3073" width="17.5703125" style="1" customWidth="1"/>
    <col min="3074" max="3074" width="13.7109375" style="1" customWidth="1"/>
    <col min="3075" max="3075" width="17.5703125" style="1" customWidth="1"/>
    <col min="3076" max="3327" width="9.140625" style="1"/>
    <col min="3328" max="3328" width="82" style="1" customWidth="1"/>
    <col min="3329" max="3329" width="17.5703125" style="1" customWidth="1"/>
    <col min="3330" max="3330" width="13.7109375" style="1" customWidth="1"/>
    <col min="3331" max="3331" width="17.5703125" style="1" customWidth="1"/>
    <col min="3332" max="3583" width="9.140625" style="1"/>
    <col min="3584" max="3584" width="82" style="1" customWidth="1"/>
    <col min="3585" max="3585" width="17.5703125" style="1" customWidth="1"/>
    <col min="3586" max="3586" width="13.7109375" style="1" customWidth="1"/>
    <col min="3587" max="3587" width="17.5703125" style="1" customWidth="1"/>
    <col min="3588" max="3839" width="9.140625" style="1"/>
    <col min="3840" max="3840" width="82" style="1" customWidth="1"/>
    <col min="3841" max="3841" width="17.5703125" style="1" customWidth="1"/>
    <col min="3842" max="3842" width="13.7109375" style="1" customWidth="1"/>
    <col min="3843" max="3843" width="17.5703125" style="1" customWidth="1"/>
    <col min="3844" max="4095" width="9.140625" style="1"/>
    <col min="4096" max="4096" width="82" style="1" customWidth="1"/>
    <col min="4097" max="4097" width="17.5703125" style="1" customWidth="1"/>
    <col min="4098" max="4098" width="13.7109375" style="1" customWidth="1"/>
    <col min="4099" max="4099" width="17.5703125" style="1" customWidth="1"/>
    <col min="4100" max="4351" width="9.140625" style="1"/>
    <col min="4352" max="4352" width="82" style="1" customWidth="1"/>
    <col min="4353" max="4353" width="17.5703125" style="1" customWidth="1"/>
    <col min="4354" max="4354" width="13.7109375" style="1" customWidth="1"/>
    <col min="4355" max="4355" width="17.5703125" style="1" customWidth="1"/>
    <col min="4356" max="4607" width="9.140625" style="1"/>
    <col min="4608" max="4608" width="82" style="1" customWidth="1"/>
    <col min="4609" max="4609" width="17.5703125" style="1" customWidth="1"/>
    <col min="4610" max="4610" width="13.7109375" style="1" customWidth="1"/>
    <col min="4611" max="4611" width="17.5703125" style="1" customWidth="1"/>
    <col min="4612" max="4863" width="9.140625" style="1"/>
    <col min="4864" max="4864" width="82" style="1" customWidth="1"/>
    <col min="4865" max="4865" width="17.5703125" style="1" customWidth="1"/>
    <col min="4866" max="4866" width="13.7109375" style="1" customWidth="1"/>
    <col min="4867" max="4867" width="17.5703125" style="1" customWidth="1"/>
    <col min="4868" max="5119" width="9.140625" style="1"/>
    <col min="5120" max="5120" width="82" style="1" customWidth="1"/>
    <col min="5121" max="5121" width="17.5703125" style="1" customWidth="1"/>
    <col min="5122" max="5122" width="13.7109375" style="1" customWidth="1"/>
    <col min="5123" max="5123" width="17.5703125" style="1" customWidth="1"/>
    <col min="5124" max="5375" width="9.140625" style="1"/>
    <col min="5376" max="5376" width="82" style="1" customWidth="1"/>
    <col min="5377" max="5377" width="17.5703125" style="1" customWidth="1"/>
    <col min="5378" max="5378" width="13.7109375" style="1" customWidth="1"/>
    <col min="5379" max="5379" width="17.5703125" style="1" customWidth="1"/>
    <col min="5380" max="5631" width="9.140625" style="1"/>
    <col min="5632" max="5632" width="82" style="1" customWidth="1"/>
    <col min="5633" max="5633" width="17.5703125" style="1" customWidth="1"/>
    <col min="5634" max="5634" width="13.7109375" style="1" customWidth="1"/>
    <col min="5635" max="5635" width="17.5703125" style="1" customWidth="1"/>
    <col min="5636" max="5887" width="9.140625" style="1"/>
    <col min="5888" max="5888" width="82" style="1" customWidth="1"/>
    <col min="5889" max="5889" width="17.5703125" style="1" customWidth="1"/>
    <col min="5890" max="5890" width="13.7109375" style="1" customWidth="1"/>
    <col min="5891" max="5891" width="17.5703125" style="1" customWidth="1"/>
    <col min="5892" max="6143" width="9.140625" style="1"/>
    <col min="6144" max="6144" width="82" style="1" customWidth="1"/>
    <col min="6145" max="6145" width="17.5703125" style="1" customWidth="1"/>
    <col min="6146" max="6146" width="13.7109375" style="1" customWidth="1"/>
    <col min="6147" max="6147" width="17.5703125" style="1" customWidth="1"/>
    <col min="6148" max="6399" width="9.140625" style="1"/>
    <col min="6400" max="6400" width="82" style="1" customWidth="1"/>
    <col min="6401" max="6401" width="17.5703125" style="1" customWidth="1"/>
    <col min="6402" max="6402" width="13.7109375" style="1" customWidth="1"/>
    <col min="6403" max="6403" width="17.5703125" style="1" customWidth="1"/>
    <col min="6404" max="6655" width="9.140625" style="1"/>
    <col min="6656" max="6656" width="82" style="1" customWidth="1"/>
    <col min="6657" max="6657" width="17.5703125" style="1" customWidth="1"/>
    <col min="6658" max="6658" width="13.7109375" style="1" customWidth="1"/>
    <col min="6659" max="6659" width="17.5703125" style="1" customWidth="1"/>
    <col min="6660" max="6911" width="9.140625" style="1"/>
    <col min="6912" max="6912" width="82" style="1" customWidth="1"/>
    <col min="6913" max="6913" width="17.5703125" style="1" customWidth="1"/>
    <col min="6914" max="6914" width="13.7109375" style="1" customWidth="1"/>
    <col min="6915" max="6915" width="17.5703125" style="1" customWidth="1"/>
    <col min="6916" max="7167" width="9.140625" style="1"/>
    <col min="7168" max="7168" width="82" style="1" customWidth="1"/>
    <col min="7169" max="7169" width="17.5703125" style="1" customWidth="1"/>
    <col min="7170" max="7170" width="13.7109375" style="1" customWidth="1"/>
    <col min="7171" max="7171" width="17.5703125" style="1" customWidth="1"/>
    <col min="7172" max="7423" width="9.140625" style="1"/>
    <col min="7424" max="7424" width="82" style="1" customWidth="1"/>
    <col min="7425" max="7425" width="17.5703125" style="1" customWidth="1"/>
    <col min="7426" max="7426" width="13.7109375" style="1" customWidth="1"/>
    <col min="7427" max="7427" width="17.5703125" style="1" customWidth="1"/>
    <col min="7428" max="7679" width="9.140625" style="1"/>
    <col min="7680" max="7680" width="82" style="1" customWidth="1"/>
    <col min="7681" max="7681" width="17.5703125" style="1" customWidth="1"/>
    <col min="7682" max="7682" width="13.7109375" style="1" customWidth="1"/>
    <col min="7683" max="7683" width="17.5703125" style="1" customWidth="1"/>
    <col min="7684" max="7935" width="9.140625" style="1"/>
    <col min="7936" max="7936" width="82" style="1" customWidth="1"/>
    <col min="7937" max="7937" width="17.5703125" style="1" customWidth="1"/>
    <col min="7938" max="7938" width="13.7109375" style="1" customWidth="1"/>
    <col min="7939" max="7939" width="17.5703125" style="1" customWidth="1"/>
    <col min="7940" max="8191" width="9.140625" style="1"/>
    <col min="8192" max="8192" width="82" style="1" customWidth="1"/>
    <col min="8193" max="8193" width="17.5703125" style="1" customWidth="1"/>
    <col min="8194" max="8194" width="13.7109375" style="1" customWidth="1"/>
    <col min="8195" max="8195" width="17.5703125" style="1" customWidth="1"/>
    <col min="8196" max="8447" width="9.140625" style="1"/>
    <col min="8448" max="8448" width="82" style="1" customWidth="1"/>
    <col min="8449" max="8449" width="17.5703125" style="1" customWidth="1"/>
    <col min="8450" max="8450" width="13.7109375" style="1" customWidth="1"/>
    <col min="8451" max="8451" width="17.5703125" style="1" customWidth="1"/>
    <col min="8452" max="8703" width="9.140625" style="1"/>
    <col min="8704" max="8704" width="82" style="1" customWidth="1"/>
    <col min="8705" max="8705" width="17.5703125" style="1" customWidth="1"/>
    <col min="8706" max="8706" width="13.7109375" style="1" customWidth="1"/>
    <col min="8707" max="8707" width="17.5703125" style="1" customWidth="1"/>
    <col min="8708" max="8959" width="9.140625" style="1"/>
    <col min="8960" max="8960" width="82" style="1" customWidth="1"/>
    <col min="8961" max="8961" width="17.5703125" style="1" customWidth="1"/>
    <col min="8962" max="8962" width="13.7109375" style="1" customWidth="1"/>
    <col min="8963" max="8963" width="17.5703125" style="1" customWidth="1"/>
    <col min="8964" max="9215" width="9.140625" style="1"/>
    <col min="9216" max="9216" width="82" style="1" customWidth="1"/>
    <col min="9217" max="9217" width="17.5703125" style="1" customWidth="1"/>
    <col min="9218" max="9218" width="13.7109375" style="1" customWidth="1"/>
    <col min="9219" max="9219" width="17.5703125" style="1" customWidth="1"/>
    <col min="9220" max="9471" width="9.140625" style="1"/>
    <col min="9472" max="9472" width="82" style="1" customWidth="1"/>
    <col min="9473" max="9473" width="17.5703125" style="1" customWidth="1"/>
    <col min="9474" max="9474" width="13.7109375" style="1" customWidth="1"/>
    <col min="9475" max="9475" width="17.5703125" style="1" customWidth="1"/>
    <col min="9476" max="9727" width="9.140625" style="1"/>
    <col min="9728" max="9728" width="82" style="1" customWidth="1"/>
    <col min="9729" max="9729" width="17.5703125" style="1" customWidth="1"/>
    <col min="9730" max="9730" width="13.7109375" style="1" customWidth="1"/>
    <col min="9731" max="9731" width="17.5703125" style="1" customWidth="1"/>
    <col min="9732" max="9983" width="9.140625" style="1"/>
    <col min="9984" max="9984" width="82" style="1" customWidth="1"/>
    <col min="9985" max="9985" width="17.5703125" style="1" customWidth="1"/>
    <col min="9986" max="9986" width="13.7109375" style="1" customWidth="1"/>
    <col min="9987" max="9987" width="17.5703125" style="1" customWidth="1"/>
    <col min="9988" max="10239" width="9.140625" style="1"/>
    <col min="10240" max="10240" width="82" style="1" customWidth="1"/>
    <col min="10241" max="10241" width="17.5703125" style="1" customWidth="1"/>
    <col min="10242" max="10242" width="13.7109375" style="1" customWidth="1"/>
    <col min="10243" max="10243" width="17.5703125" style="1" customWidth="1"/>
    <col min="10244" max="10495" width="9.140625" style="1"/>
    <col min="10496" max="10496" width="82" style="1" customWidth="1"/>
    <col min="10497" max="10497" width="17.5703125" style="1" customWidth="1"/>
    <col min="10498" max="10498" width="13.7109375" style="1" customWidth="1"/>
    <col min="10499" max="10499" width="17.5703125" style="1" customWidth="1"/>
    <col min="10500" max="10751" width="9.140625" style="1"/>
    <col min="10752" max="10752" width="82" style="1" customWidth="1"/>
    <col min="10753" max="10753" width="17.5703125" style="1" customWidth="1"/>
    <col min="10754" max="10754" width="13.7109375" style="1" customWidth="1"/>
    <col min="10755" max="10755" width="17.5703125" style="1" customWidth="1"/>
    <col min="10756" max="11007" width="9.140625" style="1"/>
    <col min="11008" max="11008" width="82" style="1" customWidth="1"/>
    <col min="11009" max="11009" width="17.5703125" style="1" customWidth="1"/>
    <col min="11010" max="11010" width="13.7109375" style="1" customWidth="1"/>
    <col min="11011" max="11011" width="17.5703125" style="1" customWidth="1"/>
    <col min="11012" max="11263" width="9.140625" style="1"/>
    <col min="11264" max="11264" width="82" style="1" customWidth="1"/>
    <col min="11265" max="11265" width="17.5703125" style="1" customWidth="1"/>
    <col min="11266" max="11266" width="13.7109375" style="1" customWidth="1"/>
    <col min="11267" max="11267" width="17.5703125" style="1" customWidth="1"/>
    <col min="11268" max="11519" width="9.140625" style="1"/>
    <col min="11520" max="11520" width="82" style="1" customWidth="1"/>
    <col min="11521" max="11521" width="17.5703125" style="1" customWidth="1"/>
    <col min="11522" max="11522" width="13.7109375" style="1" customWidth="1"/>
    <col min="11523" max="11523" width="17.5703125" style="1" customWidth="1"/>
    <col min="11524" max="11775" width="9.140625" style="1"/>
    <col min="11776" max="11776" width="82" style="1" customWidth="1"/>
    <col min="11777" max="11777" width="17.5703125" style="1" customWidth="1"/>
    <col min="11778" max="11778" width="13.7109375" style="1" customWidth="1"/>
    <col min="11779" max="11779" width="17.5703125" style="1" customWidth="1"/>
    <col min="11780" max="12031" width="9.140625" style="1"/>
    <col min="12032" max="12032" width="82" style="1" customWidth="1"/>
    <col min="12033" max="12033" width="17.5703125" style="1" customWidth="1"/>
    <col min="12034" max="12034" width="13.7109375" style="1" customWidth="1"/>
    <col min="12035" max="12035" width="17.5703125" style="1" customWidth="1"/>
    <col min="12036" max="12287" width="9.140625" style="1"/>
    <col min="12288" max="12288" width="82" style="1" customWidth="1"/>
    <col min="12289" max="12289" width="17.5703125" style="1" customWidth="1"/>
    <col min="12290" max="12290" width="13.7109375" style="1" customWidth="1"/>
    <col min="12291" max="12291" width="17.5703125" style="1" customWidth="1"/>
    <col min="12292" max="12543" width="9.140625" style="1"/>
    <col min="12544" max="12544" width="82" style="1" customWidth="1"/>
    <col min="12545" max="12545" width="17.5703125" style="1" customWidth="1"/>
    <col min="12546" max="12546" width="13.7109375" style="1" customWidth="1"/>
    <col min="12547" max="12547" width="17.5703125" style="1" customWidth="1"/>
    <col min="12548" max="12799" width="9.140625" style="1"/>
    <col min="12800" max="12800" width="82" style="1" customWidth="1"/>
    <col min="12801" max="12801" width="17.5703125" style="1" customWidth="1"/>
    <col min="12802" max="12802" width="13.7109375" style="1" customWidth="1"/>
    <col min="12803" max="12803" width="17.5703125" style="1" customWidth="1"/>
    <col min="12804" max="13055" width="9.140625" style="1"/>
    <col min="13056" max="13056" width="82" style="1" customWidth="1"/>
    <col min="13057" max="13057" width="17.5703125" style="1" customWidth="1"/>
    <col min="13058" max="13058" width="13.7109375" style="1" customWidth="1"/>
    <col min="13059" max="13059" width="17.5703125" style="1" customWidth="1"/>
    <col min="13060" max="13311" width="9.140625" style="1"/>
    <col min="13312" max="13312" width="82" style="1" customWidth="1"/>
    <col min="13313" max="13313" width="17.5703125" style="1" customWidth="1"/>
    <col min="13314" max="13314" width="13.7109375" style="1" customWidth="1"/>
    <col min="13315" max="13315" width="17.5703125" style="1" customWidth="1"/>
    <col min="13316" max="13567" width="9.140625" style="1"/>
    <col min="13568" max="13568" width="82" style="1" customWidth="1"/>
    <col min="13569" max="13569" width="17.5703125" style="1" customWidth="1"/>
    <col min="13570" max="13570" width="13.7109375" style="1" customWidth="1"/>
    <col min="13571" max="13571" width="17.5703125" style="1" customWidth="1"/>
    <col min="13572" max="13823" width="9.140625" style="1"/>
    <col min="13824" max="13824" width="82" style="1" customWidth="1"/>
    <col min="13825" max="13825" width="17.5703125" style="1" customWidth="1"/>
    <col min="13826" max="13826" width="13.7109375" style="1" customWidth="1"/>
    <col min="13827" max="13827" width="17.5703125" style="1" customWidth="1"/>
    <col min="13828" max="14079" width="9.140625" style="1"/>
    <col min="14080" max="14080" width="82" style="1" customWidth="1"/>
    <col min="14081" max="14081" width="17.5703125" style="1" customWidth="1"/>
    <col min="14082" max="14082" width="13.7109375" style="1" customWidth="1"/>
    <col min="14083" max="14083" width="17.5703125" style="1" customWidth="1"/>
    <col min="14084" max="14335" width="9.140625" style="1"/>
    <col min="14336" max="14336" width="82" style="1" customWidth="1"/>
    <col min="14337" max="14337" width="17.5703125" style="1" customWidth="1"/>
    <col min="14338" max="14338" width="13.7109375" style="1" customWidth="1"/>
    <col min="14339" max="14339" width="17.5703125" style="1" customWidth="1"/>
    <col min="14340" max="14591" width="9.140625" style="1"/>
    <col min="14592" max="14592" width="82" style="1" customWidth="1"/>
    <col min="14593" max="14593" width="17.5703125" style="1" customWidth="1"/>
    <col min="14594" max="14594" width="13.7109375" style="1" customWidth="1"/>
    <col min="14595" max="14595" width="17.5703125" style="1" customWidth="1"/>
    <col min="14596" max="14847" width="9.140625" style="1"/>
    <col min="14848" max="14848" width="82" style="1" customWidth="1"/>
    <col min="14849" max="14849" width="17.5703125" style="1" customWidth="1"/>
    <col min="14850" max="14850" width="13.7109375" style="1" customWidth="1"/>
    <col min="14851" max="14851" width="17.5703125" style="1" customWidth="1"/>
    <col min="14852" max="15103" width="9.140625" style="1"/>
    <col min="15104" max="15104" width="82" style="1" customWidth="1"/>
    <col min="15105" max="15105" width="17.5703125" style="1" customWidth="1"/>
    <col min="15106" max="15106" width="13.7109375" style="1" customWidth="1"/>
    <col min="15107" max="15107" width="17.5703125" style="1" customWidth="1"/>
    <col min="15108" max="15359" width="9.140625" style="1"/>
    <col min="15360" max="15360" width="82" style="1" customWidth="1"/>
    <col min="15361" max="15361" width="17.5703125" style="1" customWidth="1"/>
    <col min="15362" max="15362" width="13.7109375" style="1" customWidth="1"/>
    <col min="15363" max="15363" width="17.5703125" style="1" customWidth="1"/>
    <col min="15364" max="15615" width="9.140625" style="1"/>
    <col min="15616" max="15616" width="82" style="1" customWidth="1"/>
    <col min="15617" max="15617" width="17.5703125" style="1" customWidth="1"/>
    <col min="15618" max="15618" width="13.7109375" style="1" customWidth="1"/>
    <col min="15619" max="15619" width="17.5703125" style="1" customWidth="1"/>
    <col min="15620" max="15871" width="9.140625" style="1"/>
    <col min="15872" max="15872" width="82" style="1" customWidth="1"/>
    <col min="15873" max="15873" width="17.5703125" style="1" customWidth="1"/>
    <col min="15874" max="15874" width="13.7109375" style="1" customWidth="1"/>
    <col min="15875" max="15875" width="17.5703125" style="1" customWidth="1"/>
    <col min="15876" max="16127" width="9.140625" style="1"/>
    <col min="16128" max="16128" width="82" style="1" customWidth="1"/>
    <col min="16129" max="16129" width="17.5703125" style="1" customWidth="1"/>
    <col min="16130" max="16130" width="13.7109375" style="1" customWidth="1"/>
    <col min="16131" max="16131" width="17.5703125" style="1" customWidth="1"/>
    <col min="16132" max="16384" width="9.140625" style="1"/>
  </cols>
  <sheetData>
    <row r="1" spans="1:35">
      <c r="A1" s="797" t="s">
        <v>1030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  <c r="T1" s="782"/>
      <c r="U1" s="782"/>
      <c r="V1" s="782"/>
      <c r="W1" s="782"/>
      <c r="X1" s="782"/>
      <c r="Y1" s="782"/>
      <c r="Z1" s="782"/>
      <c r="AA1" s="782"/>
      <c r="AB1" s="782"/>
      <c r="AC1" s="782"/>
      <c r="AD1" s="782"/>
      <c r="AE1" s="782"/>
      <c r="AF1" s="782"/>
      <c r="AG1" s="782"/>
      <c r="AH1" s="782"/>
      <c r="AI1" s="782"/>
    </row>
    <row r="4" spans="1:35" s="2" customFormat="1">
      <c r="A4" s="823" t="s">
        <v>766</v>
      </c>
      <c r="B4" s="823"/>
      <c r="C4" s="823"/>
      <c r="D4" s="823"/>
      <c r="E4" s="792"/>
      <c r="F4" s="792"/>
      <c r="G4" s="792"/>
      <c r="H4" s="792"/>
      <c r="I4" s="792"/>
      <c r="J4" s="792"/>
      <c r="K4" s="792"/>
      <c r="L4" s="792"/>
      <c r="M4" s="792"/>
      <c r="N4" s="792"/>
      <c r="O4" s="792"/>
      <c r="P4" s="792"/>
      <c r="Q4" s="792"/>
      <c r="R4" s="792"/>
      <c r="S4" s="792"/>
      <c r="T4" s="792"/>
      <c r="U4" s="792"/>
      <c r="V4" s="792"/>
      <c r="W4" s="792"/>
      <c r="X4" s="792"/>
      <c r="Y4" s="792"/>
      <c r="Z4" s="792"/>
      <c r="AA4" s="792"/>
      <c r="AB4" s="792"/>
      <c r="AC4" s="792"/>
      <c r="AD4" s="792"/>
      <c r="AE4" s="792"/>
      <c r="AF4" s="792"/>
      <c r="AG4" s="792"/>
      <c r="AH4" s="792"/>
      <c r="AI4" s="792"/>
    </row>
    <row r="5" spans="1:35" s="2" customFormat="1">
      <c r="A5" s="783"/>
      <c r="B5" s="783"/>
      <c r="C5" s="783"/>
      <c r="D5" s="783"/>
      <c r="E5" s="792"/>
      <c r="F5" s="792"/>
      <c r="G5" s="792"/>
      <c r="H5" s="792"/>
      <c r="I5" s="792"/>
      <c r="J5" s="792"/>
      <c r="K5" s="792"/>
      <c r="L5" s="792"/>
      <c r="M5" s="792"/>
      <c r="N5" s="792"/>
      <c r="O5" s="792"/>
      <c r="P5" s="792"/>
      <c r="Q5" s="792"/>
      <c r="R5" s="792"/>
      <c r="S5" s="792"/>
      <c r="T5" s="792"/>
      <c r="U5" s="792"/>
      <c r="V5" s="792"/>
      <c r="W5" s="792"/>
      <c r="X5" s="792"/>
      <c r="Y5" s="792"/>
      <c r="Z5" s="792"/>
      <c r="AA5" s="792"/>
      <c r="AB5" s="792"/>
      <c r="AC5" s="792"/>
      <c r="AD5" s="792"/>
      <c r="AE5" s="792"/>
      <c r="AF5" s="792"/>
      <c r="AG5" s="792"/>
      <c r="AH5" s="792"/>
      <c r="AI5" s="792"/>
    </row>
    <row r="6" spans="1:35">
      <c r="A6" s="782"/>
      <c r="B6" s="782"/>
      <c r="C6" s="782"/>
      <c r="D6" s="784" t="s">
        <v>7</v>
      </c>
      <c r="E6" s="782"/>
      <c r="F6" s="782"/>
      <c r="G6" s="782"/>
      <c r="H6" s="782"/>
      <c r="I6" s="782"/>
      <c r="J6" s="782"/>
      <c r="K6" s="782"/>
      <c r="L6" s="782"/>
      <c r="M6" s="782"/>
      <c r="N6" s="782"/>
      <c r="O6" s="782"/>
      <c r="P6" s="782"/>
      <c r="Q6" s="782"/>
      <c r="R6" s="782"/>
      <c r="S6" s="782"/>
      <c r="T6" s="782"/>
      <c r="U6" s="782"/>
      <c r="V6" s="782"/>
      <c r="W6" s="782"/>
      <c r="X6" s="782"/>
      <c r="Y6" s="782"/>
      <c r="Z6" s="782"/>
      <c r="AA6" s="782"/>
      <c r="AB6" s="782"/>
      <c r="AC6" s="782"/>
      <c r="AD6" s="782"/>
      <c r="AE6" s="782"/>
      <c r="AF6" s="782"/>
      <c r="AG6" s="782"/>
      <c r="AH6" s="782"/>
      <c r="AI6" s="782"/>
    </row>
    <row r="7" spans="1:35" s="26" customFormat="1" ht="30.75" customHeight="1">
      <c r="A7" s="795" t="s">
        <v>8</v>
      </c>
      <c r="B7" s="785" t="s">
        <v>0</v>
      </c>
      <c r="C7" s="785" t="s">
        <v>748</v>
      </c>
      <c r="D7" s="785" t="s">
        <v>667</v>
      </c>
      <c r="E7" s="793"/>
      <c r="F7" s="793"/>
      <c r="G7" s="793"/>
      <c r="H7" s="793"/>
      <c r="I7" s="793"/>
      <c r="J7" s="793"/>
      <c r="K7" s="793"/>
      <c r="L7" s="793"/>
      <c r="M7" s="793"/>
      <c r="N7" s="793"/>
      <c r="O7" s="793"/>
      <c r="P7" s="793"/>
      <c r="Q7" s="793"/>
      <c r="R7" s="793"/>
      <c r="S7" s="793"/>
      <c r="T7" s="793"/>
      <c r="U7" s="793"/>
      <c r="V7" s="793"/>
      <c r="W7" s="793"/>
      <c r="X7" s="793"/>
      <c r="Y7" s="793"/>
      <c r="Z7" s="793"/>
      <c r="AA7" s="793"/>
      <c r="AB7" s="793"/>
      <c r="AC7" s="793"/>
      <c r="AD7" s="793"/>
      <c r="AE7" s="793"/>
      <c r="AF7" s="793"/>
      <c r="AG7" s="793"/>
      <c r="AH7" s="793"/>
      <c r="AI7" s="793"/>
    </row>
    <row r="8" spans="1:35" s="21" customFormat="1" ht="25.5" customHeight="1">
      <c r="A8" s="798" t="s">
        <v>669</v>
      </c>
      <c r="B8" s="799" t="s">
        <v>670</v>
      </c>
      <c r="C8" s="800">
        <v>24938733</v>
      </c>
      <c r="D8" s="800">
        <v>658022</v>
      </c>
      <c r="E8" s="791"/>
      <c r="F8" s="791"/>
      <c r="G8" s="791"/>
      <c r="H8" s="791"/>
      <c r="I8" s="791"/>
      <c r="J8" s="791"/>
      <c r="K8" s="791"/>
      <c r="L8" s="791"/>
      <c r="M8" s="791"/>
      <c r="N8" s="791"/>
      <c r="O8" s="791"/>
      <c r="P8" s="791"/>
      <c r="Q8" s="791"/>
      <c r="R8" s="791"/>
      <c r="S8" s="791"/>
      <c r="T8" s="791"/>
      <c r="U8" s="791"/>
      <c r="V8" s="791"/>
      <c r="W8" s="791"/>
      <c r="X8" s="791"/>
      <c r="Y8" s="791"/>
      <c r="Z8" s="791"/>
      <c r="AA8" s="791"/>
      <c r="AB8" s="791"/>
      <c r="AC8" s="791"/>
      <c r="AD8" s="791"/>
      <c r="AE8" s="791"/>
      <c r="AF8" s="791"/>
      <c r="AG8" s="791"/>
      <c r="AH8" s="791"/>
      <c r="AI8" s="791"/>
    </row>
    <row r="9" spans="1:35" s="21" customFormat="1" ht="25.5" customHeight="1">
      <c r="A9" s="798"/>
      <c r="B9" s="799" t="s">
        <v>671</v>
      </c>
      <c r="C9" s="800">
        <v>22521430</v>
      </c>
      <c r="D9" s="800">
        <v>655459</v>
      </c>
      <c r="E9" s="791"/>
      <c r="F9" s="791"/>
      <c r="G9" s="791"/>
      <c r="H9" s="791"/>
      <c r="I9" s="791"/>
      <c r="J9" s="791"/>
      <c r="K9" s="791"/>
      <c r="L9" s="791"/>
      <c r="M9" s="791"/>
      <c r="N9" s="791"/>
      <c r="O9" s="791"/>
      <c r="P9" s="791"/>
      <c r="Q9" s="791"/>
      <c r="R9" s="791"/>
      <c r="S9" s="791"/>
      <c r="T9" s="791"/>
      <c r="U9" s="791"/>
      <c r="V9" s="791"/>
      <c r="W9" s="791"/>
      <c r="X9" s="791"/>
      <c r="Y9" s="791"/>
      <c r="Z9" s="791"/>
      <c r="AA9" s="791"/>
      <c r="AB9" s="791"/>
      <c r="AC9" s="791"/>
      <c r="AD9" s="791"/>
      <c r="AE9" s="791"/>
      <c r="AF9" s="791"/>
      <c r="AG9" s="791"/>
      <c r="AH9" s="791"/>
      <c r="AI9" s="791"/>
    </row>
    <row r="10" spans="1:35" s="21" customFormat="1" ht="25.5" customHeight="1">
      <c r="A10" s="798"/>
      <c r="B10" s="799" t="s">
        <v>672</v>
      </c>
      <c r="C10" s="800">
        <v>0</v>
      </c>
      <c r="D10" s="800">
        <v>0</v>
      </c>
      <c r="E10" s="791"/>
      <c r="F10" s="791"/>
      <c r="G10" s="791"/>
      <c r="H10" s="791"/>
      <c r="I10" s="791"/>
      <c r="J10" s="791"/>
      <c r="K10" s="791"/>
      <c r="L10" s="791"/>
      <c r="M10" s="791"/>
      <c r="N10" s="791"/>
      <c r="O10" s="791"/>
      <c r="P10" s="791"/>
      <c r="Q10" s="791"/>
      <c r="R10" s="791"/>
      <c r="S10" s="791"/>
      <c r="T10" s="791"/>
      <c r="U10" s="791"/>
      <c r="V10" s="791"/>
      <c r="W10" s="791"/>
      <c r="X10" s="791"/>
      <c r="Y10" s="791"/>
      <c r="Z10" s="791"/>
      <c r="AA10" s="791"/>
      <c r="AB10" s="791"/>
      <c r="AC10" s="791"/>
      <c r="AD10" s="791"/>
      <c r="AE10" s="791"/>
      <c r="AF10" s="791"/>
      <c r="AG10" s="791"/>
      <c r="AH10" s="791"/>
      <c r="AI10" s="791"/>
    </row>
    <row r="11" spans="1:35" s="21" customFormat="1" ht="25.5" customHeight="1">
      <c r="A11" s="798"/>
      <c r="B11" s="799" t="s">
        <v>673</v>
      </c>
      <c r="C11" s="800">
        <v>22521430</v>
      </c>
      <c r="D11" s="800">
        <v>655459</v>
      </c>
      <c r="E11" s="791"/>
      <c r="F11" s="791"/>
      <c r="G11" s="791"/>
      <c r="H11" s="791"/>
      <c r="I11" s="791"/>
      <c r="J11" s="791"/>
      <c r="K11" s="791"/>
      <c r="L11" s="791"/>
      <c r="M11" s="791"/>
      <c r="N11" s="791"/>
      <c r="O11" s="791"/>
      <c r="P11" s="791"/>
      <c r="Q11" s="791"/>
      <c r="R11" s="791"/>
      <c r="S11" s="791"/>
      <c r="T11" s="791"/>
      <c r="U11" s="791"/>
      <c r="V11" s="791"/>
      <c r="W11" s="791"/>
      <c r="X11" s="791"/>
      <c r="Y11" s="791"/>
      <c r="Z11" s="791"/>
      <c r="AA11" s="791"/>
      <c r="AB11" s="791"/>
      <c r="AC11" s="791"/>
      <c r="AD11" s="791"/>
      <c r="AE11" s="791"/>
      <c r="AF11" s="791"/>
      <c r="AG11" s="791"/>
      <c r="AH11" s="791"/>
      <c r="AI11" s="791"/>
    </row>
    <row r="12" spans="1:35" s="21" customFormat="1" ht="25.5" customHeight="1">
      <c r="A12" s="801"/>
      <c r="B12" s="802" t="s">
        <v>674</v>
      </c>
      <c r="C12" s="803">
        <v>1511786</v>
      </c>
      <c r="D12" s="803">
        <v>655459</v>
      </c>
      <c r="E12" s="791"/>
      <c r="F12" s="791"/>
      <c r="G12" s="791"/>
      <c r="H12" s="791"/>
      <c r="I12" s="791"/>
      <c r="J12" s="791"/>
      <c r="K12" s="791"/>
      <c r="L12" s="791"/>
      <c r="M12" s="791"/>
      <c r="N12" s="791"/>
      <c r="O12" s="791"/>
      <c r="P12" s="791"/>
      <c r="Q12" s="791"/>
      <c r="R12" s="791"/>
      <c r="S12" s="791"/>
      <c r="T12" s="791"/>
      <c r="U12" s="791"/>
      <c r="V12" s="791"/>
      <c r="W12" s="791"/>
      <c r="X12" s="791"/>
      <c r="Y12" s="791"/>
      <c r="Z12" s="791"/>
      <c r="AA12" s="791"/>
      <c r="AB12" s="791"/>
      <c r="AC12" s="791"/>
      <c r="AD12" s="791"/>
      <c r="AE12" s="791"/>
      <c r="AF12" s="791"/>
      <c r="AG12" s="791"/>
      <c r="AH12" s="791"/>
      <c r="AI12" s="791"/>
    </row>
    <row r="13" spans="1:35" s="21" customFormat="1" ht="25.5" customHeight="1">
      <c r="A13" s="801"/>
      <c r="B13" s="802" t="s">
        <v>675</v>
      </c>
      <c r="C13" s="803">
        <v>17696114</v>
      </c>
      <c r="D13" s="803">
        <v>0</v>
      </c>
      <c r="E13" s="791"/>
      <c r="F13" s="791"/>
      <c r="G13" s="791"/>
      <c r="H13" s="791"/>
      <c r="I13" s="791"/>
      <c r="J13" s="791"/>
      <c r="K13" s="791"/>
      <c r="L13" s="79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1"/>
      <c r="AA13" s="791"/>
      <c r="AB13" s="791"/>
      <c r="AC13" s="791"/>
      <c r="AD13" s="791"/>
      <c r="AE13" s="791"/>
      <c r="AF13" s="791"/>
      <c r="AG13" s="791"/>
      <c r="AH13" s="791"/>
      <c r="AI13" s="791"/>
    </row>
    <row r="14" spans="1:35" s="21" customFormat="1" ht="25.5" customHeight="1">
      <c r="A14" s="801"/>
      <c r="B14" s="802" t="s">
        <v>676</v>
      </c>
      <c r="C14" s="803">
        <v>3313530</v>
      </c>
      <c r="D14" s="803">
        <v>0</v>
      </c>
      <c r="E14" s="791"/>
      <c r="F14" s="791"/>
      <c r="G14" s="791"/>
      <c r="H14" s="791"/>
      <c r="I14" s="791"/>
      <c r="J14" s="791"/>
      <c r="K14" s="791"/>
      <c r="L14" s="791"/>
      <c r="M14" s="791"/>
      <c r="N14" s="791"/>
      <c r="O14" s="791"/>
      <c r="P14" s="791"/>
      <c r="Q14" s="791"/>
      <c r="R14" s="791"/>
      <c r="S14" s="791"/>
      <c r="T14" s="791"/>
      <c r="U14" s="791"/>
      <c r="V14" s="791"/>
      <c r="W14" s="791"/>
      <c r="X14" s="791"/>
      <c r="Y14" s="791"/>
      <c r="Z14" s="791"/>
      <c r="AA14" s="791"/>
      <c r="AB14" s="791"/>
      <c r="AC14" s="791"/>
      <c r="AD14" s="791"/>
      <c r="AE14" s="791"/>
      <c r="AF14" s="791"/>
      <c r="AG14" s="791"/>
      <c r="AH14" s="791"/>
      <c r="AI14" s="791"/>
    </row>
    <row r="15" spans="1:35" s="21" customFormat="1" ht="25.5" customHeight="1">
      <c r="A15" s="798"/>
      <c r="B15" s="799" t="s">
        <v>677</v>
      </c>
      <c r="C15" s="800">
        <v>2417303</v>
      </c>
      <c r="D15" s="800">
        <v>2563</v>
      </c>
      <c r="E15" s="791"/>
      <c r="F15" s="791"/>
      <c r="G15" s="791"/>
      <c r="H15" s="791"/>
      <c r="I15" s="791"/>
      <c r="J15" s="791"/>
      <c r="K15" s="791"/>
      <c r="L15" s="791"/>
      <c r="M15" s="791"/>
      <c r="N15" s="791"/>
      <c r="O15" s="791"/>
      <c r="P15" s="791"/>
      <c r="Q15" s="791"/>
      <c r="R15" s="791"/>
      <c r="S15" s="791"/>
      <c r="T15" s="791"/>
      <c r="U15" s="791"/>
      <c r="V15" s="791"/>
      <c r="W15" s="791"/>
      <c r="X15" s="791"/>
      <c r="Y15" s="791"/>
      <c r="Z15" s="791"/>
      <c r="AA15" s="791"/>
      <c r="AB15" s="791"/>
      <c r="AC15" s="791"/>
      <c r="AD15" s="791"/>
      <c r="AE15" s="791"/>
      <c r="AF15" s="791"/>
      <c r="AG15" s="791"/>
      <c r="AH15" s="791"/>
      <c r="AI15" s="791"/>
    </row>
    <row r="16" spans="1:35" s="21" customFormat="1" ht="25.5" customHeight="1">
      <c r="A16" s="801"/>
      <c r="B16" s="802" t="s">
        <v>678</v>
      </c>
      <c r="C16" s="803">
        <v>30000</v>
      </c>
      <c r="D16" s="803">
        <v>2563</v>
      </c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791"/>
    </row>
    <row r="17" spans="1:4" s="21" customFormat="1" ht="25.5" customHeight="1">
      <c r="A17" s="801"/>
      <c r="B17" s="802" t="s">
        <v>679</v>
      </c>
      <c r="C17" s="803">
        <v>2030453</v>
      </c>
      <c r="D17" s="803">
        <v>0</v>
      </c>
    </row>
    <row r="18" spans="1:4" s="21" customFormat="1" ht="25.5" customHeight="1">
      <c r="A18" s="801"/>
      <c r="B18" s="802" t="s">
        <v>680</v>
      </c>
      <c r="C18" s="803">
        <v>356850</v>
      </c>
      <c r="D18" s="803">
        <v>0</v>
      </c>
    </row>
    <row r="19" spans="1:4" s="21" customFormat="1" ht="25.5" customHeight="1">
      <c r="A19" s="798" t="s">
        <v>681</v>
      </c>
      <c r="B19" s="799" t="s">
        <v>682</v>
      </c>
      <c r="C19" s="800">
        <v>75219575</v>
      </c>
      <c r="D19" s="800">
        <v>30168833</v>
      </c>
    </row>
    <row r="20" spans="1:4" s="21" customFormat="1" ht="25.5" customHeight="1">
      <c r="A20" s="798"/>
      <c r="B20" s="799" t="s">
        <v>671</v>
      </c>
      <c r="C20" s="800">
        <v>9376871</v>
      </c>
      <c r="D20" s="800">
        <v>714747</v>
      </c>
    </row>
    <row r="21" spans="1:4" s="21" customFormat="1" ht="25.5" customHeight="1">
      <c r="A21" s="798"/>
      <c r="B21" s="799" t="s">
        <v>683</v>
      </c>
      <c r="C21" s="800">
        <v>0</v>
      </c>
      <c r="D21" s="800">
        <v>0</v>
      </c>
    </row>
    <row r="22" spans="1:4" s="21" customFormat="1" ht="25.5" customHeight="1">
      <c r="A22" s="798"/>
      <c r="B22" s="799" t="s">
        <v>684</v>
      </c>
      <c r="C22" s="800">
        <v>9376871</v>
      </c>
      <c r="D22" s="800">
        <v>714747</v>
      </c>
    </row>
    <row r="23" spans="1:4" s="21" customFormat="1" ht="25.5" customHeight="1">
      <c r="A23" s="801"/>
      <c r="B23" s="802" t="s">
        <v>684</v>
      </c>
      <c r="C23" s="803">
        <v>831233</v>
      </c>
      <c r="D23" s="803">
        <v>714747</v>
      </c>
    </row>
    <row r="24" spans="1:4" s="21" customFormat="1" ht="25.5" customHeight="1">
      <c r="A24" s="801"/>
      <c r="B24" s="802" t="s">
        <v>685</v>
      </c>
      <c r="C24" s="803">
        <v>8545638</v>
      </c>
      <c r="D24" s="803">
        <v>0</v>
      </c>
    </row>
    <row r="25" spans="1:4" s="21" customFormat="1" ht="25.5" customHeight="1">
      <c r="A25" s="798"/>
      <c r="B25" s="799" t="s">
        <v>677</v>
      </c>
      <c r="C25" s="800">
        <v>65842704</v>
      </c>
      <c r="D25" s="800">
        <v>29454086</v>
      </c>
    </row>
    <row r="26" spans="1:4" s="21" customFormat="1" ht="25.5" customHeight="1">
      <c r="A26" s="801"/>
      <c r="B26" s="802" t="s">
        <v>686</v>
      </c>
      <c r="C26" s="803">
        <v>35383779</v>
      </c>
      <c r="D26" s="803">
        <v>28317575</v>
      </c>
    </row>
    <row r="27" spans="1:4" s="21" customFormat="1" ht="25.5" customHeight="1">
      <c r="A27" s="801"/>
      <c r="B27" s="802" t="s">
        <v>1014</v>
      </c>
      <c r="C27" s="803">
        <v>1531800</v>
      </c>
      <c r="D27" s="803">
        <v>1136511</v>
      </c>
    </row>
    <row r="28" spans="1:4" s="21" customFormat="1" ht="25.5" customHeight="1">
      <c r="A28" s="801"/>
      <c r="B28" s="802" t="s">
        <v>687</v>
      </c>
      <c r="C28" s="803">
        <v>28927125</v>
      </c>
      <c r="D28" s="803">
        <v>0</v>
      </c>
    </row>
    <row r="29" spans="1:4" s="21" customFormat="1" ht="25.5" customHeight="1">
      <c r="A29" s="798" t="s">
        <v>749</v>
      </c>
      <c r="B29" s="799" t="s">
        <v>186</v>
      </c>
      <c r="C29" s="800">
        <v>100158308</v>
      </c>
      <c r="D29" s="800">
        <v>30826855</v>
      </c>
    </row>
    <row r="30" spans="1:4" s="21" customFormat="1" ht="25.5" customHeight="1">
      <c r="A30" s="798" t="s">
        <v>689</v>
      </c>
      <c r="B30" s="799" t="s">
        <v>690</v>
      </c>
      <c r="C30" s="800">
        <v>19295765006</v>
      </c>
      <c r="D30" s="800">
        <v>14823167106</v>
      </c>
    </row>
    <row r="31" spans="1:4" s="21" customFormat="1" ht="25.5" customHeight="1">
      <c r="A31" s="798"/>
      <c r="B31" s="799" t="s">
        <v>671</v>
      </c>
      <c r="C31" s="800">
        <v>16804103530</v>
      </c>
      <c r="D31" s="800">
        <v>12619450384</v>
      </c>
    </row>
    <row r="32" spans="1:4" s="21" customFormat="1" ht="25.5" customHeight="1">
      <c r="A32" s="804"/>
      <c r="B32" s="799" t="s">
        <v>691</v>
      </c>
      <c r="C32" s="800">
        <v>12043495891</v>
      </c>
      <c r="D32" s="800">
        <v>8880619683</v>
      </c>
    </row>
    <row r="33" spans="1:4" s="21" customFormat="1" ht="25.5" customHeight="1">
      <c r="A33" s="804"/>
      <c r="B33" s="802" t="s">
        <v>692</v>
      </c>
      <c r="C33" s="803">
        <v>648590180</v>
      </c>
      <c r="D33" s="803">
        <v>648590180</v>
      </c>
    </row>
    <row r="34" spans="1:4" s="21" customFormat="1" ht="25.5" customHeight="1">
      <c r="A34" s="804"/>
      <c r="B34" s="802" t="s">
        <v>693</v>
      </c>
      <c r="C34" s="803">
        <v>49689325</v>
      </c>
      <c r="D34" s="803">
        <v>49689325</v>
      </c>
    </row>
    <row r="35" spans="1:4" s="21" customFormat="1" ht="25.5" customHeight="1">
      <c r="A35" s="804"/>
      <c r="B35" s="802" t="s">
        <v>694</v>
      </c>
      <c r="C35" s="803">
        <v>1668578990</v>
      </c>
      <c r="D35" s="803">
        <v>1668578990</v>
      </c>
    </row>
    <row r="36" spans="1:4" s="21" customFormat="1" ht="25.5" customHeight="1">
      <c r="A36" s="804"/>
      <c r="B36" s="802" t="s">
        <v>695</v>
      </c>
      <c r="C36" s="803">
        <v>2395000</v>
      </c>
      <c r="D36" s="803">
        <v>2395000</v>
      </c>
    </row>
    <row r="37" spans="1:4" s="21" customFormat="1" ht="25.5" customHeight="1">
      <c r="A37" s="804"/>
      <c r="B37" s="802" t="s">
        <v>696</v>
      </c>
      <c r="C37" s="803">
        <v>3156939</v>
      </c>
      <c r="D37" s="803">
        <v>1822447</v>
      </c>
    </row>
    <row r="38" spans="1:4" s="21" customFormat="1" ht="25.5" customHeight="1">
      <c r="A38" s="804"/>
      <c r="B38" s="802" t="s">
        <v>697</v>
      </c>
      <c r="C38" s="803">
        <v>173162435</v>
      </c>
      <c r="D38" s="803">
        <v>164264167</v>
      </c>
    </row>
    <row r="39" spans="1:4" s="21" customFormat="1" ht="25.5" customHeight="1">
      <c r="A39" s="804"/>
      <c r="B39" s="802" t="s">
        <v>698</v>
      </c>
      <c r="C39" s="803">
        <v>5943733371</v>
      </c>
      <c r="D39" s="803">
        <v>3297683305</v>
      </c>
    </row>
    <row r="40" spans="1:4" s="21" customFormat="1" ht="25.5" customHeight="1">
      <c r="A40" s="804"/>
      <c r="B40" s="802" t="s">
        <v>699</v>
      </c>
      <c r="C40" s="803">
        <v>3552140651</v>
      </c>
      <c r="D40" s="803">
        <v>3047596269</v>
      </c>
    </row>
    <row r="41" spans="1:4" s="21" customFormat="1" ht="25.5" customHeight="1">
      <c r="A41" s="804"/>
      <c r="B41" s="802" t="s">
        <v>700</v>
      </c>
      <c r="C41" s="803">
        <v>34000</v>
      </c>
      <c r="D41" s="803">
        <v>0</v>
      </c>
    </row>
    <row r="42" spans="1:4" s="21" customFormat="1" ht="25.5" customHeight="1">
      <c r="A42" s="804"/>
      <c r="B42" s="802" t="s">
        <v>701</v>
      </c>
      <c r="C42" s="803">
        <v>705000</v>
      </c>
      <c r="D42" s="803">
        <v>0</v>
      </c>
    </row>
    <row r="43" spans="1:4" s="21" customFormat="1" ht="25.5" customHeight="1">
      <c r="A43" s="804"/>
      <c r="B43" s="802" t="s">
        <v>702</v>
      </c>
      <c r="C43" s="803">
        <v>1310000</v>
      </c>
      <c r="D43" s="803">
        <v>0</v>
      </c>
    </row>
    <row r="44" spans="1:4" s="21" customFormat="1" ht="25.5" customHeight="1">
      <c r="A44" s="804"/>
      <c r="B44" s="799" t="s">
        <v>674</v>
      </c>
      <c r="C44" s="800">
        <v>4760607639</v>
      </c>
      <c r="D44" s="800">
        <v>3738830701</v>
      </c>
    </row>
    <row r="45" spans="1:4" s="21" customFormat="1" ht="25.5" customHeight="1">
      <c r="A45" s="804"/>
      <c r="B45" s="802" t="s">
        <v>692</v>
      </c>
      <c r="C45" s="803">
        <v>614750</v>
      </c>
      <c r="D45" s="803">
        <v>614750</v>
      </c>
    </row>
    <row r="46" spans="1:4" s="21" customFormat="1" ht="25.5" customHeight="1">
      <c r="A46" s="804"/>
      <c r="B46" s="802" t="s">
        <v>693</v>
      </c>
      <c r="C46" s="803">
        <v>516050</v>
      </c>
      <c r="D46" s="803">
        <v>516050</v>
      </c>
    </row>
    <row r="47" spans="1:4" s="21" customFormat="1" ht="25.5" customHeight="1">
      <c r="A47" s="804"/>
      <c r="B47" s="802" t="s">
        <v>694</v>
      </c>
      <c r="C47" s="803">
        <v>155704536</v>
      </c>
      <c r="D47" s="803">
        <v>155704536</v>
      </c>
    </row>
    <row r="48" spans="1:4" s="21" customFormat="1" ht="25.5" customHeight="1">
      <c r="A48" s="804"/>
      <c r="B48" s="802" t="s">
        <v>695</v>
      </c>
      <c r="C48" s="803">
        <v>294366441</v>
      </c>
      <c r="D48" s="803">
        <v>294366441</v>
      </c>
    </row>
    <row r="49" spans="1:35" s="21" customFormat="1" ht="25.5" customHeight="1">
      <c r="A49" s="804"/>
      <c r="B49" s="802" t="s">
        <v>696</v>
      </c>
      <c r="C49" s="803">
        <v>1538724068</v>
      </c>
      <c r="D49" s="803">
        <v>1279621125</v>
      </c>
      <c r="E49" s="791"/>
      <c r="F49" s="791"/>
      <c r="G49" s="791"/>
      <c r="H49" s="791"/>
      <c r="I49" s="791"/>
      <c r="J49" s="791"/>
      <c r="K49" s="791"/>
      <c r="L49" s="791"/>
      <c r="M49" s="791"/>
      <c r="N49" s="791"/>
      <c r="O49" s="791"/>
      <c r="P49" s="791"/>
      <c r="Q49" s="791"/>
      <c r="R49" s="791"/>
      <c r="S49" s="791"/>
      <c r="T49" s="791"/>
      <c r="U49" s="791"/>
      <c r="V49" s="791"/>
      <c r="W49" s="791"/>
      <c r="X49" s="791"/>
      <c r="Y49" s="791"/>
      <c r="Z49" s="791"/>
      <c r="AA49" s="791"/>
      <c r="AB49" s="791"/>
      <c r="AC49" s="791"/>
      <c r="AD49" s="791"/>
      <c r="AE49" s="791"/>
      <c r="AF49" s="791"/>
      <c r="AG49" s="791"/>
      <c r="AH49" s="791"/>
      <c r="AI49" s="791"/>
    </row>
    <row r="50" spans="1:35" s="21" customFormat="1" ht="25.5" customHeight="1">
      <c r="A50" s="804"/>
      <c r="B50" s="802" t="s">
        <v>697</v>
      </c>
      <c r="C50" s="803">
        <v>2029002014</v>
      </c>
      <c r="D50" s="803">
        <v>1522501726</v>
      </c>
      <c r="E50" s="791"/>
      <c r="F50" s="791"/>
      <c r="G50" s="791"/>
      <c r="H50" s="791"/>
      <c r="I50" s="791"/>
      <c r="J50" s="791"/>
      <c r="K50" s="791"/>
      <c r="L50" s="791"/>
      <c r="M50" s="791"/>
      <c r="N50" s="791"/>
      <c r="O50" s="791"/>
      <c r="P50" s="791"/>
      <c r="Q50" s="791"/>
      <c r="R50" s="791"/>
      <c r="S50" s="791"/>
      <c r="T50" s="791"/>
      <c r="U50" s="791"/>
      <c r="V50" s="791"/>
      <c r="W50" s="791"/>
      <c r="X50" s="791"/>
      <c r="Y50" s="791"/>
      <c r="Z50" s="791"/>
      <c r="AA50" s="791"/>
      <c r="AB50" s="791"/>
      <c r="AC50" s="791"/>
      <c r="AD50" s="791"/>
      <c r="AE50" s="791"/>
      <c r="AF50" s="791"/>
      <c r="AG50" s="791"/>
      <c r="AH50" s="791"/>
      <c r="AI50" s="791"/>
    </row>
    <row r="51" spans="1:35" s="21" customFormat="1" ht="25.5" customHeight="1">
      <c r="A51" s="804"/>
      <c r="B51" s="802" t="s">
        <v>703</v>
      </c>
      <c r="C51" s="803">
        <v>1750</v>
      </c>
      <c r="D51" s="803">
        <v>1750</v>
      </c>
      <c r="E51" s="791"/>
      <c r="F51" s="791"/>
      <c r="G51" s="791"/>
      <c r="H51" s="791"/>
      <c r="I51" s="791"/>
      <c r="J51" s="791"/>
      <c r="K51" s="791"/>
      <c r="L51" s="791"/>
      <c r="M51" s="791"/>
      <c r="N51" s="791"/>
      <c r="O51" s="791"/>
      <c r="P51" s="791"/>
      <c r="Q51" s="791"/>
      <c r="R51" s="791"/>
      <c r="S51" s="791"/>
      <c r="T51" s="791"/>
      <c r="U51" s="791"/>
      <c r="V51" s="791"/>
      <c r="W51" s="791"/>
      <c r="X51" s="791"/>
      <c r="Y51" s="791"/>
      <c r="Z51" s="791"/>
      <c r="AA51" s="791"/>
      <c r="AB51" s="791"/>
      <c r="AC51" s="791"/>
      <c r="AD51" s="791"/>
      <c r="AE51" s="791"/>
      <c r="AF51" s="791"/>
      <c r="AG51" s="791"/>
      <c r="AH51" s="791"/>
      <c r="AI51" s="791"/>
    </row>
    <row r="52" spans="1:35" s="21" customFormat="1" ht="25.5" customHeight="1">
      <c r="A52" s="804"/>
      <c r="B52" s="802" t="s">
        <v>704</v>
      </c>
      <c r="C52" s="803">
        <v>36720000</v>
      </c>
      <c r="D52" s="803">
        <v>19094400</v>
      </c>
      <c r="E52" s="791"/>
      <c r="F52" s="791"/>
      <c r="G52" s="791"/>
      <c r="H52" s="791"/>
      <c r="I52" s="791"/>
      <c r="J52" s="791"/>
      <c r="K52" s="791"/>
      <c r="L52" s="791"/>
      <c r="M52" s="791"/>
      <c r="N52" s="791"/>
      <c r="O52" s="791"/>
      <c r="P52" s="791"/>
      <c r="Q52" s="791"/>
      <c r="R52" s="791"/>
      <c r="S52" s="791"/>
      <c r="T52" s="791"/>
      <c r="U52" s="791"/>
      <c r="V52" s="791"/>
      <c r="W52" s="791"/>
      <c r="X52" s="791"/>
      <c r="Y52" s="791"/>
      <c r="Z52" s="791"/>
      <c r="AA52" s="791"/>
      <c r="AB52" s="791"/>
      <c r="AC52" s="791"/>
      <c r="AD52" s="791"/>
      <c r="AE52" s="791"/>
      <c r="AF52" s="791"/>
      <c r="AG52" s="791"/>
      <c r="AH52" s="791"/>
      <c r="AI52" s="791"/>
    </row>
    <row r="53" spans="1:35" s="21" customFormat="1" ht="25.5" customHeight="1">
      <c r="A53" s="804"/>
      <c r="B53" s="802" t="s">
        <v>698</v>
      </c>
      <c r="C53" s="803">
        <v>287069468</v>
      </c>
      <c r="D53" s="803">
        <v>221004073</v>
      </c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791"/>
    </row>
    <row r="54" spans="1:35" s="21" customFormat="1" ht="25.5" customHeight="1">
      <c r="A54" s="804"/>
      <c r="B54" s="802" t="s">
        <v>699</v>
      </c>
      <c r="C54" s="803">
        <v>407064230</v>
      </c>
      <c r="D54" s="803">
        <v>245405850</v>
      </c>
      <c r="E54" s="791"/>
      <c r="F54" s="791"/>
      <c r="G54" s="791"/>
      <c r="H54" s="791"/>
      <c r="I54" s="791"/>
      <c r="J54" s="791"/>
      <c r="K54" s="791"/>
      <c r="L54" s="791"/>
      <c r="M54" s="791"/>
      <c r="N54" s="791"/>
      <c r="O54" s="791"/>
      <c r="P54" s="791"/>
      <c r="Q54" s="791"/>
      <c r="R54" s="791"/>
      <c r="S54" s="791"/>
      <c r="T54" s="791"/>
      <c r="U54" s="791"/>
      <c r="V54" s="791"/>
      <c r="W54" s="791"/>
      <c r="X54" s="791"/>
      <c r="Y54" s="791"/>
      <c r="Z54" s="791"/>
      <c r="AA54" s="791"/>
      <c r="AB54" s="791"/>
      <c r="AC54" s="791"/>
      <c r="AD54" s="791"/>
      <c r="AE54" s="791"/>
      <c r="AF54" s="791"/>
      <c r="AG54" s="791"/>
      <c r="AH54" s="791"/>
      <c r="AI54" s="791"/>
    </row>
    <row r="55" spans="1:35" s="21" customFormat="1" ht="25.5" customHeight="1">
      <c r="A55" s="804"/>
      <c r="B55" s="802" t="s">
        <v>700</v>
      </c>
      <c r="C55" s="803">
        <v>19000</v>
      </c>
      <c r="D55" s="803">
        <v>0</v>
      </c>
      <c r="E55" s="791"/>
      <c r="F55" s="791"/>
      <c r="G55" s="791"/>
      <c r="H55" s="791"/>
      <c r="I55" s="791"/>
      <c r="J55" s="791"/>
      <c r="K55" s="791"/>
      <c r="L55" s="791"/>
      <c r="M55" s="791"/>
      <c r="N55" s="791"/>
      <c r="O55" s="791"/>
      <c r="P55" s="791"/>
      <c r="Q55" s="791"/>
      <c r="R55" s="791"/>
      <c r="S55" s="791"/>
      <c r="T55" s="791"/>
      <c r="U55" s="791"/>
      <c r="V55" s="791"/>
      <c r="W55" s="791"/>
      <c r="X55" s="791"/>
      <c r="Y55" s="791"/>
      <c r="Z55" s="791"/>
      <c r="AA55" s="791"/>
      <c r="AB55" s="791"/>
      <c r="AC55" s="791"/>
      <c r="AD55" s="791"/>
      <c r="AE55" s="791"/>
      <c r="AF55" s="791"/>
      <c r="AG55" s="791"/>
      <c r="AH55" s="791"/>
      <c r="AI55" s="791"/>
    </row>
    <row r="56" spans="1:35" s="21" customFormat="1" ht="25.5" customHeight="1">
      <c r="A56" s="804"/>
      <c r="B56" s="802" t="s">
        <v>701</v>
      </c>
      <c r="C56" s="803">
        <v>2203000</v>
      </c>
      <c r="D56" s="803">
        <v>0</v>
      </c>
      <c r="E56" s="791"/>
      <c r="F56" s="791"/>
      <c r="G56" s="791"/>
      <c r="H56" s="791"/>
      <c r="I56" s="791"/>
      <c r="J56" s="791"/>
      <c r="K56" s="791"/>
      <c r="L56" s="791"/>
      <c r="M56" s="791"/>
      <c r="N56" s="791"/>
      <c r="O56" s="791"/>
      <c r="P56" s="791"/>
      <c r="Q56" s="791"/>
      <c r="R56" s="791"/>
      <c r="S56" s="791"/>
      <c r="T56" s="791"/>
      <c r="U56" s="791"/>
      <c r="V56" s="791"/>
      <c r="W56" s="791"/>
      <c r="X56" s="791"/>
      <c r="Y56" s="791"/>
      <c r="Z56" s="791"/>
      <c r="AA56" s="791"/>
      <c r="AB56" s="791"/>
      <c r="AC56" s="791"/>
      <c r="AD56" s="791"/>
      <c r="AE56" s="791"/>
      <c r="AF56" s="791"/>
      <c r="AG56" s="791"/>
      <c r="AH56" s="791"/>
      <c r="AI56" s="791"/>
    </row>
    <row r="57" spans="1:35" s="21" customFormat="1" ht="25.5" customHeight="1">
      <c r="A57" s="804"/>
      <c r="B57" s="802" t="s">
        <v>705</v>
      </c>
      <c r="C57" s="803">
        <v>3103500</v>
      </c>
      <c r="D57" s="803">
        <v>0</v>
      </c>
      <c r="E57" s="791"/>
      <c r="F57" s="791"/>
      <c r="G57" s="791"/>
      <c r="H57" s="791"/>
      <c r="I57" s="791"/>
      <c r="J57" s="791"/>
      <c r="K57" s="791"/>
      <c r="L57" s="791"/>
      <c r="M57" s="791"/>
      <c r="N57" s="791"/>
      <c r="O57" s="791"/>
      <c r="P57" s="791"/>
      <c r="Q57" s="791"/>
      <c r="R57" s="791"/>
      <c r="S57" s="791"/>
      <c r="T57" s="791"/>
      <c r="U57" s="791"/>
      <c r="V57" s="791"/>
      <c r="W57" s="791"/>
      <c r="X57" s="791"/>
      <c r="Y57" s="791"/>
      <c r="Z57" s="791"/>
      <c r="AA57" s="791"/>
      <c r="AB57" s="791"/>
      <c r="AC57" s="791"/>
      <c r="AD57" s="791"/>
      <c r="AE57" s="791"/>
      <c r="AF57" s="791"/>
      <c r="AG57" s="791"/>
      <c r="AH57" s="791"/>
      <c r="AI57" s="791"/>
    </row>
    <row r="58" spans="1:35" s="21" customFormat="1" ht="25.5" customHeight="1">
      <c r="A58" s="804"/>
      <c r="B58" s="802" t="s">
        <v>702</v>
      </c>
      <c r="C58" s="803">
        <v>5498832</v>
      </c>
      <c r="D58" s="803">
        <v>0</v>
      </c>
      <c r="E58" s="791"/>
      <c r="F58" s="791"/>
      <c r="G58" s="791"/>
      <c r="H58" s="791"/>
      <c r="I58" s="791"/>
      <c r="J58" s="791"/>
      <c r="K58" s="791"/>
      <c r="L58" s="791"/>
      <c r="M58" s="791"/>
      <c r="N58" s="791"/>
      <c r="O58" s="791"/>
      <c r="P58" s="791"/>
      <c r="Q58" s="791"/>
      <c r="R58" s="791"/>
      <c r="S58" s="791"/>
      <c r="T58" s="791"/>
      <c r="U58" s="791"/>
      <c r="V58" s="791"/>
      <c r="W58" s="791"/>
      <c r="X58" s="791"/>
      <c r="Y58" s="791"/>
      <c r="Z58" s="791"/>
      <c r="AA58" s="791"/>
      <c r="AB58" s="791"/>
      <c r="AC58" s="791"/>
      <c r="AD58" s="791"/>
      <c r="AE58" s="791"/>
      <c r="AF58" s="791"/>
      <c r="AG58" s="791"/>
      <c r="AH58" s="791"/>
      <c r="AI58" s="791"/>
    </row>
    <row r="59" spans="1:35" s="21" customFormat="1" ht="25.5" customHeight="1">
      <c r="A59" s="795" t="s">
        <v>8</v>
      </c>
      <c r="B59" s="785" t="s">
        <v>0</v>
      </c>
      <c r="C59" s="785"/>
      <c r="D59" s="785"/>
      <c r="E59" s="793"/>
      <c r="F59" s="793"/>
      <c r="G59" s="793"/>
      <c r="H59" s="793"/>
      <c r="I59" s="793"/>
      <c r="J59" s="793"/>
      <c r="K59" s="793"/>
      <c r="L59" s="793"/>
      <c r="M59" s="793"/>
      <c r="N59" s="793"/>
      <c r="O59" s="793"/>
      <c r="P59" s="793"/>
      <c r="Q59" s="793"/>
      <c r="R59" s="793"/>
      <c r="S59" s="793"/>
      <c r="T59" s="793"/>
      <c r="U59" s="793"/>
      <c r="V59" s="793"/>
      <c r="W59" s="793"/>
      <c r="X59" s="793"/>
      <c r="Y59" s="793"/>
      <c r="Z59" s="793"/>
      <c r="AA59" s="793"/>
      <c r="AB59" s="793"/>
      <c r="AC59" s="793"/>
      <c r="AD59" s="793"/>
      <c r="AE59" s="793"/>
      <c r="AF59" s="793"/>
      <c r="AG59" s="793"/>
      <c r="AH59" s="793"/>
      <c r="AI59" s="793"/>
    </row>
    <row r="60" spans="1:35" s="26" customFormat="1" ht="30.75" customHeight="1">
      <c r="A60" s="804"/>
      <c r="B60" s="799" t="s">
        <v>677</v>
      </c>
      <c r="C60" s="800">
        <v>2491661476</v>
      </c>
      <c r="D60" s="800">
        <v>2203716722</v>
      </c>
      <c r="E60" s="791"/>
      <c r="F60" s="791"/>
      <c r="G60" s="791"/>
      <c r="H60" s="791"/>
      <c r="I60" s="791"/>
      <c r="J60" s="791"/>
      <c r="K60" s="791"/>
      <c r="L60" s="791"/>
      <c r="M60" s="791"/>
      <c r="N60" s="791"/>
      <c r="O60" s="791"/>
      <c r="P60" s="791"/>
      <c r="Q60" s="791"/>
      <c r="R60" s="791"/>
      <c r="S60" s="791"/>
      <c r="T60" s="791"/>
      <c r="U60" s="791"/>
      <c r="V60" s="791"/>
      <c r="W60" s="791"/>
      <c r="X60" s="791"/>
      <c r="Y60" s="791"/>
      <c r="Z60" s="791"/>
      <c r="AA60" s="791"/>
      <c r="AB60" s="791"/>
      <c r="AC60" s="791"/>
      <c r="AD60" s="791"/>
      <c r="AE60" s="791"/>
      <c r="AF60" s="791"/>
      <c r="AG60" s="791"/>
      <c r="AH60" s="791"/>
      <c r="AI60" s="791"/>
    </row>
    <row r="61" spans="1:35" s="21" customFormat="1" ht="25.5" customHeight="1">
      <c r="A61" s="804"/>
      <c r="B61" s="802" t="s">
        <v>692</v>
      </c>
      <c r="C61" s="803">
        <v>225171661</v>
      </c>
      <c r="D61" s="803">
        <v>225171661</v>
      </c>
      <c r="E61" s="791"/>
      <c r="F61" s="791"/>
      <c r="G61" s="791"/>
      <c r="H61" s="791"/>
      <c r="I61" s="791"/>
      <c r="J61" s="791"/>
      <c r="K61" s="791"/>
      <c r="L61" s="791"/>
      <c r="M61" s="791"/>
      <c r="N61" s="791"/>
      <c r="O61" s="791"/>
      <c r="P61" s="791"/>
      <c r="Q61" s="791"/>
      <c r="R61" s="791"/>
      <c r="S61" s="791"/>
      <c r="T61" s="791"/>
      <c r="U61" s="791"/>
      <c r="V61" s="791"/>
      <c r="W61" s="791"/>
      <c r="X61" s="791"/>
      <c r="Y61" s="791"/>
      <c r="Z61" s="791"/>
      <c r="AA61" s="791"/>
      <c r="AB61" s="791"/>
      <c r="AC61" s="791"/>
      <c r="AD61" s="791"/>
      <c r="AE61" s="791"/>
      <c r="AF61" s="791"/>
      <c r="AG61" s="791"/>
      <c r="AH61" s="791"/>
      <c r="AI61" s="791"/>
    </row>
    <row r="62" spans="1:35" s="21" customFormat="1" ht="25.5" customHeight="1">
      <c r="A62" s="804"/>
      <c r="B62" s="802" t="s">
        <v>693</v>
      </c>
      <c r="C62" s="803">
        <v>13515000</v>
      </c>
      <c r="D62" s="803">
        <v>13515000</v>
      </c>
      <c r="E62" s="791"/>
      <c r="F62" s="791"/>
      <c r="G62" s="791"/>
      <c r="H62" s="791"/>
      <c r="I62" s="791"/>
      <c r="J62" s="791"/>
      <c r="K62" s="791"/>
      <c r="L62" s="791"/>
      <c r="M62" s="791"/>
      <c r="N62" s="791"/>
      <c r="O62" s="791"/>
      <c r="P62" s="791"/>
      <c r="Q62" s="791"/>
      <c r="R62" s="791"/>
      <c r="S62" s="791"/>
      <c r="T62" s="791"/>
      <c r="U62" s="791"/>
      <c r="V62" s="791"/>
      <c r="W62" s="791"/>
      <c r="X62" s="791"/>
      <c r="Y62" s="791"/>
      <c r="Z62" s="791"/>
      <c r="AA62" s="791"/>
      <c r="AB62" s="791"/>
      <c r="AC62" s="791"/>
      <c r="AD62" s="791"/>
      <c r="AE62" s="791"/>
      <c r="AF62" s="791"/>
      <c r="AG62" s="791"/>
      <c r="AH62" s="791"/>
      <c r="AI62" s="791"/>
    </row>
    <row r="63" spans="1:35" s="21" customFormat="1" ht="25.5" customHeight="1">
      <c r="A63" s="804"/>
      <c r="B63" s="802" t="s">
        <v>694</v>
      </c>
      <c r="C63" s="803">
        <v>1076661653</v>
      </c>
      <c r="D63" s="803">
        <v>1076661653</v>
      </c>
      <c r="E63" s="791"/>
      <c r="F63" s="791"/>
      <c r="G63" s="791"/>
      <c r="H63" s="791"/>
      <c r="I63" s="791"/>
      <c r="J63" s="791"/>
      <c r="K63" s="791"/>
      <c r="L63" s="791"/>
      <c r="M63" s="791"/>
      <c r="N63" s="791"/>
      <c r="O63" s="791"/>
      <c r="P63" s="791"/>
      <c r="Q63" s="791"/>
      <c r="R63" s="791"/>
      <c r="S63" s="791"/>
      <c r="T63" s="791"/>
      <c r="U63" s="791"/>
      <c r="V63" s="791"/>
      <c r="W63" s="791"/>
      <c r="X63" s="791"/>
      <c r="Y63" s="791"/>
      <c r="Z63" s="791"/>
      <c r="AA63" s="791"/>
      <c r="AB63" s="791"/>
      <c r="AC63" s="791"/>
      <c r="AD63" s="791"/>
      <c r="AE63" s="791"/>
      <c r="AF63" s="791"/>
      <c r="AG63" s="791"/>
      <c r="AH63" s="791"/>
      <c r="AI63" s="791"/>
    </row>
    <row r="64" spans="1:35" s="21" customFormat="1" ht="25.5" customHeight="1">
      <c r="A64" s="804"/>
      <c r="B64" s="802" t="s">
        <v>695</v>
      </c>
      <c r="C64" s="803">
        <v>146099746</v>
      </c>
      <c r="D64" s="803">
        <v>146099746</v>
      </c>
      <c r="E64" s="791"/>
      <c r="F64" s="791"/>
      <c r="G64" s="791"/>
      <c r="H64" s="791"/>
      <c r="I64" s="791"/>
      <c r="J64" s="791"/>
      <c r="K64" s="791"/>
      <c r="L64" s="791"/>
      <c r="M64" s="791"/>
      <c r="N64" s="791"/>
      <c r="O64" s="791"/>
      <c r="P64" s="791"/>
      <c r="Q64" s="791"/>
      <c r="R64" s="791"/>
      <c r="S64" s="791"/>
      <c r="T64" s="791"/>
      <c r="U64" s="791"/>
      <c r="V64" s="791"/>
      <c r="W64" s="791"/>
      <c r="X64" s="791"/>
      <c r="Y64" s="791"/>
      <c r="Z64" s="791"/>
      <c r="AA64" s="791"/>
      <c r="AB64" s="791"/>
      <c r="AC64" s="791"/>
      <c r="AD64" s="791"/>
      <c r="AE64" s="791"/>
      <c r="AF64" s="791"/>
      <c r="AG64" s="791"/>
      <c r="AH64" s="791"/>
      <c r="AI64" s="791"/>
    </row>
    <row r="65" spans="1:8" s="21" customFormat="1" ht="25.5" customHeight="1">
      <c r="A65" s="801"/>
      <c r="B65" s="802" t="s">
        <v>696</v>
      </c>
      <c r="C65" s="803">
        <v>378454866</v>
      </c>
      <c r="D65" s="803">
        <v>285657639</v>
      </c>
      <c r="E65" s="791"/>
      <c r="F65" s="791"/>
      <c r="G65" s="791"/>
      <c r="H65" s="791"/>
    </row>
    <row r="66" spans="1:8" s="21" customFormat="1" ht="25.5" customHeight="1">
      <c r="A66" s="801"/>
      <c r="B66" s="802" t="s">
        <v>697</v>
      </c>
      <c r="C66" s="803">
        <v>414526142</v>
      </c>
      <c r="D66" s="803">
        <v>283293988</v>
      </c>
      <c r="E66" s="791"/>
      <c r="F66" s="791"/>
      <c r="G66" s="791"/>
      <c r="H66" s="791"/>
    </row>
    <row r="67" spans="1:8" s="21" customFormat="1" ht="25.5" customHeight="1">
      <c r="A67" s="801"/>
      <c r="B67" s="802" t="s">
        <v>703</v>
      </c>
      <c r="C67" s="803">
        <v>77615040</v>
      </c>
      <c r="D67" s="803">
        <v>77615040</v>
      </c>
      <c r="E67" s="791"/>
      <c r="F67" s="791"/>
      <c r="G67" s="791"/>
      <c r="H67" s="791"/>
    </row>
    <row r="68" spans="1:8" s="21" customFormat="1" ht="25.5" customHeight="1">
      <c r="A68" s="801"/>
      <c r="B68" s="802" t="s">
        <v>706</v>
      </c>
      <c r="C68" s="803">
        <v>14385000</v>
      </c>
      <c r="D68" s="803">
        <v>14385000</v>
      </c>
      <c r="E68" s="791"/>
      <c r="F68" s="791"/>
      <c r="G68" s="791"/>
      <c r="H68" s="791"/>
    </row>
    <row r="69" spans="1:8" s="21" customFormat="1" ht="25.5" customHeight="1">
      <c r="A69" s="801"/>
      <c r="B69" s="802" t="s">
        <v>698</v>
      </c>
      <c r="C69" s="803">
        <v>56930031</v>
      </c>
      <c r="D69" s="803">
        <v>37416629</v>
      </c>
      <c r="E69" s="791"/>
      <c r="F69" s="791"/>
      <c r="G69" s="791"/>
      <c r="H69" s="791"/>
    </row>
    <row r="70" spans="1:8" s="21" customFormat="1" ht="25.5" customHeight="1">
      <c r="A70" s="801"/>
      <c r="B70" s="802" t="s">
        <v>699</v>
      </c>
      <c r="C70" s="803">
        <v>73522970</v>
      </c>
      <c r="D70" s="803">
        <v>43900366</v>
      </c>
      <c r="E70" s="791"/>
      <c r="F70" s="791"/>
      <c r="G70" s="791"/>
      <c r="H70" s="791"/>
    </row>
    <row r="71" spans="1:8" s="21" customFormat="1" ht="25.5" customHeight="1">
      <c r="A71" s="801"/>
      <c r="B71" s="802" t="s">
        <v>700</v>
      </c>
      <c r="C71" s="803">
        <v>216000</v>
      </c>
      <c r="D71" s="803">
        <v>0</v>
      </c>
      <c r="E71" s="791"/>
      <c r="F71" s="791"/>
      <c r="G71" s="791"/>
      <c r="H71" s="791"/>
    </row>
    <row r="72" spans="1:8" s="21" customFormat="1" ht="25.5" customHeight="1">
      <c r="A72" s="801"/>
      <c r="B72" s="802" t="s">
        <v>701</v>
      </c>
      <c r="C72" s="803">
        <v>862000</v>
      </c>
      <c r="D72" s="803">
        <v>0</v>
      </c>
      <c r="E72" s="791"/>
      <c r="F72" s="791"/>
      <c r="G72" s="791"/>
      <c r="H72" s="791"/>
    </row>
    <row r="73" spans="1:8" s="21" customFormat="1" ht="25.5" customHeight="1">
      <c r="A73" s="801"/>
      <c r="B73" s="802" t="s">
        <v>707</v>
      </c>
      <c r="C73" s="803">
        <v>13464867</v>
      </c>
      <c r="D73" s="803">
        <v>0</v>
      </c>
      <c r="E73" s="791"/>
      <c r="F73" s="791"/>
      <c r="G73" s="791"/>
      <c r="H73" s="791"/>
    </row>
    <row r="74" spans="1:8" s="21" customFormat="1" ht="25.5" customHeight="1">
      <c r="A74" s="801"/>
      <c r="B74" s="802" t="s">
        <v>702</v>
      </c>
      <c r="C74" s="803">
        <v>236500</v>
      </c>
      <c r="D74" s="803">
        <v>0</v>
      </c>
      <c r="E74" s="791"/>
      <c r="F74" s="791"/>
      <c r="G74" s="791"/>
      <c r="H74" s="791"/>
    </row>
    <row r="75" spans="1:8" s="21" customFormat="1" ht="25.5" customHeight="1">
      <c r="A75" s="798" t="s">
        <v>708</v>
      </c>
      <c r="B75" s="799" t="s">
        <v>709</v>
      </c>
      <c r="C75" s="800">
        <v>1356744981</v>
      </c>
      <c r="D75" s="800">
        <v>393941940</v>
      </c>
      <c r="E75" s="791"/>
      <c r="F75" s="791"/>
      <c r="G75" s="791"/>
      <c r="H75" s="791"/>
    </row>
    <row r="76" spans="1:8" s="21" customFormat="1" ht="25.5" customHeight="1">
      <c r="A76" s="798"/>
      <c r="B76" s="799" t="s">
        <v>671</v>
      </c>
      <c r="C76" s="800">
        <v>1165404374</v>
      </c>
      <c r="D76" s="800">
        <v>360564169</v>
      </c>
      <c r="E76" s="791"/>
      <c r="F76" s="791"/>
      <c r="G76" s="791"/>
      <c r="H76" s="791"/>
    </row>
    <row r="77" spans="1:8" s="21" customFormat="1" ht="25.5" customHeight="1">
      <c r="A77" s="798"/>
      <c r="B77" s="799" t="s">
        <v>710</v>
      </c>
      <c r="C77" s="800">
        <v>527410841</v>
      </c>
      <c r="D77" s="800">
        <v>267807711</v>
      </c>
      <c r="E77" s="791"/>
      <c r="F77" s="791"/>
      <c r="G77" s="791"/>
      <c r="H77" s="791"/>
    </row>
    <row r="78" spans="1:8" s="21" customFormat="1" ht="25.5" customHeight="1">
      <c r="A78" s="801"/>
      <c r="B78" s="802" t="s">
        <v>711</v>
      </c>
      <c r="C78" s="803">
        <v>73002739</v>
      </c>
      <c r="D78" s="803">
        <v>4357705</v>
      </c>
      <c r="E78" s="791"/>
      <c r="F78" s="791"/>
      <c r="G78" s="791"/>
      <c r="H78" s="791"/>
    </row>
    <row r="79" spans="1:8" s="21" customFormat="1" ht="25.5" customHeight="1">
      <c r="A79" s="804"/>
      <c r="B79" s="802" t="s">
        <v>712</v>
      </c>
      <c r="C79" s="803">
        <v>454408102</v>
      </c>
      <c r="D79" s="803">
        <v>263450006</v>
      </c>
      <c r="E79" s="791"/>
      <c r="F79" s="791"/>
      <c r="G79" s="791"/>
      <c r="H79" s="791"/>
    </row>
    <row r="80" spans="1:8" s="21" customFormat="1" ht="25.5" customHeight="1">
      <c r="A80" s="804"/>
      <c r="B80" s="799" t="s">
        <v>713</v>
      </c>
      <c r="C80" s="800">
        <v>637993533</v>
      </c>
      <c r="D80" s="800">
        <v>92756458</v>
      </c>
      <c r="E80" s="791"/>
      <c r="F80" s="791"/>
      <c r="G80" s="791"/>
      <c r="H80" s="791">
        <v>0</v>
      </c>
    </row>
    <row r="81" spans="1:8" s="21" customFormat="1" ht="25.5" customHeight="1">
      <c r="A81" s="804"/>
      <c r="B81" s="802" t="s">
        <v>714</v>
      </c>
      <c r="C81" s="803">
        <v>8021618</v>
      </c>
      <c r="D81" s="803">
        <v>3202090</v>
      </c>
      <c r="E81" s="791"/>
      <c r="F81" s="791"/>
      <c r="G81" s="791"/>
      <c r="H81" s="791"/>
    </row>
    <row r="82" spans="1:8" s="21" customFormat="1" ht="25.5" customHeight="1">
      <c r="A82" s="804"/>
      <c r="B82" s="802" t="s">
        <v>715</v>
      </c>
      <c r="C82" s="803">
        <v>89952732</v>
      </c>
      <c r="D82" s="803">
        <v>31601852</v>
      </c>
      <c r="E82" s="791"/>
      <c r="F82" s="791"/>
      <c r="G82" s="791"/>
      <c r="H82" s="791"/>
    </row>
    <row r="83" spans="1:8" s="21" customFormat="1" ht="25.5" customHeight="1">
      <c r="A83" s="804"/>
      <c r="B83" s="802" t="s">
        <v>716</v>
      </c>
      <c r="C83" s="803">
        <v>454000</v>
      </c>
      <c r="D83" s="803">
        <v>454000</v>
      </c>
      <c r="E83" s="791"/>
      <c r="F83" s="791"/>
      <c r="G83" s="791"/>
      <c r="H83" s="791"/>
    </row>
    <row r="84" spans="1:8" s="21" customFormat="1" ht="25.5" customHeight="1">
      <c r="A84" s="804"/>
      <c r="B84" s="802" t="s">
        <v>1015</v>
      </c>
      <c r="C84" s="803">
        <v>51826480</v>
      </c>
      <c r="D84" s="803">
        <v>41919724</v>
      </c>
      <c r="E84" s="791"/>
      <c r="F84" s="791"/>
      <c r="G84" s="791"/>
      <c r="H84" s="791"/>
    </row>
    <row r="85" spans="1:8" s="21" customFormat="1" ht="25.5" customHeight="1">
      <c r="A85" s="804"/>
      <c r="B85" s="802" t="s">
        <v>717</v>
      </c>
      <c r="C85" s="803">
        <v>911779</v>
      </c>
      <c r="D85" s="803">
        <v>350345</v>
      </c>
      <c r="E85" s="791"/>
      <c r="F85" s="791"/>
      <c r="G85" s="791"/>
      <c r="H85" s="791"/>
    </row>
    <row r="86" spans="1:8" s="21" customFormat="1" ht="25.5" customHeight="1">
      <c r="A86" s="804"/>
      <c r="B86" s="802" t="s">
        <v>718</v>
      </c>
      <c r="C86" s="803">
        <v>2555000</v>
      </c>
      <c r="D86" s="803">
        <v>2555000</v>
      </c>
      <c r="E86" s="791"/>
      <c r="F86" s="791"/>
      <c r="G86" s="791"/>
      <c r="H86" s="791"/>
    </row>
    <row r="87" spans="1:8" s="21" customFormat="1" ht="25.5" customHeight="1">
      <c r="A87" s="804"/>
      <c r="B87" s="802" t="s">
        <v>719</v>
      </c>
      <c r="C87" s="803">
        <v>35598873</v>
      </c>
      <c r="D87" s="803">
        <v>12673447</v>
      </c>
      <c r="E87" s="791"/>
      <c r="F87" s="791"/>
      <c r="G87" s="791"/>
      <c r="H87" s="791"/>
    </row>
    <row r="88" spans="1:8" s="21" customFormat="1" ht="25.5" customHeight="1">
      <c r="A88" s="804"/>
      <c r="B88" s="802" t="s">
        <v>720</v>
      </c>
      <c r="C88" s="803">
        <v>39416360</v>
      </c>
      <c r="D88" s="803">
        <v>0</v>
      </c>
      <c r="E88" s="791"/>
      <c r="F88" s="791"/>
      <c r="G88" s="791"/>
      <c r="H88" s="791"/>
    </row>
    <row r="89" spans="1:8" s="21" customFormat="1" ht="25.5" customHeight="1">
      <c r="A89" s="804"/>
      <c r="B89" s="802" t="s">
        <v>721</v>
      </c>
      <c r="C89" s="803">
        <v>2025050</v>
      </c>
      <c r="D89" s="803">
        <v>0</v>
      </c>
      <c r="E89" s="791"/>
      <c r="F89" s="791"/>
      <c r="G89" s="791"/>
      <c r="H89" s="791">
        <v>0</v>
      </c>
    </row>
    <row r="90" spans="1:8" s="21" customFormat="1" ht="25.5" customHeight="1">
      <c r="A90" s="804"/>
      <c r="B90" s="802" t="s">
        <v>722</v>
      </c>
      <c r="C90" s="803">
        <v>129717408</v>
      </c>
      <c r="D90" s="803">
        <v>0</v>
      </c>
      <c r="E90" s="791"/>
      <c r="F90" s="791"/>
      <c r="G90" s="791"/>
      <c r="H90" s="791"/>
    </row>
    <row r="91" spans="1:8" s="21" customFormat="1" ht="25.5" customHeight="1">
      <c r="A91" s="804"/>
      <c r="B91" s="802" t="s">
        <v>723</v>
      </c>
      <c r="C91" s="803">
        <v>137919655</v>
      </c>
      <c r="D91" s="803">
        <v>0</v>
      </c>
      <c r="E91" s="791"/>
      <c r="F91" s="791"/>
      <c r="G91" s="791"/>
      <c r="H91" s="791"/>
    </row>
    <row r="92" spans="1:8" s="21" customFormat="1" ht="25.5" customHeight="1">
      <c r="A92" s="804"/>
      <c r="B92" s="802" t="s">
        <v>724</v>
      </c>
      <c r="C92" s="803">
        <v>79261756</v>
      </c>
      <c r="D92" s="803">
        <v>0</v>
      </c>
      <c r="E92" s="791"/>
      <c r="F92" s="791"/>
      <c r="G92" s="791"/>
      <c r="H92" s="791"/>
    </row>
    <row r="93" spans="1:8" s="21" customFormat="1" ht="25.5" customHeight="1">
      <c r="A93" s="801"/>
      <c r="B93" s="802" t="s">
        <v>725</v>
      </c>
      <c r="C93" s="803">
        <v>60332822</v>
      </c>
      <c r="D93" s="803">
        <v>0</v>
      </c>
      <c r="E93" s="791"/>
      <c r="F93" s="791"/>
      <c r="G93" s="791"/>
      <c r="H93" s="791"/>
    </row>
    <row r="94" spans="1:8" s="21" customFormat="1" ht="25.5" customHeight="1">
      <c r="A94" s="798"/>
      <c r="B94" s="799" t="s">
        <v>677</v>
      </c>
      <c r="C94" s="800">
        <v>191340607</v>
      </c>
      <c r="D94" s="800">
        <v>33377771</v>
      </c>
      <c r="E94" s="791"/>
      <c r="F94" s="791"/>
      <c r="G94" s="791"/>
      <c r="H94" s="791"/>
    </row>
    <row r="95" spans="1:8" s="21" customFormat="1" ht="25.5" customHeight="1">
      <c r="A95" s="801"/>
      <c r="B95" s="802" t="s">
        <v>726</v>
      </c>
      <c r="C95" s="803">
        <v>1864461</v>
      </c>
      <c r="D95" s="803">
        <v>230103</v>
      </c>
      <c r="E95" s="791"/>
      <c r="F95" s="791"/>
      <c r="G95" s="791"/>
      <c r="H95" s="791"/>
    </row>
    <row r="96" spans="1:8" s="21" customFormat="1" ht="25.5" customHeight="1">
      <c r="A96" s="801"/>
      <c r="B96" s="802" t="s">
        <v>727</v>
      </c>
      <c r="C96" s="803">
        <v>48972803</v>
      </c>
      <c r="D96" s="803">
        <v>32661300</v>
      </c>
      <c r="E96" s="791"/>
      <c r="F96" s="791"/>
      <c r="G96" s="791"/>
      <c r="H96" s="791"/>
    </row>
    <row r="97" spans="1:4" s="21" customFormat="1" ht="25.5" customHeight="1">
      <c r="A97" s="801"/>
      <c r="B97" s="802" t="s">
        <v>728</v>
      </c>
      <c r="C97" s="803">
        <v>7855000</v>
      </c>
      <c r="D97" s="803">
        <v>486368</v>
      </c>
    </row>
    <row r="98" spans="1:4" s="21" customFormat="1" ht="25.5" customHeight="1">
      <c r="A98" s="801"/>
      <c r="B98" s="802" t="s">
        <v>1016</v>
      </c>
      <c r="C98" s="803">
        <v>1018300</v>
      </c>
      <c r="D98" s="803">
        <v>0</v>
      </c>
    </row>
    <row r="99" spans="1:4" s="21" customFormat="1" ht="25.5" customHeight="1">
      <c r="A99" s="801"/>
      <c r="B99" s="802" t="s">
        <v>729</v>
      </c>
      <c r="C99" s="803">
        <v>2674837</v>
      </c>
      <c r="D99" s="803">
        <v>0</v>
      </c>
    </row>
    <row r="100" spans="1:4" s="21" customFormat="1" ht="25.5" customHeight="1">
      <c r="A100" s="801"/>
      <c r="B100" s="802" t="s">
        <v>730</v>
      </c>
      <c r="C100" s="803">
        <v>41832193</v>
      </c>
      <c r="D100" s="803">
        <v>0</v>
      </c>
    </row>
    <row r="101" spans="1:4" s="21" customFormat="1" ht="25.5" customHeight="1">
      <c r="A101" s="801"/>
      <c r="B101" s="802" t="s">
        <v>731</v>
      </c>
      <c r="C101" s="803">
        <v>28344280</v>
      </c>
      <c r="D101" s="803">
        <v>0</v>
      </c>
    </row>
    <row r="102" spans="1:4" s="21" customFormat="1" ht="25.5" customHeight="1">
      <c r="A102" s="801"/>
      <c r="B102" s="802" t="s">
        <v>1017</v>
      </c>
      <c r="C102" s="803">
        <v>8124730</v>
      </c>
      <c r="D102" s="803"/>
    </row>
    <row r="103" spans="1:4" s="21" customFormat="1" ht="25.5" customHeight="1">
      <c r="A103" s="801"/>
      <c r="B103" s="802" t="s">
        <v>732</v>
      </c>
      <c r="C103" s="803">
        <v>50654003</v>
      </c>
      <c r="D103" s="803">
        <v>0</v>
      </c>
    </row>
    <row r="104" spans="1:4" s="21" customFormat="1" ht="25.5" customHeight="1">
      <c r="A104" s="798" t="s">
        <v>733</v>
      </c>
      <c r="B104" s="799" t="s">
        <v>189</v>
      </c>
      <c r="C104" s="800">
        <v>325000</v>
      </c>
      <c r="D104" s="800">
        <v>48329</v>
      </c>
    </row>
    <row r="105" spans="1:4" s="21" customFormat="1" ht="25.5" customHeight="1">
      <c r="A105" s="798"/>
      <c r="B105" s="799" t="s">
        <v>671</v>
      </c>
      <c r="C105" s="800">
        <v>325000</v>
      </c>
      <c r="D105" s="800">
        <v>48329</v>
      </c>
    </row>
    <row r="106" spans="1:4" s="21" customFormat="1" ht="25.5" customHeight="1">
      <c r="A106" s="798"/>
      <c r="B106" s="799" t="s">
        <v>734</v>
      </c>
      <c r="C106" s="800">
        <v>325000</v>
      </c>
      <c r="D106" s="800">
        <v>48329</v>
      </c>
    </row>
    <row r="107" spans="1:4" s="21" customFormat="1" ht="25.5" customHeight="1">
      <c r="A107" s="798"/>
      <c r="B107" s="802" t="s">
        <v>1018</v>
      </c>
      <c r="C107" s="803">
        <v>175000</v>
      </c>
      <c r="D107" s="803">
        <v>48329</v>
      </c>
    </row>
    <row r="108" spans="1:4" s="21" customFormat="1" ht="25.5" customHeight="1">
      <c r="A108" s="798"/>
      <c r="B108" s="802" t="s">
        <v>1019</v>
      </c>
      <c r="C108" s="803">
        <v>150000</v>
      </c>
      <c r="D108" s="803">
        <v>0</v>
      </c>
    </row>
    <row r="109" spans="1:4" s="21" customFormat="1" ht="25.5" customHeight="1">
      <c r="A109" s="798" t="s">
        <v>735</v>
      </c>
      <c r="B109" s="799" t="s">
        <v>190</v>
      </c>
      <c r="C109" s="800">
        <v>298790176</v>
      </c>
      <c r="D109" s="800">
        <v>298790176</v>
      </c>
    </row>
    <row r="110" spans="1:4" s="21" customFormat="1" ht="25.5" customHeight="1">
      <c r="A110" s="798" t="s">
        <v>668</v>
      </c>
      <c r="B110" s="799" t="s">
        <v>688</v>
      </c>
      <c r="C110" s="800">
        <v>20951625163</v>
      </c>
      <c r="D110" s="800">
        <v>15515947551</v>
      </c>
    </row>
    <row r="111" spans="1:4" s="21" customFormat="1" ht="25.5" customHeight="1">
      <c r="A111" s="798" t="s">
        <v>737</v>
      </c>
      <c r="B111" s="799" t="s">
        <v>192</v>
      </c>
      <c r="C111" s="800">
        <v>248818584</v>
      </c>
      <c r="D111" s="800">
        <v>131966200</v>
      </c>
    </row>
    <row r="112" spans="1:4" s="21" customFormat="1" ht="25.5" customHeight="1">
      <c r="A112" s="798" t="s">
        <v>736</v>
      </c>
      <c r="B112" s="799" t="s">
        <v>195</v>
      </c>
      <c r="C112" s="800">
        <v>248818584</v>
      </c>
      <c r="D112" s="800">
        <v>131966200</v>
      </c>
    </row>
    <row r="113" spans="1:35" s="21" customFormat="1" ht="25.5" customHeight="1">
      <c r="A113" s="795" t="s">
        <v>8</v>
      </c>
      <c r="B113" s="785" t="s">
        <v>0</v>
      </c>
      <c r="C113" s="785" t="s">
        <v>748</v>
      </c>
      <c r="D113" s="785" t="s">
        <v>667</v>
      </c>
      <c r="E113" s="793"/>
      <c r="F113" s="793"/>
      <c r="G113" s="793"/>
      <c r="H113" s="793"/>
      <c r="I113" s="793"/>
      <c r="J113" s="793"/>
      <c r="K113" s="793"/>
      <c r="L113" s="793"/>
      <c r="M113" s="793"/>
      <c r="N113" s="793"/>
      <c r="O113" s="793"/>
      <c r="P113" s="793"/>
      <c r="Q113" s="793"/>
      <c r="R113" s="793"/>
      <c r="S113" s="793"/>
      <c r="T113" s="793"/>
      <c r="U113" s="793"/>
      <c r="V113" s="793"/>
      <c r="W113" s="793"/>
      <c r="X113" s="793"/>
      <c r="Y113" s="793"/>
      <c r="Z113" s="793"/>
      <c r="AA113" s="793"/>
      <c r="AB113" s="793"/>
      <c r="AC113" s="793"/>
      <c r="AD113" s="793"/>
      <c r="AE113" s="793"/>
      <c r="AF113" s="793"/>
      <c r="AG113" s="793"/>
      <c r="AH113" s="793"/>
      <c r="AI113" s="793"/>
    </row>
    <row r="114" spans="1:35" s="21" customFormat="1" ht="25.5" customHeight="1">
      <c r="A114" s="798" t="s">
        <v>109</v>
      </c>
      <c r="B114" s="799" t="s">
        <v>740</v>
      </c>
      <c r="C114" s="802"/>
      <c r="D114" s="802"/>
      <c r="E114" s="791"/>
      <c r="F114" s="791"/>
      <c r="G114" s="791"/>
      <c r="H114" s="791"/>
      <c r="I114" s="791"/>
      <c r="J114" s="791"/>
      <c r="K114" s="791"/>
      <c r="L114" s="791"/>
      <c r="M114" s="791"/>
      <c r="N114" s="791"/>
      <c r="O114" s="791"/>
      <c r="P114" s="791"/>
      <c r="Q114" s="791"/>
      <c r="R114" s="791"/>
      <c r="S114" s="791"/>
      <c r="T114" s="791"/>
      <c r="U114" s="791"/>
      <c r="V114" s="791"/>
      <c r="W114" s="791"/>
      <c r="X114" s="791"/>
      <c r="Y114" s="791"/>
      <c r="Z114" s="791"/>
      <c r="AA114" s="791"/>
      <c r="AB114" s="791"/>
      <c r="AC114" s="791"/>
      <c r="AD114" s="791"/>
      <c r="AE114" s="791"/>
      <c r="AF114" s="791"/>
      <c r="AG114" s="791"/>
      <c r="AH114" s="791"/>
      <c r="AI114" s="791"/>
    </row>
    <row r="115" spans="1:35" s="26" customFormat="1" ht="30.75" customHeight="1">
      <c r="A115" s="801"/>
      <c r="B115" s="799" t="s">
        <v>671</v>
      </c>
      <c r="C115" s="800">
        <v>257498203</v>
      </c>
      <c r="D115" s="800">
        <v>81560395</v>
      </c>
      <c r="E115" s="791"/>
      <c r="F115" s="791"/>
      <c r="G115" s="791"/>
      <c r="H115" s="791"/>
      <c r="I115" s="791"/>
      <c r="J115" s="791"/>
      <c r="K115" s="791"/>
      <c r="L115" s="791"/>
      <c r="M115" s="791"/>
      <c r="N115" s="791"/>
      <c r="O115" s="791"/>
      <c r="P115" s="791"/>
      <c r="Q115" s="791"/>
      <c r="R115" s="791"/>
      <c r="S115" s="791"/>
      <c r="T115" s="791"/>
      <c r="U115" s="791"/>
      <c r="V115" s="791"/>
      <c r="W115" s="791"/>
      <c r="X115" s="791"/>
      <c r="Y115" s="791"/>
      <c r="Z115" s="791"/>
      <c r="AA115" s="791"/>
      <c r="AB115" s="791"/>
      <c r="AC115" s="791"/>
      <c r="AD115" s="791"/>
      <c r="AE115" s="791"/>
      <c r="AF115" s="791"/>
      <c r="AG115" s="791"/>
      <c r="AH115" s="791"/>
      <c r="AI115" s="791"/>
    </row>
    <row r="116" spans="1:35" s="21" customFormat="1" ht="25.5" customHeight="1">
      <c r="A116" s="801"/>
      <c r="B116" s="799" t="s">
        <v>741</v>
      </c>
      <c r="C116" s="800">
        <v>0</v>
      </c>
      <c r="D116" s="800">
        <v>0</v>
      </c>
      <c r="E116" s="791"/>
      <c r="F116" s="791"/>
      <c r="G116" s="791"/>
      <c r="H116" s="791"/>
      <c r="I116" s="791"/>
      <c r="J116" s="791"/>
      <c r="K116" s="791"/>
      <c r="L116" s="791"/>
      <c r="M116" s="791"/>
      <c r="N116" s="791"/>
      <c r="O116" s="791"/>
      <c r="P116" s="791"/>
      <c r="Q116" s="791"/>
      <c r="R116" s="791"/>
      <c r="S116" s="791"/>
      <c r="T116" s="791"/>
      <c r="U116" s="791"/>
      <c r="V116" s="791"/>
      <c r="W116" s="791"/>
      <c r="X116" s="791"/>
      <c r="Y116" s="791"/>
      <c r="Z116" s="791"/>
      <c r="AA116" s="791"/>
      <c r="AB116" s="791"/>
      <c r="AC116" s="791"/>
      <c r="AD116" s="791"/>
      <c r="AE116" s="791"/>
      <c r="AF116" s="791"/>
      <c r="AG116" s="791"/>
      <c r="AH116" s="791"/>
      <c r="AI116" s="791"/>
    </row>
    <row r="117" spans="1:35" s="21" customFormat="1" ht="25.5" customHeight="1">
      <c r="A117" s="801"/>
      <c r="B117" s="799" t="s">
        <v>742</v>
      </c>
      <c r="C117" s="800">
        <v>257498203</v>
      </c>
      <c r="D117" s="800">
        <v>81560395</v>
      </c>
      <c r="E117" s="791"/>
      <c r="F117" s="791"/>
      <c r="G117" s="791"/>
      <c r="H117" s="791"/>
      <c r="I117" s="791"/>
      <c r="J117" s="791"/>
      <c r="K117" s="791"/>
      <c r="L117" s="791"/>
      <c r="M117" s="791"/>
      <c r="N117" s="791"/>
      <c r="O117" s="791"/>
      <c r="P117" s="791"/>
      <c r="Q117" s="791"/>
      <c r="R117" s="791"/>
      <c r="S117" s="791"/>
      <c r="T117" s="791"/>
      <c r="U117" s="791"/>
      <c r="V117" s="791"/>
      <c r="W117" s="791"/>
      <c r="X117" s="791"/>
      <c r="Y117" s="791"/>
      <c r="Z117" s="791"/>
      <c r="AA117" s="791"/>
      <c r="AB117" s="791"/>
      <c r="AC117" s="791"/>
      <c r="AD117" s="791"/>
      <c r="AE117" s="791"/>
      <c r="AF117" s="791"/>
      <c r="AG117" s="791"/>
      <c r="AH117" s="791"/>
      <c r="AI117" s="791"/>
    </row>
    <row r="118" spans="1:35" s="21" customFormat="1" ht="25.5" customHeight="1">
      <c r="A118" s="801"/>
      <c r="B118" s="802" t="s">
        <v>743</v>
      </c>
      <c r="C118" s="803">
        <v>7480860</v>
      </c>
      <c r="D118" s="803">
        <v>7480860</v>
      </c>
      <c r="E118" s="791"/>
      <c r="F118" s="791"/>
      <c r="G118" s="791"/>
      <c r="H118" s="791"/>
      <c r="I118" s="791"/>
      <c r="J118" s="791"/>
      <c r="K118" s="791"/>
      <c r="L118" s="791"/>
      <c r="M118" s="791"/>
      <c r="N118" s="791"/>
      <c r="O118" s="791"/>
      <c r="P118" s="791"/>
      <c r="Q118" s="791"/>
      <c r="R118" s="791"/>
      <c r="S118" s="791"/>
      <c r="T118" s="791"/>
      <c r="U118" s="791"/>
      <c r="V118" s="791"/>
      <c r="W118" s="791"/>
      <c r="X118" s="791"/>
      <c r="Y118" s="791"/>
      <c r="Z118" s="791"/>
      <c r="AA118" s="791"/>
      <c r="AB118" s="791"/>
      <c r="AC118" s="791"/>
      <c r="AD118" s="791"/>
      <c r="AE118" s="791"/>
      <c r="AF118" s="791"/>
      <c r="AG118" s="791"/>
      <c r="AH118" s="791"/>
      <c r="AI118" s="791"/>
    </row>
    <row r="119" spans="1:35" s="21" customFormat="1" ht="25.5" customHeight="1">
      <c r="A119" s="801"/>
      <c r="B119" s="802" t="s">
        <v>744</v>
      </c>
      <c r="C119" s="803">
        <v>4315768</v>
      </c>
      <c r="D119" s="803">
        <v>1800234</v>
      </c>
      <c r="E119" s="791"/>
      <c r="F119" s="791"/>
      <c r="G119" s="791"/>
      <c r="H119" s="791"/>
      <c r="I119" s="791"/>
      <c r="J119" s="791"/>
      <c r="K119" s="791"/>
      <c r="L119" s="791"/>
      <c r="M119" s="791"/>
      <c r="N119" s="791"/>
      <c r="O119" s="791"/>
      <c r="P119" s="791"/>
      <c r="Q119" s="791"/>
      <c r="R119" s="791"/>
      <c r="S119" s="791"/>
      <c r="T119" s="791"/>
      <c r="U119" s="791"/>
      <c r="V119" s="791"/>
      <c r="W119" s="791"/>
      <c r="X119" s="791"/>
      <c r="Y119" s="791"/>
      <c r="Z119" s="791"/>
      <c r="AA119" s="791"/>
      <c r="AB119" s="791"/>
      <c r="AC119" s="791"/>
      <c r="AD119" s="791"/>
      <c r="AE119" s="791"/>
      <c r="AF119" s="791"/>
      <c r="AG119" s="791"/>
      <c r="AH119" s="791"/>
      <c r="AI119" s="791"/>
    </row>
    <row r="120" spans="1:35" s="21" customFormat="1" ht="25.5" customHeight="1">
      <c r="A120" s="801"/>
      <c r="B120" s="802" t="s">
        <v>745</v>
      </c>
      <c r="C120" s="803">
        <v>190681575</v>
      </c>
      <c r="D120" s="803">
        <v>72279301</v>
      </c>
      <c r="E120" s="791"/>
      <c r="F120" s="791"/>
      <c r="G120" s="791"/>
      <c r="H120" s="791"/>
      <c r="I120" s="791"/>
      <c r="J120" s="791"/>
      <c r="K120" s="791"/>
      <c r="L120" s="791"/>
      <c r="M120" s="791"/>
      <c r="N120" s="791"/>
      <c r="O120" s="791"/>
      <c r="P120" s="791"/>
      <c r="Q120" s="791"/>
      <c r="R120" s="791"/>
      <c r="S120" s="791"/>
      <c r="T120" s="791"/>
      <c r="U120" s="791"/>
      <c r="V120" s="791"/>
      <c r="W120" s="791"/>
      <c r="X120" s="791"/>
      <c r="Y120" s="791"/>
      <c r="Z120" s="791"/>
      <c r="AA120" s="791"/>
      <c r="AB120" s="791"/>
      <c r="AC120" s="791"/>
      <c r="AD120" s="791"/>
      <c r="AE120" s="791"/>
      <c r="AF120" s="791"/>
      <c r="AG120" s="791"/>
      <c r="AH120" s="791"/>
      <c r="AI120" s="791"/>
    </row>
    <row r="121" spans="1:35" s="21" customFormat="1" ht="25.5" customHeight="1">
      <c r="A121" s="801"/>
      <c r="B121" s="802" t="s">
        <v>746</v>
      </c>
      <c r="C121" s="803">
        <v>18000000</v>
      </c>
      <c r="D121" s="803">
        <v>0</v>
      </c>
      <c r="E121" s="791"/>
      <c r="F121" s="791"/>
      <c r="G121" s="791"/>
      <c r="H121" s="791"/>
      <c r="I121" s="791"/>
      <c r="J121" s="791"/>
      <c r="K121" s="791"/>
      <c r="L121" s="791"/>
      <c r="M121" s="791"/>
      <c r="N121" s="791"/>
      <c r="O121" s="791"/>
      <c r="P121" s="791"/>
      <c r="Q121" s="791"/>
      <c r="R121" s="791"/>
      <c r="S121" s="791"/>
      <c r="T121" s="791"/>
      <c r="U121" s="791"/>
      <c r="V121" s="791"/>
      <c r="W121" s="791"/>
      <c r="X121" s="791"/>
      <c r="Y121" s="791"/>
      <c r="Z121" s="791"/>
      <c r="AA121" s="791"/>
      <c r="AB121" s="791"/>
      <c r="AC121" s="791"/>
      <c r="AD121" s="791"/>
      <c r="AE121" s="791"/>
      <c r="AF121" s="791"/>
      <c r="AG121" s="791"/>
      <c r="AH121" s="791"/>
      <c r="AI121" s="791"/>
    </row>
    <row r="122" spans="1:35" s="21" customFormat="1" ht="25.5" customHeight="1">
      <c r="A122" s="801"/>
      <c r="B122" s="802" t="s">
        <v>747</v>
      </c>
      <c r="C122" s="803">
        <v>37020000</v>
      </c>
      <c r="D122" s="803">
        <v>0</v>
      </c>
      <c r="E122" s="791"/>
      <c r="F122" s="791"/>
      <c r="G122" s="791"/>
      <c r="H122" s="791"/>
      <c r="I122" s="791"/>
      <c r="J122" s="791"/>
      <c r="K122" s="791"/>
      <c r="L122" s="791"/>
      <c r="M122" s="791"/>
      <c r="N122" s="791"/>
      <c r="O122" s="791"/>
      <c r="P122" s="791"/>
      <c r="Q122" s="791"/>
      <c r="R122" s="791"/>
      <c r="S122" s="791"/>
      <c r="T122" s="791"/>
      <c r="U122" s="791"/>
      <c r="V122" s="791"/>
      <c r="W122" s="791"/>
      <c r="X122" s="791"/>
      <c r="Y122" s="791"/>
      <c r="Z122" s="791"/>
      <c r="AA122" s="791"/>
      <c r="AB122" s="791"/>
      <c r="AC122" s="791"/>
      <c r="AD122" s="791"/>
      <c r="AE122" s="791"/>
      <c r="AF122" s="791"/>
      <c r="AG122" s="791"/>
      <c r="AH122" s="791"/>
      <c r="AI122" s="791"/>
    </row>
    <row r="123" spans="1:35" s="21" customFormat="1" ht="25.5" customHeight="1">
      <c r="A123" s="801"/>
      <c r="B123" s="799" t="s">
        <v>677</v>
      </c>
      <c r="C123" s="800">
        <v>0</v>
      </c>
      <c r="D123" s="800">
        <v>0</v>
      </c>
      <c r="E123" s="791"/>
      <c r="F123" s="791"/>
      <c r="G123" s="791"/>
      <c r="H123" s="791"/>
      <c r="I123" s="791"/>
      <c r="J123" s="791"/>
      <c r="K123" s="791"/>
      <c r="L123" s="791"/>
      <c r="M123" s="791"/>
      <c r="N123" s="791"/>
      <c r="O123" s="791"/>
      <c r="P123" s="791"/>
      <c r="Q123" s="791"/>
      <c r="R123" s="791"/>
      <c r="S123" s="791"/>
      <c r="T123" s="791"/>
      <c r="U123" s="791"/>
      <c r="V123" s="791"/>
      <c r="W123" s="791"/>
      <c r="X123" s="791"/>
      <c r="Y123" s="791"/>
      <c r="Z123" s="791"/>
      <c r="AA123" s="791"/>
      <c r="AB123" s="791"/>
      <c r="AC123" s="791"/>
      <c r="AD123" s="791"/>
      <c r="AE123" s="791"/>
      <c r="AF123" s="791"/>
      <c r="AG123" s="791"/>
      <c r="AH123" s="791"/>
      <c r="AI123" s="791"/>
    </row>
    <row r="124" spans="1:35" s="21" customFormat="1" ht="25.5" customHeight="1">
      <c r="A124" s="798" t="s">
        <v>738</v>
      </c>
      <c r="B124" s="799" t="s">
        <v>739</v>
      </c>
      <c r="C124" s="800">
        <v>257498203</v>
      </c>
      <c r="D124" s="800">
        <v>81560395</v>
      </c>
      <c r="E124" s="791"/>
      <c r="F124" s="791"/>
      <c r="G124" s="791"/>
      <c r="H124" s="791"/>
      <c r="I124" s="791"/>
      <c r="J124" s="791"/>
      <c r="K124" s="791"/>
      <c r="L124" s="791"/>
      <c r="M124" s="791"/>
      <c r="N124" s="791"/>
      <c r="O124" s="791"/>
      <c r="P124" s="791"/>
      <c r="Q124" s="791"/>
      <c r="R124" s="791"/>
      <c r="S124" s="791"/>
      <c r="T124" s="791"/>
      <c r="U124" s="791"/>
      <c r="V124" s="791"/>
      <c r="W124" s="791"/>
      <c r="X124" s="791"/>
      <c r="Y124" s="791"/>
      <c r="Z124" s="791"/>
      <c r="AA124" s="791"/>
      <c r="AB124" s="791"/>
      <c r="AC124" s="791"/>
      <c r="AD124" s="791"/>
      <c r="AE124" s="791"/>
      <c r="AF124" s="791"/>
      <c r="AG124" s="791"/>
      <c r="AH124" s="791"/>
      <c r="AI124" s="791"/>
    </row>
    <row r="125" spans="1:35" s="21" customFormat="1" ht="25.5" customHeight="1">
      <c r="A125" s="805" t="s">
        <v>9</v>
      </c>
      <c r="B125" s="806" t="s">
        <v>196</v>
      </c>
      <c r="C125" s="796">
        <v>21558100258</v>
      </c>
      <c r="D125" s="796">
        <v>15760301001</v>
      </c>
      <c r="E125" s="794"/>
      <c r="F125" s="794"/>
      <c r="G125" s="794"/>
      <c r="H125" s="794"/>
      <c r="I125" s="794"/>
      <c r="J125" s="794"/>
      <c r="K125" s="794"/>
      <c r="L125" s="794"/>
      <c r="M125" s="794"/>
      <c r="N125" s="794"/>
      <c r="O125" s="794"/>
      <c r="P125" s="794"/>
      <c r="Q125" s="794"/>
      <c r="R125" s="794"/>
      <c r="S125" s="794"/>
      <c r="T125" s="794"/>
      <c r="U125" s="794"/>
      <c r="V125" s="794"/>
      <c r="W125" s="794"/>
      <c r="X125" s="794"/>
      <c r="Y125" s="794"/>
      <c r="Z125" s="794"/>
      <c r="AA125" s="794"/>
      <c r="AB125" s="794"/>
      <c r="AC125" s="794"/>
      <c r="AD125" s="794"/>
      <c r="AE125" s="794"/>
      <c r="AF125" s="794"/>
      <c r="AG125" s="794"/>
      <c r="AH125" s="794"/>
      <c r="AI125" s="794"/>
    </row>
    <row r="126" spans="1:35" s="21" customFormat="1" ht="25.5" customHeight="1">
      <c r="A126" s="807" t="s">
        <v>112</v>
      </c>
      <c r="B126" s="808" t="s">
        <v>197</v>
      </c>
      <c r="C126" s="809"/>
      <c r="D126" s="786">
        <v>5741588</v>
      </c>
      <c r="E126" s="794"/>
      <c r="F126" s="794"/>
      <c r="G126" s="794"/>
      <c r="H126" s="794"/>
      <c r="I126" s="794"/>
      <c r="J126" s="794"/>
      <c r="K126" s="794"/>
      <c r="L126" s="794"/>
      <c r="M126" s="794"/>
      <c r="N126" s="794"/>
      <c r="O126" s="794"/>
      <c r="P126" s="794"/>
      <c r="Q126" s="794"/>
      <c r="R126" s="794"/>
      <c r="S126" s="794"/>
      <c r="T126" s="794"/>
      <c r="U126" s="794"/>
      <c r="V126" s="794"/>
      <c r="W126" s="794"/>
      <c r="X126" s="794"/>
      <c r="Y126" s="794"/>
      <c r="Z126" s="794"/>
      <c r="AA126" s="794"/>
      <c r="AB126" s="794"/>
      <c r="AC126" s="794"/>
      <c r="AD126" s="794"/>
      <c r="AE126" s="794"/>
      <c r="AF126" s="794"/>
      <c r="AG126" s="794"/>
      <c r="AH126" s="794"/>
      <c r="AI126" s="794"/>
    </row>
    <row r="127" spans="1:35" s="440" customFormat="1" ht="25.5" customHeight="1">
      <c r="A127" s="807" t="s">
        <v>113</v>
      </c>
      <c r="B127" s="808" t="s">
        <v>198</v>
      </c>
      <c r="C127" s="809"/>
      <c r="D127" s="786">
        <v>10188001</v>
      </c>
      <c r="E127" s="794"/>
      <c r="F127" s="794"/>
      <c r="G127" s="794"/>
      <c r="H127" s="794"/>
      <c r="I127" s="794"/>
      <c r="J127" s="794"/>
      <c r="K127" s="794"/>
      <c r="L127" s="794"/>
      <c r="M127" s="794"/>
      <c r="N127" s="794"/>
      <c r="O127" s="794"/>
      <c r="P127" s="794"/>
      <c r="Q127" s="794"/>
      <c r="R127" s="794"/>
      <c r="S127" s="794"/>
      <c r="T127" s="794"/>
      <c r="U127" s="794"/>
      <c r="V127" s="794"/>
      <c r="W127" s="794"/>
      <c r="X127" s="794"/>
      <c r="Y127" s="794"/>
      <c r="Z127" s="794"/>
      <c r="AA127" s="794"/>
      <c r="AB127" s="794"/>
      <c r="AC127" s="794"/>
      <c r="AD127" s="794"/>
      <c r="AE127" s="794"/>
      <c r="AF127" s="794"/>
      <c r="AG127" s="794"/>
      <c r="AH127" s="794"/>
      <c r="AI127" s="794"/>
    </row>
    <row r="128" spans="1:35" s="440" customFormat="1" ht="24.75" customHeight="1">
      <c r="A128" s="807" t="s">
        <v>114</v>
      </c>
      <c r="B128" s="808" t="s">
        <v>199</v>
      </c>
      <c r="C128" s="809"/>
      <c r="D128" s="786">
        <v>0</v>
      </c>
      <c r="E128" s="794"/>
      <c r="F128" s="794"/>
      <c r="G128" s="794"/>
      <c r="H128" s="794"/>
      <c r="I128" s="794"/>
      <c r="J128" s="794"/>
      <c r="K128" s="794"/>
      <c r="L128" s="794"/>
      <c r="M128" s="794"/>
      <c r="N128" s="794"/>
      <c r="O128" s="794"/>
      <c r="P128" s="794"/>
      <c r="Q128" s="794"/>
      <c r="R128" s="794"/>
      <c r="S128" s="794"/>
      <c r="T128" s="794"/>
      <c r="U128" s="794"/>
      <c r="V128" s="794"/>
      <c r="W128" s="794"/>
      <c r="X128" s="794"/>
      <c r="Y128" s="794"/>
      <c r="Z128" s="794"/>
      <c r="AA128" s="794"/>
      <c r="AB128" s="794"/>
      <c r="AC128" s="794"/>
      <c r="AD128" s="794"/>
      <c r="AE128" s="794"/>
      <c r="AF128" s="794"/>
      <c r="AG128" s="794"/>
      <c r="AH128" s="794"/>
      <c r="AI128" s="794"/>
    </row>
    <row r="129" spans="1:4" s="440" customFormat="1" ht="24.75" customHeight="1">
      <c r="A129" s="805" t="s">
        <v>10</v>
      </c>
      <c r="B129" s="806" t="s">
        <v>48</v>
      </c>
      <c r="C129" s="796"/>
      <c r="D129" s="787">
        <v>15929589</v>
      </c>
    </row>
    <row r="130" spans="1:4" s="440" customFormat="1" ht="24.75" customHeight="1">
      <c r="A130" s="805" t="s">
        <v>11</v>
      </c>
      <c r="B130" s="806" t="s">
        <v>200</v>
      </c>
      <c r="C130" s="796"/>
      <c r="D130" s="787">
        <v>15929589</v>
      </c>
    </row>
    <row r="131" spans="1:4" s="440" customFormat="1" ht="24.75" customHeight="1">
      <c r="A131" s="807" t="s">
        <v>115</v>
      </c>
      <c r="B131" s="808" t="s">
        <v>201</v>
      </c>
      <c r="C131" s="809"/>
      <c r="D131" s="786">
        <v>1041475</v>
      </c>
    </row>
    <row r="132" spans="1:4" s="440" customFormat="1" ht="24.75" customHeight="1">
      <c r="A132" s="807" t="s">
        <v>116</v>
      </c>
      <c r="B132" s="808" t="s">
        <v>202</v>
      </c>
      <c r="C132" s="809"/>
      <c r="D132" s="786">
        <v>168206</v>
      </c>
    </row>
    <row r="133" spans="1:4" s="440" customFormat="1" ht="24.75" customHeight="1">
      <c r="A133" s="805" t="s">
        <v>12</v>
      </c>
      <c r="B133" s="806" t="s">
        <v>203</v>
      </c>
      <c r="C133" s="796"/>
      <c r="D133" s="787">
        <v>1209681</v>
      </c>
    </row>
    <row r="134" spans="1:4" s="440" customFormat="1" ht="24.75" customHeight="1">
      <c r="A134" s="807" t="s">
        <v>117</v>
      </c>
      <c r="B134" s="808" t="s">
        <v>204</v>
      </c>
      <c r="C134" s="809"/>
      <c r="D134" s="786">
        <v>1595977800</v>
      </c>
    </row>
    <row r="135" spans="1:4" s="440" customFormat="1" ht="24.75" customHeight="1">
      <c r="A135" s="807" t="s">
        <v>634</v>
      </c>
      <c r="B135" s="808" t="s">
        <v>635</v>
      </c>
      <c r="C135" s="809"/>
      <c r="D135" s="786">
        <v>1934371977</v>
      </c>
    </row>
    <row r="136" spans="1:4" s="440" customFormat="1" ht="24.75" customHeight="1">
      <c r="A136" s="805" t="s">
        <v>119</v>
      </c>
      <c r="B136" s="806" t="s">
        <v>205</v>
      </c>
      <c r="C136" s="796"/>
      <c r="D136" s="787">
        <v>3530349777</v>
      </c>
    </row>
    <row r="137" spans="1:4" s="440" customFormat="1" ht="24.75" customHeight="1">
      <c r="A137" s="807" t="s">
        <v>118</v>
      </c>
      <c r="B137" s="808" t="s">
        <v>206</v>
      </c>
      <c r="C137" s="809"/>
      <c r="D137" s="786">
        <v>9855240</v>
      </c>
    </row>
    <row r="138" spans="1:4" s="440" customFormat="1" ht="24.75" customHeight="1">
      <c r="A138" s="805" t="s">
        <v>120</v>
      </c>
      <c r="B138" s="806" t="s">
        <v>207</v>
      </c>
      <c r="C138" s="796"/>
      <c r="D138" s="787">
        <v>9855240</v>
      </c>
    </row>
    <row r="139" spans="1:4" s="440" customFormat="1" ht="24.75" customHeight="1">
      <c r="A139" s="805" t="s">
        <v>121</v>
      </c>
      <c r="B139" s="806" t="s">
        <v>52</v>
      </c>
      <c r="C139" s="796"/>
      <c r="D139" s="787">
        <v>3541414698</v>
      </c>
    </row>
    <row r="140" spans="1:4" s="440" customFormat="1" ht="24.75" customHeight="1">
      <c r="A140" s="807" t="s">
        <v>122</v>
      </c>
      <c r="B140" s="808" t="s">
        <v>208</v>
      </c>
      <c r="C140" s="809"/>
      <c r="D140" s="786">
        <v>27254611</v>
      </c>
    </row>
    <row r="141" spans="1:4" s="440" customFormat="1" ht="24.75" customHeight="1">
      <c r="A141" s="807" t="s">
        <v>123</v>
      </c>
      <c r="B141" s="808" t="s">
        <v>209</v>
      </c>
      <c r="C141" s="809"/>
      <c r="D141" s="786">
        <v>0</v>
      </c>
    </row>
    <row r="142" spans="1:4" s="440" customFormat="1" ht="24.75" customHeight="1">
      <c r="A142" s="807" t="s">
        <v>124</v>
      </c>
      <c r="B142" s="808" t="s">
        <v>210</v>
      </c>
      <c r="C142" s="809"/>
      <c r="D142" s="786">
        <v>13171517</v>
      </c>
    </row>
    <row r="143" spans="1:4" s="440" customFormat="1" ht="24.75" hidden="1" customHeight="1">
      <c r="A143" s="807" t="s">
        <v>125</v>
      </c>
      <c r="B143" s="808" t="s">
        <v>211</v>
      </c>
      <c r="C143" s="809"/>
      <c r="D143" s="786">
        <v>15648677</v>
      </c>
    </row>
    <row r="144" spans="1:4" s="440" customFormat="1" ht="24.75" hidden="1" customHeight="1">
      <c r="A144" s="807" t="s">
        <v>126</v>
      </c>
      <c r="B144" s="808" t="s">
        <v>212</v>
      </c>
      <c r="C144" s="809"/>
      <c r="D144" s="786">
        <v>228384376</v>
      </c>
    </row>
    <row r="145" spans="1:4" s="440" customFormat="1" ht="24.75" hidden="1" customHeight="1">
      <c r="A145" s="807" t="s">
        <v>127</v>
      </c>
      <c r="B145" s="808" t="s">
        <v>215</v>
      </c>
      <c r="C145" s="821"/>
      <c r="D145" s="822">
        <v>3651350</v>
      </c>
    </row>
    <row r="146" spans="1:4" s="440" customFormat="1" ht="24.75" customHeight="1">
      <c r="A146" s="807"/>
      <c r="B146" s="808" t="s">
        <v>214</v>
      </c>
      <c r="C146" s="821"/>
      <c r="D146" s="822"/>
    </row>
    <row r="147" spans="1:4" s="440" customFormat="1" ht="16.5" hidden="1" customHeight="1">
      <c r="A147" s="807" t="s">
        <v>128</v>
      </c>
      <c r="B147" s="808" t="s">
        <v>213</v>
      </c>
      <c r="C147" s="809"/>
      <c r="D147" s="786">
        <v>36844281</v>
      </c>
    </row>
    <row r="148" spans="1:4" s="440" customFormat="1" ht="17.25" hidden="1" customHeight="1">
      <c r="A148" s="807" t="s">
        <v>129</v>
      </c>
      <c r="B148" s="808" t="s">
        <v>216</v>
      </c>
      <c r="C148" s="809"/>
      <c r="D148" s="786">
        <v>3379842</v>
      </c>
    </row>
    <row r="149" spans="1:4" s="440" customFormat="1" ht="24.75" hidden="1" customHeight="1">
      <c r="A149" s="807" t="s">
        <v>130</v>
      </c>
      <c r="B149" s="808" t="s">
        <v>217</v>
      </c>
      <c r="C149" s="809"/>
      <c r="D149" s="786">
        <v>2155597</v>
      </c>
    </row>
    <row r="150" spans="1:4" s="440" customFormat="1" ht="24.75" hidden="1" customHeight="1">
      <c r="A150" s="807" t="s">
        <v>132</v>
      </c>
      <c r="B150" s="808" t="s">
        <v>219</v>
      </c>
      <c r="C150" s="809"/>
      <c r="D150" s="786">
        <v>81029122</v>
      </c>
    </row>
    <row r="151" spans="1:4" s="440" customFormat="1" ht="24.75" hidden="1" customHeight="1">
      <c r="A151" s="807" t="s">
        <v>131</v>
      </c>
      <c r="B151" s="808" t="s">
        <v>218</v>
      </c>
      <c r="C151" s="809"/>
      <c r="D151" s="786">
        <v>49846187</v>
      </c>
    </row>
    <row r="152" spans="1:4" s="440" customFormat="1" ht="39" hidden="1" customHeight="1">
      <c r="A152" s="807" t="s">
        <v>133</v>
      </c>
      <c r="B152" s="808" t="s">
        <v>220</v>
      </c>
      <c r="C152" s="809"/>
      <c r="D152" s="786">
        <v>3072993</v>
      </c>
    </row>
    <row r="153" spans="1:4" s="440" customFormat="1" ht="24.75" hidden="1" customHeight="1">
      <c r="A153" s="807" t="s">
        <v>134</v>
      </c>
      <c r="B153" s="808" t="s">
        <v>221</v>
      </c>
      <c r="C153" s="809"/>
      <c r="D153" s="786">
        <v>2607913</v>
      </c>
    </row>
    <row r="154" spans="1:4" s="440" customFormat="1" ht="24.75" customHeight="1">
      <c r="A154" s="807" t="s">
        <v>135</v>
      </c>
      <c r="B154" s="808" t="s">
        <v>222</v>
      </c>
      <c r="C154" s="809"/>
      <c r="D154" s="786">
        <v>3278435</v>
      </c>
    </row>
    <row r="155" spans="1:4" s="440" customFormat="1" ht="24.75" hidden="1" customHeight="1">
      <c r="A155" s="807" t="s">
        <v>136</v>
      </c>
      <c r="B155" s="808" t="s">
        <v>223</v>
      </c>
      <c r="C155" s="821"/>
      <c r="D155" s="822">
        <v>5186945</v>
      </c>
    </row>
    <row r="156" spans="1:4" s="440" customFormat="1" ht="24.75" customHeight="1">
      <c r="A156" s="807"/>
      <c r="B156" s="808" t="s">
        <v>224</v>
      </c>
      <c r="C156" s="821"/>
      <c r="D156" s="822"/>
    </row>
    <row r="157" spans="1:4" s="440" customFormat="1" ht="18" hidden="1" customHeight="1">
      <c r="A157" s="805" t="s">
        <v>14</v>
      </c>
      <c r="B157" s="806" t="s">
        <v>53</v>
      </c>
      <c r="C157" s="796"/>
      <c r="D157" s="787">
        <v>261990415</v>
      </c>
    </row>
    <row r="158" spans="1:4" s="440" customFormat="1" ht="18" hidden="1" customHeight="1">
      <c r="A158" s="807" t="s">
        <v>137</v>
      </c>
      <c r="B158" s="808" t="s">
        <v>225</v>
      </c>
      <c r="C158" s="809"/>
      <c r="D158" s="786">
        <v>228674</v>
      </c>
    </row>
    <row r="159" spans="1:4" s="440" customFormat="1" ht="24.75" customHeight="1">
      <c r="A159" s="807" t="s">
        <v>138</v>
      </c>
      <c r="B159" s="808" t="s">
        <v>636</v>
      </c>
      <c r="C159" s="809"/>
      <c r="D159" s="786">
        <v>30450</v>
      </c>
    </row>
    <row r="160" spans="1:4" s="440" customFormat="1" ht="24.75" customHeight="1">
      <c r="A160" s="807" t="s">
        <v>138</v>
      </c>
      <c r="B160" s="808" t="s">
        <v>637</v>
      </c>
      <c r="C160" s="809"/>
      <c r="D160" s="786">
        <v>294674</v>
      </c>
    </row>
    <row r="161" spans="1:4" s="440" customFormat="1" ht="23.25" hidden="1" customHeight="1">
      <c r="A161" s="807" t="s">
        <v>139</v>
      </c>
      <c r="B161" s="808" t="s">
        <v>226</v>
      </c>
      <c r="C161" s="809"/>
      <c r="D161" s="786">
        <v>370003</v>
      </c>
    </row>
    <row r="162" spans="1:4" s="440" customFormat="1" ht="23.25" hidden="1" customHeight="1">
      <c r="A162" s="807" t="s">
        <v>140</v>
      </c>
      <c r="B162" s="808" t="s">
        <v>227</v>
      </c>
      <c r="C162" s="809"/>
      <c r="D162" s="786">
        <v>3227710</v>
      </c>
    </row>
    <row r="163" spans="1:4" s="440" customFormat="1" ht="24.75" customHeight="1">
      <c r="A163" s="807" t="s">
        <v>141</v>
      </c>
      <c r="B163" s="808" t="s">
        <v>228</v>
      </c>
      <c r="C163" s="809"/>
      <c r="D163" s="786">
        <v>11702500</v>
      </c>
    </row>
    <row r="164" spans="1:4" s="440" customFormat="1" ht="24.75" hidden="1" customHeight="1">
      <c r="A164" s="807" t="s">
        <v>142</v>
      </c>
      <c r="B164" s="808" t="s">
        <v>267</v>
      </c>
      <c r="C164" s="821"/>
      <c r="D164" s="822">
        <v>17847000</v>
      </c>
    </row>
    <row r="165" spans="1:4" s="440" customFormat="1" ht="24.75" customHeight="1">
      <c r="A165" s="807"/>
      <c r="B165" s="808" t="s">
        <v>266</v>
      </c>
      <c r="C165" s="821"/>
      <c r="D165" s="822"/>
    </row>
    <row r="166" spans="1:4" s="440" customFormat="1" ht="18" hidden="1" customHeight="1">
      <c r="A166" s="807" t="s">
        <v>143</v>
      </c>
      <c r="B166" s="808" t="s">
        <v>229</v>
      </c>
      <c r="C166" s="809"/>
      <c r="D166" s="786">
        <v>116653000</v>
      </c>
    </row>
    <row r="167" spans="1:4" s="440" customFormat="1" ht="18" hidden="1" customHeight="1">
      <c r="A167" s="807" t="s">
        <v>144</v>
      </c>
      <c r="B167" s="808" t="s">
        <v>268</v>
      </c>
      <c r="C167" s="821"/>
      <c r="D167" s="822">
        <v>176878828</v>
      </c>
    </row>
    <row r="168" spans="1:4" s="440" customFormat="1" ht="24.75" customHeight="1">
      <c r="A168" s="807"/>
      <c r="B168" s="808" t="s">
        <v>266</v>
      </c>
      <c r="C168" s="821"/>
      <c r="D168" s="822"/>
    </row>
    <row r="169" spans="1:4" s="28" customFormat="1" ht="18.75" hidden="1" customHeight="1">
      <c r="A169" s="805" t="s">
        <v>145</v>
      </c>
      <c r="B169" s="806" t="s">
        <v>230</v>
      </c>
      <c r="C169" s="796"/>
      <c r="D169" s="787">
        <v>128954177</v>
      </c>
    </row>
    <row r="170" spans="1:4" s="440" customFormat="1" ht="18" hidden="1" customHeight="1">
      <c r="A170" s="807" t="s">
        <v>146</v>
      </c>
      <c r="B170" s="808" t="s">
        <v>231</v>
      </c>
      <c r="C170" s="809"/>
      <c r="D170" s="786">
        <v>207234172</v>
      </c>
    </row>
    <row r="171" spans="1:4" s="440" customFormat="1" ht="24.75" customHeight="1">
      <c r="A171" s="807" t="s">
        <v>147</v>
      </c>
      <c r="B171" s="808" t="s">
        <v>232</v>
      </c>
      <c r="C171" s="809"/>
      <c r="D171" s="786">
        <v>43066579</v>
      </c>
    </row>
    <row r="172" spans="1:4" s="440" customFormat="1" ht="24.75" customHeight="1">
      <c r="A172" s="807" t="s">
        <v>638</v>
      </c>
      <c r="B172" s="808" t="s">
        <v>639</v>
      </c>
      <c r="C172" s="809"/>
      <c r="D172" s="786">
        <v>11343529</v>
      </c>
    </row>
    <row r="173" spans="1:4" s="440" customFormat="1" ht="24.75" hidden="1" customHeight="1">
      <c r="A173" s="807" t="s">
        <v>148</v>
      </c>
      <c r="B173" s="808" t="s">
        <v>233</v>
      </c>
      <c r="C173" s="809"/>
      <c r="D173" s="786">
        <v>694999</v>
      </c>
    </row>
    <row r="174" spans="1:4" s="440" customFormat="1" ht="24.75" hidden="1" customHeight="1">
      <c r="A174" s="807" t="s">
        <v>149</v>
      </c>
      <c r="B174" s="808" t="s">
        <v>234</v>
      </c>
      <c r="C174" s="809"/>
      <c r="D174" s="786">
        <v>40096</v>
      </c>
    </row>
    <row r="175" spans="1:4" s="440" customFormat="1" ht="24.75" hidden="1" customHeight="1">
      <c r="A175" s="807" t="s">
        <v>150</v>
      </c>
      <c r="B175" s="808" t="s">
        <v>235</v>
      </c>
      <c r="C175" s="809"/>
      <c r="D175" s="786">
        <v>3102000</v>
      </c>
    </row>
    <row r="176" spans="1:4" s="440" customFormat="1" ht="24.75" hidden="1" customHeight="1">
      <c r="A176" s="807" t="s">
        <v>151</v>
      </c>
      <c r="B176" s="808" t="s">
        <v>236</v>
      </c>
      <c r="C176" s="809"/>
      <c r="D176" s="786">
        <v>0</v>
      </c>
    </row>
    <row r="177" spans="1:4" s="440" customFormat="1" ht="24.75" customHeight="1">
      <c r="A177" s="805" t="s">
        <v>152</v>
      </c>
      <c r="B177" s="806" t="s">
        <v>237</v>
      </c>
      <c r="C177" s="796"/>
      <c r="D177" s="787">
        <v>210336172</v>
      </c>
    </row>
    <row r="178" spans="1:4" s="440" customFormat="1" ht="24.75" customHeight="1">
      <c r="A178" s="805" t="s">
        <v>153</v>
      </c>
      <c r="B178" s="806" t="s">
        <v>238</v>
      </c>
      <c r="C178" s="796"/>
      <c r="D178" s="787">
        <v>601280764</v>
      </c>
    </row>
    <row r="179" spans="1:4" s="440" customFormat="1" ht="24.75" customHeight="1">
      <c r="A179" s="807" t="s">
        <v>154</v>
      </c>
      <c r="B179" s="808" t="s">
        <v>239</v>
      </c>
      <c r="C179" s="809"/>
      <c r="D179" s="786">
        <v>1943000</v>
      </c>
    </row>
    <row r="180" spans="1:4" s="440" customFormat="1" ht="24.75" customHeight="1">
      <c r="A180" s="807" t="s">
        <v>758</v>
      </c>
      <c r="B180" s="808" t="s">
        <v>1020</v>
      </c>
      <c r="C180" s="809"/>
      <c r="D180" s="786">
        <v>55423624</v>
      </c>
    </row>
    <row r="181" spans="1:4" s="440" customFormat="1" ht="24.75" customHeight="1">
      <c r="A181" s="805" t="s">
        <v>155</v>
      </c>
      <c r="B181" s="806" t="s">
        <v>240</v>
      </c>
      <c r="C181" s="796"/>
      <c r="D181" s="787">
        <v>57366624</v>
      </c>
    </row>
    <row r="182" spans="1:4" s="440" customFormat="1" ht="24.75" customHeight="1">
      <c r="A182" s="807" t="s">
        <v>156</v>
      </c>
      <c r="B182" s="808" t="s">
        <v>241</v>
      </c>
      <c r="C182" s="809"/>
      <c r="D182" s="786">
        <v>-6744371</v>
      </c>
    </row>
    <row r="183" spans="1:4" s="440" customFormat="1" ht="24.75" customHeight="1">
      <c r="A183" s="805" t="s">
        <v>157</v>
      </c>
      <c r="B183" s="806" t="s">
        <v>242</v>
      </c>
      <c r="C183" s="796"/>
      <c r="D183" s="787">
        <v>-6744371</v>
      </c>
    </row>
    <row r="184" spans="1:4" s="440" customFormat="1" ht="24.75" customHeight="1">
      <c r="A184" s="807" t="s">
        <v>159</v>
      </c>
      <c r="B184" s="808" t="s">
        <v>269</v>
      </c>
      <c r="C184" s="809"/>
      <c r="D184" s="786">
        <v>855000</v>
      </c>
    </row>
    <row r="185" spans="1:4" s="440" customFormat="1" ht="24.75" customHeight="1">
      <c r="A185" s="805" t="s">
        <v>160</v>
      </c>
      <c r="B185" s="806" t="s">
        <v>244</v>
      </c>
      <c r="C185" s="796"/>
      <c r="D185" s="787">
        <v>855000</v>
      </c>
    </row>
    <row r="186" spans="1:4" s="440" customFormat="1" ht="24.75" customHeight="1">
      <c r="A186" s="805" t="s">
        <v>161</v>
      </c>
      <c r="B186" s="806" t="s">
        <v>245</v>
      </c>
      <c r="C186" s="796"/>
      <c r="D186" s="787">
        <v>51477253</v>
      </c>
    </row>
    <row r="187" spans="1:4" s="440" customFormat="1" ht="24.75" customHeight="1">
      <c r="A187" s="807" t="s">
        <v>162</v>
      </c>
      <c r="B187" s="808" t="s">
        <v>246</v>
      </c>
      <c r="C187" s="809"/>
      <c r="D187" s="786">
        <v>3206247</v>
      </c>
    </row>
    <row r="188" spans="1:4" s="440" customFormat="1" ht="24" customHeight="1">
      <c r="A188" s="805" t="s">
        <v>163</v>
      </c>
      <c r="B188" s="806" t="s">
        <v>247</v>
      </c>
      <c r="C188" s="796"/>
      <c r="D188" s="787">
        <v>3206247</v>
      </c>
    </row>
    <row r="189" spans="1:4" s="440" customFormat="1" ht="24.75" customHeight="1">
      <c r="A189" s="788" t="s">
        <v>164</v>
      </c>
      <c r="B189" s="789" t="s">
        <v>4</v>
      </c>
      <c r="C189" s="790"/>
      <c r="D189" s="790">
        <v>19973609552</v>
      </c>
    </row>
    <row r="190" spans="1:4" s="440" customFormat="1" ht="24.75" customHeight="1">
      <c r="A190" s="807" t="s">
        <v>165</v>
      </c>
      <c r="B190" s="808" t="s">
        <v>248</v>
      </c>
      <c r="C190" s="809"/>
      <c r="D190" s="786">
        <v>16691319078</v>
      </c>
    </row>
    <row r="191" spans="1:4" s="440" customFormat="1" ht="24.75" customHeight="1">
      <c r="A191" s="807" t="s">
        <v>166</v>
      </c>
      <c r="B191" s="808" t="s">
        <v>249</v>
      </c>
      <c r="C191" s="809"/>
      <c r="D191" s="786">
        <v>2824376294</v>
      </c>
    </row>
    <row r="192" spans="1:4" s="27" customFormat="1" ht="24.75" customHeight="1">
      <c r="A192" s="807" t="s">
        <v>167</v>
      </c>
      <c r="B192" s="808" t="s">
        <v>250</v>
      </c>
      <c r="C192" s="809"/>
      <c r="D192" s="786">
        <v>407969715</v>
      </c>
    </row>
    <row r="193" spans="1:35" s="440" customFormat="1" ht="24.75" customHeight="1">
      <c r="A193" s="805" t="s">
        <v>168</v>
      </c>
      <c r="B193" s="806" t="s">
        <v>251</v>
      </c>
      <c r="C193" s="796"/>
      <c r="D193" s="787">
        <v>407969715</v>
      </c>
      <c r="E193" s="794"/>
      <c r="F193" s="794"/>
      <c r="G193" s="794"/>
      <c r="H193" s="794"/>
      <c r="I193" s="794"/>
      <c r="J193" s="794"/>
      <c r="K193" s="794"/>
      <c r="L193" s="794"/>
      <c r="M193" s="794"/>
      <c r="N193" s="794"/>
      <c r="O193" s="794"/>
      <c r="P193" s="794"/>
      <c r="Q193" s="794"/>
      <c r="R193" s="794"/>
      <c r="S193" s="794"/>
      <c r="T193" s="794"/>
      <c r="U193" s="794"/>
      <c r="V193" s="794"/>
      <c r="W193" s="794"/>
      <c r="X193" s="794"/>
      <c r="Y193" s="794"/>
      <c r="Z193" s="794"/>
      <c r="AA193" s="794"/>
      <c r="AB193" s="794"/>
      <c r="AC193" s="794"/>
      <c r="AD193" s="794"/>
      <c r="AE193" s="794"/>
      <c r="AF193" s="794"/>
      <c r="AG193" s="794"/>
      <c r="AH193" s="794"/>
      <c r="AI193" s="794"/>
    </row>
    <row r="194" spans="1:35" s="440" customFormat="1" ht="24.75" customHeight="1">
      <c r="A194" s="807" t="s">
        <v>15</v>
      </c>
      <c r="B194" s="808" t="s">
        <v>60</v>
      </c>
      <c r="C194" s="809"/>
      <c r="D194" s="786">
        <v>-4577345297</v>
      </c>
      <c r="E194" s="794"/>
      <c r="F194" s="794"/>
      <c r="G194" s="794"/>
      <c r="H194" s="794"/>
      <c r="I194" s="794"/>
      <c r="J194" s="794"/>
      <c r="K194" s="794"/>
      <c r="L194" s="794"/>
      <c r="M194" s="794"/>
      <c r="N194" s="794"/>
      <c r="O194" s="794"/>
      <c r="P194" s="794"/>
      <c r="Q194" s="794"/>
      <c r="R194" s="794"/>
      <c r="S194" s="794"/>
      <c r="T194" s="794"/>
      <c r="U194" s="794"/>
      <c r="V194" s="794"/>
      <c r="W194" s="794"/>
      <c r="X194" s="794"/>
      <c r="Y194" s="794"/>
      <c r="Z194" s="794"/>
      <c r="AA194" s="794"/>
      <c r="AB194" s="794"/>
      <c r="AC194" s="794"/>
      <c r="AD194" s="794"/>
      <c r="AE194" s="794"/>
      <c r="AF194" s="794"/>
      <c r="AG194" s="794"/>
      <c r="AH194" s="794"/>
      <c r="AI194" s="794"/>
    </row>
    <row r="195" spans="1:35" s="440" customFormat="1" ht="24.75" customHeight="1">
      <c r="A195" s="795" t="s">
        <v>8</v>
      </c>
      <c r="B195" s="785" t="s">
        <v>0</v>
      </c>
      <c r="C195" s="785" t="s">
        <v>748</v>
      </c>
      <c r="D195" s="785" t="s">
        <v>667</v>
      </c>
      <c r="E195" s="793"/>
      <c r="F195" s="793"/>
      <c r="G195" s="793"/>
      <c r="H195" s="793"/>
      <c r="I195" s="793"/>
      <c r="J195" s="793"/>
      <c r="K195" s="793"/>
      <c r="L195" s="793"/>
      <c r="M195" s="793"/>
      <c r="N195" s="793"/>
      <c r="O195" s="793"/>
      <c r="P195" s="793"/>
      <c r="Q195" s="793"/>
      <c r="R195" s="793"/>
      <c r="S195" s="793"/>
      <c r="T195" s="793"/>
      <c r="U195" s="793"/>
      <c r="V195" s="793"/>
      <c r="W195" s="793"/>
      <c r="X195" s="793"/>
      <c r="Y195" s="793"/>
      <c r="Z195" s="793"/>
      <c r="AA195" s="793"/>
      <c r="AB195" s="793"/>
      <c r="AC195" s="793"/>
      <c r="AD195" s="793"/>
      <c r="AE195" s="793"/>
      <c r="AF195" s="793"/>
      <c r="AG195" s="793"/>
      <c r="AH195" s="793"/>
      <c r="AI195" s="793"/>
    </row>
    <row r="196" spans="1:35" s="440" customFormat="1" ht="24.75" customHeight="1">
      <c r="A196" s="807" t="s">
        <v>169</v>
      </c>
      <c r="B196" s="808" t="s">
        <v>61</v>
      </c>
      <c r="C196" s="809"/>
      <c r="D196" s="786">
        <v>-642567798</v>
      </c>
      <c r="E196" s="794"/>
      <c r="F196" s="794"/>
      <c r="G196" s="794"/>
      <c r="H196" s="794"/>
      <c r="I196" s="794"/>
      <c r="J196" s="794"/>
      <c r="K196" s="794"/>
      <c r="L196" s="794"/>
      <c r="M196" s="794"/>
      <c r="N196" s="794"/>
      <c r="O196" s="794"/>
      <c r="P196" s="794"/>
      <c r="Q196" s="794"/>
      <c r="R196" s="794"/>
      <c r="S196" s="794"/>
      <c r="T196" s="794"/>
      <c r="U196" s="794"/>
      <c r="V196" s="794"/>
      <c r="W196" s="794"/>
      <c r="X196" s="794"/>
      <c r="Y196" s="794"/>
      <c r="Z196" s="794"/>
      <c r="AA196" s="794"/>
      <c r="AB196" s="794"/>
      <c r="AC196" s="794"/>
      <c r="AD196" s="794"/>
      <c r="AE196" s="794"/>
      <c r="AF196" s="794"/>
      <c r="AG196" s="794"/>
      <c r="AH196" s="794"/>
      <c r="AI196" s="794"/>
    </row>
    <row r="197" spans="1:35" s="440" customFormat="1" ht="24.75" customHeight="1">
      <c r="A197" s="805" t="s">
        <v>37</v>
      </c>
      <c r="B197" s="806" t="s">
        <v>252</v>
      </c>
      <c r="C197" s="796"/>
      <c r="D197" s="787">
        <v>14703751992</v>
      </c>
      <c r="E197" s="794"/>
      <c r="F197" s="794"/>
      <c r="G197" s="794"/>
      <c r="H197" s="794"/>
      <c r="I197" s="794"/>
      <c r="J197" s="794"/>
      <c r="K197" s="794"/>
      <c r="L197" s="794"/>
      <c r="M197" s="794"/>
      <c r="N197" s="794"/>
      <c r="O197" s="794"/>
      <c r="P197" s="794"/>
      <c r="Q197" s="794"/>
      <c r="R197" s="794"/>
      <c r="S197" s="794"/>
      <c r="T197" s="794"/>
      <c r="U197" s="794"/>
      <c r="V197" s="794"/>
      <c r="W197" s="794"/>
      <c r="X197" s="794"/>
      <c r="Y197" s="794"/>
      <c r="Z197" s="794"/>
      <c r="AA197" s="794"/>
      <c r="AB197" s="794"/>
      <c r="AC197" s="794"/>
      <c r="AD197" s="794"/>
      <c r="AE197" s="794"/>
      <c r="AF197" s="794"/>
      <c r="AG197" s="794"/>
      <c r="AH197" s="794"/>
      <c r="AI197" s="794"/>
    </row>
    <row r="198" spans="1:35" s="26" customFormat="1" ht="30.75" customHeight="1">
      <c r="A198" s="807" t="s">
        <v>1021</v>
      </c>
      <c r="B198" s="808" t="s">
        <v>1022</v>
      </c>
      <c r="C198" s="809"/>
      <c r="D198" s="786">
        <v>321603</v>
      </c>
      <c r="E198" s="794"/>
      <c r="F198" s="794"/>
      <c r="G198" s="794"/>
      <c r="H198" s="794"/>
      <c r="I198" s="794"/>
      <c r="J198" s="794"/>
      <c r="K198" s="794"/>
      <c r="L198" s="794"/>
      <c r="M198" s="794"/>
      <c r="N198" s="794"/>
      <c r="O198" s="794"/>
      <c r="P198" s="794"/>
      <c r="Q198" s="794"/>
      <c r="R198" s="794"/>
      <c r="S198" s="794"/>
      <c r="T198" s="794"/>
      <c r="U198" s="794"/>
      <c r="V198" s="794"/>
      <c r="W198" s="794"/>
      <c r="X198" s="794"/>
      <c r="Y198" s="794"/>
      <c r="Z198" s="794"/>
      <c r="AA198" s="794"/>
      <c r="AB198" s="794"/>
      <c r="AC198" s="794"/>
      <c r="AD198" s="794"/>
      <c r="AE198" s="794"/>
      <c r="AF198" s="794"/>
      <c r="AG198" s="794"/>
      <c r="AH198" s="794"/>
      <c r="AI198" s="794"/>
    </row>
    <row r="199" spans="1:35" s="440" customFormat="1" ht="24.75" customHeight="1">
      <c r="A199" s="807" t="s">
        <v>170</v>
      </c>
      <c r="B199" s="808" t="s">
        <v>253</v>
      </c>
      <c r="C199" s="809"/>
      <c r="D199" s="786">
        <v>50566261</v>
      </c>
      <c r="E199" s="794"/>
      <c r="F199" s="794"/>
      <c r="G199" s="794"/>
      <c r="H199" s="794"/>
      <c r="I199" s="794"/>
      <c r="J199" s="794"/>
      <c r="K199" s="794"/>
      <c r="L199" s="794"/>
      <c r="M199" s="794"/>
      <c r="N199" s="794"/>
      <c r="O199" s="794"/>
      <c r="P199" s="794"/>
      <c r="Q199" s="794"/>
      <c r="R199" s="794"/>
      <c r="S199" s="794"/>
      <c r="T199" s="794"/>
      <c r="U199" s="794"/>
      <c r="V199" s="794"/>
      <c r="W199" s="794"/>
      <c r="X199" s="794"/>
      <c r="Y199" s="794"/>
      <c r="Z199" s="794"/>
      <c r="AA199" s="794"/>
      <c r="AB199" s="794"/>
      <c r="AC199" s="794"/>
      <c r="AD199" s="794"/>
      <c r="AE199" s="794"/>
      <c r="AF199" s="794"/>
      <c r="AG199" s="794"/>
      <c r="AH199" s="794"/>
      <c r="AI199" s="794"/>
    </row>
    <row r="200" spans="1:35" s="440" customFormat="1" ht="24.75" customHeight="1">
      <c r="A200" s="807" t="s">
        <v>171</v>
      </c>
      <c r="B200" s="808" t="s">
        <v>254</v>
      </c>
      <c r="C200" s="809"/>
      <c r="D200" s="786">
        <v>2425848</v>
      </c>
      <c r="E200" s="794"/>
      <c r="F200" s="794"/>
      <c r="G200" s="794"/>
      <c r="H200" s="794"/>
      <c r="I200" s="794"/>
      <c r="J200" s="794"/>
      <c r="K200" s="794"/>
      <c r="L200" s="794"/>
      <c r="M200" s="794"/>
      <c r="N200" s="794"/>
      <c r="O200" s="794"/>
      <c r="P200" s="794"/>
      <c r="Q200" s="794"/>
      <c r="R200" s="794"/>
      <c r="S200" s="794"/>
      <c r="T200" s="794"/>
      <c r="U200" s="794"/>
      <c r="V200" s="794"/>
      <c r="W200" s="794"/>
      <c r="X200" s="794"/>
      <c r="Y200" s="794"/>
      <c r="Z200" s="794"/>
      <c r="AA200" s="794"/>
      <c r="AB200" s="794"/>
      <c r="AC200" s="794"/>
      <c r="AD200" s="794"/>
      <c r="AE200" s="794"/>
      <c r="AF200" s="794"/>
      <c r="AG200" s="794"/>
      <c r="AH200" s="794"/>
      <c r="AI200" s="794"/>
    </row>
    <row r="201" spans="1:35" s="440" customFormat="1" ht="24.75" customHeight="1">
      <c r="A201" s="807" t="s">
        <v>762</v>
      </c>
      <c r="B201" s="808" t="s">
        <v>763</v>
      </c>
      <c r="C201" s="809"/>
      <c r="D201" s="786">
        <v>81954104</v>
      </c>
      <c r="E201" s="794"/>
      <c r="F201" s="794"/>
      <c r="G201" s="794"/>
      <c r="H201" s="794"/>
      <c r="I201" s="794"/>
      <c r="J201" s="794"/>
      <c r="K201" s="794"/>
      <c r="L201" s="794"/>
      <c r="M201" s="794"/>
      <c r="N201" s="794"/>
      <c r="O201" s="794"/>
      <c r="P201" s="794"/>
      <c r="Q201" s="794"/>
      <c r="R201" s="794"/>
      <c r="S201" s="794"/>
      <c r="T201" s="794"/>
      <c r="U201" s="794"/>
      <c r="V201" s="794"/>
      <c r="W201" s="794"/>
      <c r="X201" s="794"/>
      <c r="Y201" s="794"/>
      <c r="Z201" s="794"/>
      <c r="AA201" s="794"/>
      <c r="AB201" s="794"/>
      <c r="AC201" s="794"/>
      <c r="AD201" s="794"/>
      <c r="AE201" s="794"/>
      <c r="AF201" s="794"/>
      <c r="AG201" s="794"/>
      <c r="AH201" s="794"/>
      <c r="AI201" s="794"/>
    </row>
    <row r="202" spans="1:35" s="440" customFormat="1" ht="24.75" customHeight="1">
      <c r="A202" s="805" t="s">
        <v>172</v>
      </c>
      <c r="B202" s="806" t="s">
        <v>255</v>
      </c>
      <c r="C202" s="796"/>
      <c r="D202" s="787">
        <v>135267816</v>
      </c>
      <c r="E202" s="794"/>
      <c r="F202" s="794"/>
      <c r="G202" s="794"/>
      <c r="H202" s="794"/>
      <c r="I202" s="794"/>
      <c r="J202" s="794"/>
      <c r="K202" s="794"/>
      <c r="L202" s="794"/>
      <c r="M202" s="794"/>
      <c r="N202" s="794"/>
      <c r="O202" s="794"/>
      <c r="P202" s="794"/>
      <c r="Q202" s="794"/>
      <c r="R202" s="794"/>
      <c r="S202" s="794"/>
      <c r="T202" s="794"/>
      <c r="U202" s="794"/>
      <c r="V202" s="794"/>
      <c r="W202" s="794"/>
      <c r="X202" s="794"/>
      <c r="Y202" s="794"/>
      <c r="Z202" s="794"/>
      <c r="AA202" s="794"/>
      <c r="AB202" s="794"/>
      <c r="AC202" s="794"/>
      <c r="AD202" s="794"/>
      <c r="AE202" s="794"/>
      <c r="AF202" s="794"/>
      <c r="AG202" s="794"/>
      <c r="AH202" s="794"/>
      <c r="AI202" s="794"/>
    </row>
    <row r="203" spans="1:35" s="440" customFormat="1" ht="24.75" customHeight="1">
      <c r="A203" s="807" t="s">
        <v>173</v>
      </c>
      <c r="B203" s="808" t="s">
        <v>256</v>
      </c>
      <c r="C203" s="809"/>
      <c r="D203" s="786">
        <v>16151060</v>
      </c>
      <c r="E203" s="794"/>
      <c r="F203" s="794"/>
      <c r="G203" s="794"/>
      <c r="H203" s="794"/>
      <c r="I203" s="794"/>
      <c r="J203" s="794"/>
      <c r="K203" s="794"/>
      <c r="L203" s="794"/>
      <c r="M203" s="794"/>
      <c r="N203" s="794"/>
      <c r="O203" s="794"/>
      <c r="P203" s="794"/>
      <c r="Q203" s="794"/>
      <c r="R203" s="794"/>
      <c r="S203" s="794"/>
      <c r="T203" s="794"/>
      <c r="U203" s="794"/>
      <c r="V203" s="794"/>
      <c r="W203" s="794"/>
      <c r="X203" s="794"/>
      <c r="Y203" s="794"/>
      <c r="Z203" s="794"/>
      <c r="AA203" s="794"/>
      <c r="AB203" s="794"/>
      <c r="AC203" s="794"/>
      <c r="AD203" s="794"/>
      <c r="AE203" s="794"/>
      <c r="AF203" s="794"/>
      <c r="AG203" s="794"/>
      <c r="AH203" s="794"/>
      <c r="AI203" s="794"/>
    </row>
    <row r="204" spans="1:35" s="440" customFormat="1" ht="24.75" customHeight="1">
      <c r="A204" s="807" t="s">
        <v>764</v>
      </c>
      <c r="B204" s="808" t="s">
        <v>1023</v>
      </c>
      <c r="C204" s="809"/>
      <c r="D204" s="786">
        <v>15478688</v>
      </c>
      <c r="E204" s="794"/>
      <c r="F204" s="794"/>
      <c r="G204" s="794"/>
      <c r="H204" s="794"/>
      <c r="I204" s="794"/>
      <c r="J204" s="794"/>
      <c r="K204" s="794"/>
      <c r="L204" s="794"/>
      <c r="M204" s="794"/>
      <c r="N204" s="794"/>
      <c r="O204" s="794"/>
      <c r="P204" s="794"/>
      <c r="Q204" s="794"/>
      <c r="R204" s="794"/>
      <c r="S204" s="794"/>
      <c r="T204" s="794"/>
      <c r="U204" s="794"/>
      <c r="V204" s="794"/>
      <c r="W204" s="794"/>
      <c r="X204" s="794"/>
      <c r="Y204" s="794"/>
      <c r="Z204" s="794"/>
      <c r="AA204" s="794"/>
      <c r="AB204" s="794"/>
      <c r="AC204" s="794"/>
      <c r="AD204" s="794"/>
      <c r="AE204" s="794"/>
      <c r="AF204" s="794"/>
      <c r="AG204" s="794"/>
      <c r="AH204" s="794"/>
      <c r="AI204" s="794"/>
    </row>
    <row r="205" spans="1:35" s="440" customFormat="1" ht="24.75" customHeight="1">
      <c r="A205" s="807" t="s">
        <v>174</v>
      </c>
      <c r="B205" s="808" t="s">
        <v>257</v>
      </c>
      <c r="C205" s="809"/>
      <c r="D205" s="786">
        <v>61201257</v>
      </c>
      <c r="E205" s="794"/>
      <c r="F205" s="794"/>
      <c r="G205" s="794"/>
      <c r="H205" s="794"/>
      <c r="I205" s="794"/>
      <c r="J205" s="794"/>
      <c r="K205" s="794"/>
      <c r="L205" s="794"/>
      <c r="M205" s="794"/>
      <c r="N205" s="794"/>
      <c r="O205" s="794"/>
      <c r="P205" s="794"/>
      <c r="Q205" s="794"/>
      <c r="R205" s="794"/>
      <c r="S205" s="794"/>
      <c r="T205" s="794"/>
      <c r="U205" s="794"/>
      <c r="V205" s="794"/>
      <c r="W205" s="794"/>
      <c r="X205" s="794"/>
      <c r="Y205" s="794"/>
      <c r="Z205" s="794"/>
      <c r="AA205" s="794"/>
      <c r="AB205" s="794"/>
      <c r="AC205" s="794"/>
      <c r="AD205" s="794"/>
      <c r="AE205" s="794"/>
      <c r="AF205" s="794"/>
      <c r="AG205" s="794"/>
      <c r="AH205" s="794"/>
      <c r="AI205" s="794"/>
    </row>
    <row r="206" spans="1:35" s="440" customFormat="1" ht="24.75" hidden="1" customHeight="1">
      <c r="A206" s="807" t="s">
        <v>175</v>
      </c>
      <c r="B206" s="808" t="s">
        <v>270</v>
      </c>
      <c r="C206" s="809"/>
      <c r="D206" s="786">
        <v>58439181</v>
      </c>
      <c r="E206" s="794"/>
      <c r="F206" s="794"/>
      <c r="G206" s="794"/>
      <c r="H206" s="794"/>
      <c r="I206" s="794"/>
      <c r="J206" s="794"/>
      <c r="K206" s="794"/>
      <c r="L206" s="794"/>
      <c r="M206" s="794"/>
      <c r="N206" s="794"/>
      <c r="O206" s="794"/>
      <c r="P206" s="794"/>
      <c r="Q206" s="794"/>
      <c r="R206" s="794"/>
      <c r="S206" s="794"/>
      <c r="T206" s="794"/>
      <c r="U206" s="794"/>
      <c r="V206" s="794"/>
      <c r="W206" s="794"/>
      <c r="X206" s="794"/>
      <c r="Y206" s="794"/>
      <c r="Z206" s="794"/>
      <c r="AA206" s="794"/>
      <c r="AB206" s="794"/>
      <c r="AC206" s="794"/>
      <c r="AD206" s="794"/>
      <c r="AE206" s="794"/>
      <c r="AF206" s="794"/>
      <c r="AG206" s="794"/>
      <c r="AH206" s="794"/>
      <c r="AI206" s="794"/>
    </row>
    <row r="207" spans="1:35" s="440" customFormat="1" ht="24.75" customHeight="1">
      <c r="A207" s="805" t="s">
        <v>16</v>
      </c>
      <c r="B207" s="806" t="s">
        <v>6</v>
      </c>
      <c r="C207" s="796"/>
      <c r="D207" s="787">
        <v>92831005</v>
      </c>
      <c r="E207" s="794"/>
      <c r="F207" s="794"/>
      <c r="G207" s="794"/>
      <c r="H207" s="794"/>
      <c r="I207" s="794"/>
      <c r="J207" s="794"/>
      <c r="K207" s="794"/>
      <c r="L207" s="794"/>
      <c r="M207" s="794"/>
      <c r="N207" s="794"/>
      <c r="O207" s="794"/>
      <c r="P207" s="794"/>
      <c r="Q207" s="794"/>
      <c r="R207" s="794"/>
      <c r="S207" s="794"/>
      <c r="T207" s="794"/>
      <c r="U207" s="794"/>
      <c r="V207" s="794"/>
      <c r="W207" s="794"/>
      <c r="X207" s="794"/>
      <c r="Y207" s="794"/>
      <c r="Z207" s="794"/>
      <c r="AA207" s="794"/>
      <c r="AB207" s="794"/>
      <c r="AC207" s="794"/>
      <c r="AD207" s="794"/>
      <c r="AE207" s="794"/>
      <c r="AF207" s="794"/>
      <c r="AG207" s="794"/>
      <c r="AH207" s="794"/>
      <c r="AI207" s="794"/>
    </row>
    <row r="208" spans="1:35" s="440" customFormat="1" ht="24.75" customHeight="1">
      <c r="A208" s="807" t="s">
        <v>176</v>
      </c>
      <c r="B208" s="808" t="s">
        <v>258</v>
      </c>
      <c r="C208" s="809"/>
      <c r="D208" s="786">
        <v>32268696</v>
      </c>
      <c r="E208" s="794"/>
      <c r="F208" s="794"/>
      <c r="G208" s="794"/>
      <c r="H208" s="794"/>
      <c r="I208" s="794"/>
      <c r="J208" s="794"/>
      <c r="K208" s="794"/>
      <c r="L208" s="794"/>
      <c r="M208" s="794"/>
      <c r="N208" s="794"/>
      <c r="O208" s="794"/>
      <c r="P208" s="794"/>
      <c r="Q208" s="794"/>
      <c r="R208" s="794"/>
      <c r="S208" s="794"/>
      <c r="T208" s="794"/>
      <c r="U208" s="794"/>
      <c r="V208" s="794"/>
      <c r="W208" s="794"/>
      <c r="X208" s="794"/>
      <c r="Y208" s="794"/>
      <c r="Z208" s="794"/>
      <c r="AA208" s="794"/>
      <c r="AB208" s="794"/>
      <c r="AC208" s="794"/>
      <c r="AD208" s="794"/>
      <c r="AE208" s="794"/>
      <c r="AF208" s="794"/>
      <c r="AG208" s="794"/>
      <c r="AH208" s="794"/>
      <c r="AI208" s="794"/>
    </row>
    <row r="209" spans="1:4" s="440" customFormat="1" ht="24.75" customHeight="1">
      <c r="A209" s="807" t="s">
        <v>177</v>
      </c>
      <c r="B209" s="808" t="s">
        <v>259</v>
      </c>
      <c r="C209" s="809"/>
      <c r="D209" s="786">
        <v>2451650</v>
      </c>
    </row>
    <row r="210" spans="1:4" s="440" customFormat="1" ht="24.75" customHeight="1">
      <c r="A210" s="807" t="s">
        <v>178</v>
      </c>
      <c r="B210" s="808" t="s">
        <v>260</v>
      </c>
      <c r="C210" s="809"/>
      <c r="D210" s="786">
        <v>989251</v>
      </c>
    </row>
    <row r="211" spans="1:4" s="440" customFormat="1" ht="24.75" customHeight="1">
      <c r="A211" s="805" t="s">
        <v>17</v>
      </c>
      <c r="B211" s="806" t="s">
        <v>261</v>
      </c>
      <c r="C211" s="796"/>
      <c r="D211" s="787">
        <v>35709597</v>
      </c>
    </row>
    <row r="212" spans="1:4" s="21" customFormat="1" ht="24" customHeight="1">
      <c r="A212" s="805" t="s">
        <v>179</v>
      </c>
      <c r="B212" s="806" t="s">
        <v>262</v>
      </c>
      <c r="C212" s="796"/>
      <c r="D212" s="787">
        <v>263808418</v>
      </c>
    </row>
    <row r="213" spans="1:4" s="21" customFormat="1" ht="24.75" customHeight="1">
      <c r="A213" s="807" t="s">
        <v>180</v>
      </c>
      <c r="B213" s="808" t="s">
        <v>263</v>
      </c>
      <c r="C213" s="809"/>
      <c r="D213" s="786">
        <v>4768653507</v>
      </c>
    </row>
    <row r="214" spans="1:4" s="21" customFormat="1" ht="24.75" customHeight="1">
      <c r="A214" s="807" t="s">
        <v>181</v>
      </c>
      <c r="B214" s="808" t="s">
        <v>264</v>
      </c>
      <c r="C214" s="809"/>
      <c r="D214" s="786">
        <v>120971282</v>
      </c>
    </row>
    <row r="215" spans="1:4" s="21" customFormat="1" ht="24.75" customHeight="1">
      <c r="A215" s="807" t="s">
        <v>182</v>
      </c>
      <c r="B215" s="808" t="s">
        <v>265</v>
      </c>
      <c r="C215" s="809"/>
      <c r="D215" s="786">
        <v>116424353</v>
      </c>
    </row>
    <row r="216" spans="1:4" s="21" customFormat="1" ht="24.75" customHeight="1">
      <c r="A216" s="805" t="s">
        <v>183</v>
      </c>
      <c r="B216" s="806" t="s">
        <v>67</v>
      </c>
      <c r="C216" s="796"/>
      <c r="D216" s="787">
        <v>5006049142</v>
      </c>
    </row>
    <row r="217" spans="1:4" s="593" customFormat="1" ht="24.75" customHeight="1">
      <c r="A217" s="788" t="s">
        <v>42</v>
      </c>
      <c r="B217" s="789" t="s">
        <v>5</v>
      </c>
      <c r="C217" s="790"/>
      <c r="D217" s="790">
        <v>19973609552</v>
      </c>
    </row>
    <row r="218" spans="1:4" s="21" customFormat="1">
      <c r="A218" s="810"/>
      <c r="B218" s="791"/>
      <c r="C218" s="791"/>
      <c r="D218" s="791"/>
    </row>
    <row r="219" spans="1:4" s="21" customFormat="1">
      <c r="A219" s="810"/>
      <c r="B219" s="791"/>
      <c r="C219" s="791"/>
      <c r="D219" s="791"/>
    </row>
  </sheetData>
  <mergeCells count="9">
    <mergeCell ref="C164:C165"/>
    <mergeCell ref="D164:D165"/>
    <mergeCell ref="C167:C168"/>
    <mergeCell ref="D167:D168"/>
    <mergeCell ref="A4:D4"/>
    <mergeCell ref="C145:C146"/>
    <mergeCell ref="D145:D146"/>
    <mergeCell ref="C155:C156"/>
    <mergeCell ref="D155:D156"/>
  </mergeCells>
  <pageMargins left="0.7" right="0.7" top="0.75" bottom="0.75" header="0.3" footer="0.3"/>
  <pageSetup paperSize="9" scale="52" orientation="portrait" horizontalDpi="300" verticalDpi="300" r:id="rId1"/>
  <rowBreaks count="3" manualBreakCount="3">
    <brk id="58" max="3" man="1"/>
    <brk id="112" max="3" man="1"/>
    <brk id="194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16"/>
  <sheetViews>
    <sheetView view="pageBreakPreview" zoomScale="95" zoomScaleSheetLayoutView="95" workbookViewId="0"/>
  </sheetViews>
  <sheetFormatPr defaultRowHeight="15.75"/>
  <cols>
    <col min="1" max="1" width="82" style="1" customWidth="1"/>
    <col min="2" max="2" width="22.42578125" style="1" customWidth="1"/>
    <col min="3" max="38" width="9.140625" style="21"/>
    <col min="39" max="256" width="9.140625" style="1"/>
    <col min="257" max="257" width="82" style="1" customWidth="1"/>
    <col min="258" max="258" width="22.42578125" style="1" customWidth="1"/>
    <col min="259" max="512" width="9.140625" style="1"/>
    <col min="513" max="513" width="82" style="1" customWidth="1"/>
    <col min="514" max="514" width="22.42578125" style="1" customWidth="1"/>
    <col min="515" max="768" width="9.140625" style="1"/>
    <col min="769" max="769" width="82" style="1" customWidth="1"/>
    <col min="770" max="770" width="22.42578125" style="1" customWidth="1"/>
    <col min="771" max="1024" width="9.140625" style="1"/>
    <col min="1025" max="1025" width="82" style="1" customWidth="1"/>
    <col min="1026" max="1026" width="22.42578125" style="1" customWidth="1"/>
    <col min="1027" max="1280" width="9.140625" style="1"/>
    <col min="1281" max="1281" width="82" style="1" customWidth="1"/>
    <col min="1282" max="1282" width="22.42578125" style="1" customWidth="1"/>
    <col min="1283" max="1536" width="9.140625" style="1"/>
    <col min="1537" max="1537" width="82" style="1" customWidth="1"/>
    <col min="1538" max="1538" width="22.42578125" style="1" customWidth="1"/>
    <col min="1539" max="1792" width="9.140625" style="1"/>
    <col min="1793" max="1793" width="82" style="1" customWidth="1"/>
    <col min="1794" max="1794" width="22.42578125" style="1" customWidth="1"/>
    <col min="1795" max="2048" width="9.140625" style="1"/>
    <col min="2049" max="2049" width="82" style="1" customWidth="1"/>
    <col min="2050" max="2050" width="22.42578125" style="1" customWidth="1"/>
    <col min="2051" max="2304" width="9.140625" style="1"/>
    <col min="2305" max="2305" width="82" style="1" customWidth="1"/>
    <col min="2306" max="2306" width="22.42578125" style="1" customWidth="1"/>
    <col min="2307" max="2560" width="9.140625" style="1"/>
    <col min="2561" max="2561" width="82" style="1" customWidth="1"/>
    <col min="2562" max="2562" width="22.42578125" style="1" customWidth="1"/>
    <col min="2563" max="2816" width="9.140625" style="1"/>
    <col min="2817" max="2817" width="82" style="1" customWidth="1"/>
    <col min="2818" max="2818" width="22.42578125" style="1" customWidth="1"/>
    <col min="2819" max="3072" width="9.140625" style="1"/>
    <col min="3073" max="3073" width="82" style="1" customWidth="1"/>
    <col min="3074" max="3074" width="22.42578125" style="1" customWidth="1"/>
    <col min="3075" max="3328" width="9.140625" style="1"/>
    <col min="3329" max="3329" width="82" style="1" customWidth="1"/>
    <col min="3330" max="3330" width="22.42578125" style="1" customWidth="1"/>
    <col min="3331" max="3584" width="9.140625" style="1"/>
    <col min="3585" max="3585" width="82" style="1" customWidth="1"/>
    <col min="3586" max="3586" width="22.42578125" style="1" customWidth="1"/>
    <col min="3587" max="3840" width="9.140625" style="1"/>
    <col min="3841" max="3841" width="82" style="1" customWidth="1"/>
    <col min="3842" max="3842" width="22.42578125" style="1" customWidth="1"/>
    <col min="3843" max="4096" width="9.140625" style="1"/>
    <col min="4097" max="4097" width="82" style="1" customWidth="1"/>
    <col min="4098" max="4098" width="22.42578125" style="1" customWidth="1"/>
    <col min="4099" max="4352" width="9.140625" style="1"/>
    <col min="4353" max="4353" width="82" style="1" customWidth="1"/>
    <col min="4354" max="4354" width="22.42578125" style="1" customWidth="1"/>
    <col min="4355" max="4608" width="9.140625" style="1"/>
    <col min="4609" max="4609" width="82" style="1" customWidth="1"/>
    <col min="4610" max="4610" width="22.42578125" style="1" customWidth="1"/>
    <col min="4611" max="4864" width="9.140625" style="1"/>
    <col min="4865" max="4865" width="82" style="1" customWidth="1"/>
    <col min="4866" max="4866" width="22.42578125" style="1" customWidth="1"/>
    <col min="4867" max="5120" width="9.140625" style="1"/>
    <col min="5121" max="5121" width="82" style="1" customWidth="1"/>
    <col min="5122" max="5122" width="22.42578125" style="1" customWidth="1"/>
    <col min="5123" max="5376" width="9.140625" style="1"/>
    <col min="5377" max="5377" width="82" style="1" customWidth="1"/>
    <col min="5378" max="5378" width="22.42578125" style="1" customWidth="1"/>
    <col min="5379" max="5632" width="9.140625" style="1"/>
    <col min="5633" max="5633" width="82" style="1" customWidth="1"/>
    <col min="5634" max="5634" width="22.42578125" style="1" customWidth="1"/>
    <col min="5635" max="5888" width="9.140625" style="1"/>
    <col min="5889" max="5889" width="82" style="1" customWidth="1"/>
    <col min="5890" max="5890" width="22.42578125" style="1" customWidth="1"/>
    <col min="5891" max="6144" width="9.140625" style="1"/>
    <col min="6145" max="6145" width="82" style="1" customWidth="1"/>
    <col min="6146" max="6146" width="22.42578125" style="1" customWidth="1"/>
    <col min="6147" max="6400" width="9.140625" style="1"/>
    <col min="6401" max="6401" width="82" style="1" customWidth="1"/>
    <col min="6402" max="6402" width="22.42578125" style="1" customWidth="1"/>
    <col min="6403" max="6656" width="9.140625" style="1"/>
    <col min="6657" max="6657" width="82" style="1" customWidth="1"/>
    <col min="6658" max="6658" width="22.42578125" style="1" customWidth="1"/>
    <col min="6659" max="6912" width="9.140625" style="1"/>
    <col min="6913" max="6913" width="82" style="1" customWidth="1"/>
    <col min="6914" max="6914" width="22.42578125" style="1" customWidth="1"/>
    <col min="6915" max="7168" width="9.140625" style="1"/>
    <col min="7169" max="7169" width="82" style="1" customWidth="1"/>
    <col min="7170" max="7170" width="22.42578125" style="1" customWidth="1"/>
    <col min="7171" max="7424" width="9.140625" style="1"/>
    <col min="7425" max="7425" width="82" style="1" customWidth="1"/>
    <col min="7426" max="7426" width="22.42578125" style="1" customWidth="1"/>
    <col min="7427" max="7680" width="9.140625" style="1"/>
    <col min="7681" max="7681" width="82" style="1" customWidth="1"/>
    <col min="7682" max="7682" width="22.42578125" style="1" customWidth="1"/>
    <col min="7683" max="7936" width="9.140625" style="1"/>
    <col min="7937" max="7937" width="82" style="1" customWidth="1"/>
    <col min="7938" max="7938" width="22.42578125" style="1" customWidth="1"/>
    <col min="7939" max="8192" width="9.140625" style="1"/>
    <col min="8193" max="8193" width="82" style="1" customWidth="1"/>
    <col min="8194" max="8194" width="22.42578125" style="1" customWidth="1"/>
    <col min="8195" max="8448" width="9.140625" style="1"/>
    <col min="8449" max="8449" width="82" style="1" customWidth="1"/>
    <col min="8450" max="8450" width="22.42578125" style="1" customWidth="1"/>
    <col min="8451" max="8704" width="9.140625" style="1"/>
    <col min="8705" max="8705" width="82" style="1" customWidth="1"/>
    <col min="8706" max="8706" width="22.42578125" style="1" customWidth="1"/>
    <col min="8707" max="8960" width="9.140625" style="1"/>
    <col min="8961" max="8961" width="82" style="1" customWidth="1"/>
    <col min="8962" max="8962" width="22.42578125" style="1" customWidth="1"/>
    <col min="8963" max="9216" width="9.140625" style="1"/>
    <col min="9217" max="9217" width="82" style="1" customWidth="1"/>
    <col min="9218" max="9218" width="22.42578125" style="1" customWidth="1"/>
    <col min="9219" max="9472" width="9.140625" style="1"/>
    <col min="9473" max="9473" width="82" style="1" customWidth="1"/>
    <col min="9474" max="9474" width="22.42578125" style="1" customWidth="1"/>
    <col min="9475" max="9728" width="9.140625" style="1"/>
    <col min="9729" max="9729" width="82" style="1" customWidth="1"/>
    <col min="9730" max="9730" width="22.42578125" style="1" customWidth="1"/>
    <col min="9731" max="9984" width="9.140625" style="1"/>
    <col min="9985" max="9985" width="82" style="1" customWidth="1"/>
    <col min="9986" max="9986" width="22.42578125" style="1" customWidth="1"/>
    <col min="9987" max="10240" width="9.140625" style="1"/>
    <col min="10241" max="10241" width="82" style="1" customWidth="1"/>
    <col min="10242" max="10242" width="22.42578125" style="1" customWidth="1"/>
    <col min="10243" max="10496" width="9.140625" style="1"/>
    <col min="10497" max="10497" width="82" style="1" customWidth="1"/>
    <col min="10498" max="10498" width="22.42578125" style="1" customWidth="1"/>
    <col min="10499" max="10752" width="9.140625" style="1"/>
    <col min="10753" max="10753" width="82" style="1" customWidth="1"/>
    <col min="10754" max="10754" width="22.42578125" style="1" customWidth="1"/>
    <col min="10755" max="11008" width="9.140625" style="1"/>
    <col min="11009" max="11009" width="82" style="1" customWidth="1"/>
    <col min="11010" max="11010" width="22.42578125" style="1" customWidth="1"/>
    <col min="11011" max="11264" width="9.140625" style="1"/>
    <col min="11265" max="11265" width="82" style="1" customWidth="1"/>
    <col min="11266" max="11266" width="22.42578125" style="1" customWidth="1"/>
    <col min="11267" max="11520" width="9.140625" style="1"/>
    <col min="11521" max="11521" width="82" style="1" customWidth="1"/>
    <col min="11522" max="11522" width="22.42578125" style="1" customWidth="1"/>
    <col min="11523" max="11776" width="9.140625" style="1"/>
    <col min="11777" max="11777" width="82" style="1" customWidth="1"/>
    <col min="11778" max="11778" width="22.42578125" style="1" customWidth="1"/>
    <col min="11779" max="12032" width="9.140625" style="1"/>
    <col min="12033" max="12033" width="82" style="1" customWidth="1"/>
    <col min="12034" max="12034" width="22.42578125" style="1" customWidth="1"/>
    <col min="12035" max="12288" width="9.140625" style="1"/>
    <col min="12289" max="12289" width="82" style="1" customWidth="1"/>
    <col min="12290" max="12290" width="22.42578125" style="1" customWidth="1"/>
    <col min="12291" max="12544" width="9.140625" style="1"/>
    <col min="12545" max="12545" width="82" style="1" customWidth="1"/>
    <col min="12546" max="12546" width="22.42578125" style="1" customWidth="1"/>
    <col min="12547" max="12800" width="9.140625" style="1"/>
    <col min="12801" max="12801" width="82" style="1" customWidth="1"/>
    <col min="12802" max="12802" width="22.42578125" style="1" customWidth="1"/>
    <col min="12803" max="13056" width="9.140625" style="1"/>
    <col min="13057" max="13057" width="82" style="1" customWidth="1"/>
    <col min="13058" max="13058" width="22.42578125" style="1" customWidth="1"/>
    <col min="13059" max="13312" width="9.140625" style="1"/>
    <col min="13313" max="13313" width="82" style="1" customWidth="1"/>
    <col min="13314" max="13314" width="22.42578125" style="1" customWidth="1"/>
    <col min="13315" max="13568" width="9.140625" style="1"/>
    <col min="13569" max="13569" width="82" style="1" customWidth="1"/>
    <col min="13570" max="13570" width="22.42578125" style="1" customWidth="1"/>
    <col min="13571" max="13824" width="9.140625" style="1"/>
    <col min="13825" max="13825" width="82" style="1" customWidth="1"/>
    <col min="13826" max="13826" width="22.42578125" style="1" customWidth="1"/>
    <col min="13827" max="14080" width="9.140625" style="1"/>
    <col min="14081" max="14081" width="82" style="1" customWidth="1"/>
    <col min="14082" max="14082" width="22.42578125" style="1" customWidth="1"/>
    <col min="14083" max="14336" width="9.140625" style="1"/>
    <col min="14337" max="14337" width="82" style="1" customWidth="1"/>
    <col min="14338" max="14338" width="22.42578125" style="1" customWidth="1"/>
    <col min="14339" max="14592" width="9.140625" style="1"/>
    <col min="14593" max="14593" width="82" style="1" customWidth="1"/>
    <col min="14594" max="14594" width="22.42578125" style="1" customWidth="1"/>
    <col min="14595" max="14848" width="9.140625" style="1"/>
    <col min="14849" max="14849" width="82" style="1" customWidth="1"/>
    <col min="14850" max="14850" width="22.42578125" style="1" customWidth="1"/>
    <col min="14851" max="15104" width="9.140625" style="1"/>
    <col min="15105" max="15105" width="82" style="1" customWidth="1"/>
    <col min="15106" max="15106" width="22.42578125" style="1" customWidth="1"/>
    <col min="15107" max="15360" width="9.140625" style="1"/>
    <col min="15361" max="15361" width="82" style="1" customWidth="1"/>
    <col min="15362" max="15362" width="22.42578125" style="1" customWidth="1"/>
    <col min="15363" max="15616" width="9.140625" style="1"/>
    <col min="15617" max="15617" width="82" style="1" customWidth="1"/>
    <col min="15618" max="15618" width="22.42578125" style="1" customWidth="1"/>
    <col min="15619" max="15872" width="9.140625" style="1"/>
    <col min="15873" max="15873" width="82" style="1" customWidth="1"/>
    <col min="15874" max="15874" width="22.42578125" style="1" customWidth="1"/>
    <col min="15875" max="16128" width="9.140625" style="1"/>
    <col min="16129" max="16129" width="82" style="1" customWidth="1"/>
    <col min="16130" max="16130" width="22.42578125" style="1" customWidth="1"/>
    <col min="16131" max="16384" width="9.140625" style="1"/>
  </cols>
  <sheetData>
    <row r="1" spans="1:38">
      <c r="A1" s="1" t="s">
        <v>1031</v>
      </c>
    </row>
    <row r="4" spans="1:38" s="2" customFormat="1" ht="16.5">
      <c r="A4" s="818" t="s">
        <v>767</v>
      </c>
      <c r="B4" s="818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</row>
    <row r="5" spans="1:38" s="2" customFormat="1">
      <c r="A5" s="3"/>
      <c r="B5" s="3"/>
      <c r="C5" s="36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</row>
    <row r="6" spans="1:38">
      <c r="B6" s="4" t="s">
        <v>7</v>
      </c>
      <c r="C6" s="37"/>
    </row>
    <row r="7" spans="1:38" s="26" customFormat="1" ht="24" customHeight="1">
      <c r="A7" s="5" t="s">
        <v>0</v>
      </c>
      <c r="B7" s="5" t="s">
        <v>271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</row>
    <row r="8" spans="1:38" s="7" customFormat="1" ht="24" customHeight="1">
      <c r="A8" s="39" t="s">
        <v>272</v>
      </c>
      <c r="B8" s="11">
        <v>4974597123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38" s="7" customFormat="1" ht="24" customHeight="1">
      <c r="A9" s="39" t="s">
        <v>273</v>
      </c>
      <c r="B9" s="11">
        <v>4019771247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0" spans="1:38" s="7" customFormat="1" ht="24" customHeight="1">
      <c r="A10" s="40" t="s">
        <v>274</v>
      </c>
      <c r="B10" s="14">
        <f>SUM(B8-B9)</f>
        <v>954825876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spans="1:38" s="7" customFormat="1" ht="24" customHeight="1">
      <c r="A11" s="39" t="s">
        <v>275</v>
      </c>
      <c r="B11" s="11">
        <v>4513055358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2" spans="1:38" s="7" customFormat="1" ht="24" customHeight="1">
      <c r="A12" s="39" t="s">
        <v>276</v>
      </c>
      <c r="B12" s="11">
        <v>1646521084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</row>
    <row r="13" spans="1:38" s="7" customFormat="1" ht="24" customHeight="1">
      <c r="A13" s="40" t="s">
        <v>277</v>
      </c>
      <c r="B13" s="14">
        <f>SUM(B11-B12)</f>
        <v>2866534274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1:38" s="7" customFormat="1" ht="24" customHeight="1">
      <c r="A14" s="40" t="s">
        <v>278</v>
      </c>
      <c r="B14" s="14">
        <f>SUM(B13,B10)</f>
        <v>3821360150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1:38" s="35" customFormat="1" ht="24" customHeight="1">
      <c r="A15" s="41" t="s">
        <v>279</v>
      </c>
      <c r="B15" s="17">
        <f>SUM(B14)</f>
        <v>3821360150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1:38" s="7" customFormat="1" ht="24" customHeight="1">
      <c r="A16" s="40" t="s">
        <v>280</v>
      </c>
      <c r="B16" s="322">
        <f>SUM(B15)</f>
        <v>3821360150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</sheetData>
  <mergeCells count="1">
    <mergeCell ref="A4:B4"/>
  </mergeCells>
  <pageMargins left="0.7" right="0.7" top="0.75" bottom="0.75" header="0.3" footer="0.3"/>
  <pageSetup paperSize="9" scale="83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0"/>
  <sheetViews>
    <sheetView view="pageBreakPreview" zoomScale="95" zoomScaleSheetLayoutView="95" workbookViewId="0">
      <selection sqref="A1:XFD1"/>
    </sheetView>
  </sheetViews>
  <sheetFormatPr defaultRowHeight="15.75"/>
  <cols>
    <col min="1" max="1" width="74.5703125" style="42" customWidth="1"/>
    <col min="2" max="2" width="16.28515625" style="42" customWidth="1"/>
    <col min="3" max="3" width="19" style="87" customWidth="1"/>
    <col min="4" max="4" width="19.85546875" style="87" customWidth="1"/>
    <col min="5" max="6" width="19" style="87" customWidth="1"/>
    <col min="7" max="7" width="19" style="43" customWidth="1"/>
    <col min="8" max="16384" width="9.140625" style="42"/>
  </cols>
  <sheetData>
    <row r="1" spans="1:7" ht="20.100000000000001" customHeight="1">
      <c r="A1" s="860" t="s">
        <v>1032</v>
      </c>
      <c r="B1" s="861"/>
      <c r="C1" s="861"/>
      <c r="D1" s="861"/>
      <c r="E1" s="42"/>
      <c r="F1" s="42"/>
    </row>
    <row r="2" spans="1:7" ht="20.100000000000001" customHeight="1">
      <c r="A2" s="44"/>
      <c r="B2" s="45"/>
      <c r="C2" s="46"/>
      <c r="D2" s="46"/>
      <c r="E2" s="46"/>
      <c r="F2" s="46"/>
      <c r="G2" s="47"/>
    </row>
    <row r="3" spans="1:7" ht="39" customHeight="1">
      <c r="A3" s="862" t="s">
        <v>768</v>
      </c>
      <c r="B3" s="862"/>
      <c r="C3" s="862"/>
      <c r="D3" s="862"/>
      <c r="E3" s="862"/>
      <c r="F3" s="862"/>
      <c r="G3" s="862"/>
    </row>
    <row r="4" spans="1:7" ht="20.100000000000001" customHeight="1">
      <c r="A4" s="44" t="s">
        <v>281</v>
      </c>
      <c r="B4" s="45"/>
      <c r="C4" s="46"/>
      <c r="D4" s="46"/>
      <c r="E4" s="46"/>
      <c r="F4" s="46"/>
      <c r="G4" s="47"/>
    </row>
    <row r="5" spans="1:7" ht="20.100000000000001" customHeight="1" thickBot="1">
      <c r="A5" s="48"/>
      <c r="B5" s="49"/>
      <c r="C5" s="49"/>
      <c r="D5" s="50"/>
      <c r="E5" s="592"/>
      <c r="F5" s="50"/>
      <c r="G5" s="51" t="s">
        <v>7</v>
      </c>
    </row>
    <row r="6" spans="1:7" s="444" customFormat="1" ht="31.5" customHeight="1" thickBot="1">
      <c r="A6" s="850" t="s">
        <v>577</v>
      </c>
      <c r="B6" s="851"/>
      <c r="C6" s="442"/>
      <c r="D6" s="443" t="s">
        <v>283</v>
      </c>
      <c r="E6" s="443" t="s">
        <v>284</v>
      </c>
      <c r="F6" s="443" t="s">
        <v>285</v>
      </c>
      <c r="G6" s="480" t="s">
        <v>286</v>
      </c>
    </row>
    <row r="7" spans="1:7" s="444" customFormat="1" ht="20.100000000000001" customHeight="1">
      <c r="A7" s="52" t="s">
        <v>287</v>
      </c>
      <c r="B7" s="53"/>
      <c r="C7" s="54"/>
      <c r="D7" s="54"/>
      <c r="E7" s="54"/>
      <c r="F7" s="54"/>
      <c r="G7" s="55"/>
    </row>
    <row r="8" spans="1:7" s="444" customFormat="1" ht="20.100000000000001" customHeight="1">
      <c r="A8" s="56" t="s">
        <v>288</v>
      </c>
      <c r="B8" s="57" t="s">
        <v>7</v>
      </c>
      <c r="C8" s="58" t="s">
        <v>7</v>
      </c>
      <c r="D8" s="445"/>
      <c r="E8" s="445"/>
      <c r="F8" s="445"/>
      <c r="G8" s="481"/>
    </row>
    <row r="9" spans="1:7" s="444" customFormat="1" ht="20.100000000000001" customHeight="1">
      <c r="A9" s="56" t="s">
        <v>578</v>
      </c>
      <c r="B9" s="57"/>
      <c r="C9" s="58"/>
      <c r="D9" s="445"/>
      <c r="E9" s="445"/>
      <c r="F9" s="445"/>
      <c r="G9" s="481"/>
    </row>
    <row r="10" spans="1:7" s="444" customFormat="1" ht="20.100000000000001" customHeight="1">
      <c r="A10" s="832" t="s">
        <v>579</v>
      </c>
      <c r="B10" s="833"/>
      <c r="C10" s="61">
        <v>194650000</v>
      </c>
      <c r="D10" s="61">
        <v>194650000</v>
      </c>
      <c r="E10" s="61">
        <v>194650000</v>
      </c>
      <c r="F10" s="61">
        <v>194650000</v>
      </c>
      <c r="G10" s="62">
        <f>SUM(F10/E10)</f>
        <v>1</v>
      </c>
    </row>
    <row r="11" spans="1:7" s="444" customFormat="1" ht="20.100000000000001" customHeight="1">
      <c r="A11" s="832" t="s">
        <v>580</v>
      </c>
      <c r="B11" s="833"/>
      <c r="C11" s="61">
        <v>29491750</v>
      </c>
      <c r="D11" s="61">
        <v>0</v>
      </c>
      <c r="E11" s="61">
        <v>0</v>
      </c>
      <c r="F11" s="61"/>
      <c r="G11" s="62"/>
    </row>
    <row r="12" spans="1:7" s="444" customFormat="1" ht="20.100000000000001" customHeight="1">
      <c r="A12" s="832" t="s">
        <v>581</v>
      </c>
      <c r="B12" s="833"/>
      <c r="C12" s="61">
        <v>0</v>
      </c>
      <c r="D12" s="61"/>
      <c r="E12" s="61"/>
      <c r="F12" s="61"/>
      <c r="G12" s="62"/>
    </row>
    <row r="13" spans="1:7" s="444" customFormat="1" ht="20.100000000000001" customHeight="1">
      <c r="A13" s="586" t="s">
        <v>582</v>
      </c>
      <c r="B13" s="587"/>
      <c r="C13" s="61">
        <v>54720000</v>
      </c>
      <c r="D13" s="61">
        <v>47789692</v>
      </c>
      <c r="E13" s="61">
        <v>47789692</v>
      </c>
      <c r="F13" s="61">
        <v>47789692</v>
      </c>
      <c r="G13" s="62">
        <f>SUM(F13/E13)</f>
        <v>1</v>
      </c>
    </row>
    <row r="14" spans="1:7" s="444" customFormat="1" ht="20.100000000000001" customHeight="1">
      <c r="A14" s="832" t="s">
        <v>581</v>
      </c>
      <c r="B14" s="833"/>
      <c r="C14" s="61">
        <v>47789692</v>
      </c>
      <c r="D14" s="61"/>
      <c r="E14" s="61"/>
      <c r="F14" s="61"/>
      <c r="G14" s="62"/>
    </row>
    <row r="15" spans="1:7" s="444" customFormat="1" ht="20.100000000000001" customHeight="1">
      <c r="A15" s="586" t="s">
        <v>583</v>
      </c>
      <c r="B15" s="587"/>
      <c r="C15" s="61">
        <v>0</v>
      </c>
      <c r="D15" s="61">
        <v>0</v>
      </c>
      <c r="E15" s="61">
        <v>0</v>
      </c>
      <c r="F15" s="61"/>
      <c r="G15" s="62"/>
    </row>
    <row r="16" spans="1:7" s="444" customFormat="1" ht="20.100000000000001" customHeight="1">
      <c r="A16" s="586" t="s">
        <v>584</v>
      </c>
      <c r="B16" s="587"/>
      <c r="C16" s="61">
        <v>32733200</v>
      </c>
      <c r="D16" s="61">
        <v>32733200</v>
      </c>
      <c r="E16" s="61">
        <v>32733200</v>
      </c>
      <c r="F16" s="61">
        <v>32733200</v>
      </c>
      <c r="G16" s="62">
        <f>SUM(F16/E16)</f>
        <v>1</v>
      </c>
    </row>
    <row r="17" spans="1:7" s="444" customFormat="1" ht="20.100000000000001" customHeight="1">
      <c r="A17" s="832" t="s">
        <v>581</v>
      </c>
      <c r="B17" s="833"/>
      <c r="C17" s="61">
        <v>32733200</v>
      </c>
      <c r="D17" s="61"/>
      <c r="E17" s="61"/>
      <c r="F17" s="61"/>
      <c r="G17" s="62"/>
    </row>
    <row r="18" spans="1:7" s="444" customFormat="1" ht="20.100000000000001" customHeight="1">
      <c r="A18" s="586" t="s">
        <v>585</v>
      </c>
      <c r="B18" s="587"/>
      <c r="C18" s="61">
        <v>55115100</v>
      </c>
      <c r="D18" s="61">
        <v>0</v>
      </c>
      <c r="E18" s="61">
        <v>0</v>
      </c>
      <c r="F18" s="61"/>
      <c r="G18" s="62"/>
    </row>
    <row r="19" spans="1:7" s="444" customFormat="1" ht="20.100000000000001" customHeight="1">
      <c r="A19" s="832" t="s">
        <v>581</v>
      </c>
      <c r="B19" s="833"/>
      <c r="C19" s="61">
        <v>0</v>
      </c>
      <c r="D19" s="61"/>
      <c r="E19" s="61"/>
      <c r="F19" s="61"/>
      <c r="G19" s="62"/>
    </row>
    <row r="20" spans="1:7" s="444" customFormat="1" ht="20.100000000000001" customHeight="1">
      <c r="A20" s="586" t="s">
        <v>586</v>
      </c>
      <c r="B20" s="587"/>
      <c r="C20" s="61">
        <v>1412700</v>
      </c>
      <c r="D20" s="61">
        <v>0</v>
      </c>
      <c r="E20" s="61">
        <v>0</v>
      </c>
      <c r="F20" s="61"/>
      <c r="G20" s="62"/>
    </row>
    <row r="21" spans="1:7" s="444" customFormat="1" ht="20.100000000000001" customHeight="1">
      <c r="A21" s="832" t="s">
        <v>581</v>
      </c>
      <c r="B21" s="833"/>
      <c r="C21" s="61">
        <v>0</v>
      </c>
      <c r="D21" s="61"/>
      <c r="E21" s="61"/>
      <c r="F21" s="61"/>
      <c r="G21" s="62"/>
    </row>
    <row r="22" spans="1:7" s="444" customFormat="1" ht="20.100000000000001" customHeight="1">
      <c r="A22" s="586" t="s">
        <v>587</v>
      </c>
      <c r="B22" s="587"/>
      <c r="C22" s="61">
        <v>4054610</v>
      </c>
      <c r="D22" s="61">
        <v>4054610</v>
      </c>
      <c r="E22" s="61">
        <v>4054610</v>
      </c>
      <c r="F22" s="61">
        <v>4054610</v>
      </c>
      <c r="G22" s="62">
        <f>SUM(F22/E22)</f>
        <v>1</v>
      </c>
    </row>
    <row r="23" spans="1:7" s="444" customFormat="1" ht="20.100000000000001" customHeight="1">
      <c r="A23" s="832" t="s">
        <v>581</v>
      </c>
      <c r="B23" s="833"/>
      <c r="C23" s="61">
        <v>4054610</v>
      </c>
      <c r="D23" s="61"/>
      <c r="E23" s="61"/>
      <c r="F23" s="61"/>
      <c r="G23" s="62"/>
    </row>
    <row r="24" spans="1:7" s="444" customFormat="1" ht="20.100000000000001" customHeight="1">
      <c r="A24" s="586" t="s">
        <v>289</v>
      </c>
      <c r="B24" s="63">
        <f>SUM(C11-C12+C13-C14+C15+C16-C17+C18-C19+C20-C21+C22-C23)</f>
        <v>92949858</v>
      </c>
      <c r="C24" s="61"/>
      <c r="D24" s="61"/>
      <c r="E24" s="61"/>
      <c r="F24" s="61"/>
      <c r="G24" s="62"/>
    </row>
    <row r="25" spans="1:7" s="444" customFormat="1" ht="20.100000000000001" customHeight="1" thickBot="1">
      <c r="A25" s="446" t="s">
        <v>769</v>
      </c>
      <c r="B25" s="447"/>
      <c r="C25" s="88">
        <v>984784</v>
      </c>
      <c r="D25" s="88"/>
      <c r="E25" s="88">
        <v>984784</v>
      </c>
      <c r="F25" s="88">
        <v>984784</v>
      </c>
      <c r="G25" s="62">
        <f>SUM(F25/E25)</f>
        <v>1</v>
      </c>
    </row>
    <row r="26" spans="1:7" s="444" customFormat="1" ht="19.5" customHeight="1" thickBot="1">
      <c r="A26" s="863" t="s">
        <v>770</v>
      </c>
      <c r="B26" s="864"/>
      <c r="C26" s="448">
        <f>C10+C12+C14+C15+C16+C19+C21+C23+C25</f>
        <v>280212286</v>
      </c>
      <c r="D26" s="448">
        <f>SUM(D10:D25)</f>
        <v>279227502</v>
      </c>
      <c r="E26" s="448">
        <f>SUM(E10:E25)</f>
        <v>280212286</v>
      </c>
      <c r="F26" s="448">
        <f>SUM(F10:F25)</f>
        <v>280212286</v>
      </c>
      <c r="G26" s="483">
        <f>SUM(F26/E26)</f>
        <v>1</v>
      </c>
    </row>
    <row r="27" spans="1:7" s="444" customFormat="1" ht="20.100000000000001" customHeight="1" thickBot="1">
      <c r="A27" s="586" t="s">
        <v>771</v>
      </c>
      <c r="B27" s="587"/>
      <c r="C27" s="61">
        <v>2048700</v>
      </c>
      <c r="D27" s="61">
        <v>2048700</v>
      </c>
      <c r="E27" s="61">
        <v>2048700</v>
      </c>
      <c r="F27" s="61">
        <v>2048700</v>
      </c>
      <c r="G27" s="62">
        <f>SUM(F27/E27)</f>
        <v>1</v>
      </c>
    </row>
    <row r="28" spans="1:7" s="444" customFormat="1" ht="19.5" customHeight="1" thickBot="1">
      <c r="A28" s="863" t="s">
        <v>772</v>
      </c>
      <c r="B28" s="864"/>
      <c r="C28" s="448">
        <f>SUM(C26:C27)</f>
        <v>282260986</v>
      </c>
      <c r="D28" s="448">
        <f>SUM(D26:D27)</f>
        <v>281276202</v>
      </c>
      <c r="E28" s="448">
        <f>SUM(E26:E27)</f>
        <v>282260986</v>
      </c>
      <c r="F28" s="448">
        <f>SUM(F26:F27)</f>
        <v>282260986</v>
      </c>
      <c r="G28" s="483">
        <f>SUM(F28/E28)</f>
        <v>1</v>
      </c>
    </row>
    <row r="29" spans="1:7" s="444" customFormat="1" ht="19.5" customHeight="1">
      <c r="A29" s="865" t="s">
        <v>588</v>
      </c>
      <c r="B29" s="866"/>
      <c r="C29" s="445"/>
      <c r="D29" s="445"/>
      <c r="E29" s="445"/>
      <c r="F29" s="445"/>
      <c r="G29" s="481"/>
    </row>
    <row r="30" spans="1:7" s="64" customFormat="1" ht="20.100000000000001" customHeight="1">
      <c r="A30" s="586" t="s">
        <v>589</v>
      </c>
      <c r="B30" s="587"/>
      <c r="C30" s="61">
        <f>195614400+61740000+2946000+95892300+30870000+1473000+736500+5155500</f>
        <v>394427700</v>
      </c>
      <c r="D30" s="61">
        <v>388535700</v>
      </c>
      <c r="E30" s="61">
        <f>SUM(C30)</f>
        <v>394427700</v>
      </c>
      <c r="F30" s="61">
        <v>394427700</v>
      </c>
      <c r="G30" s="62">
        <f>SUM(F30/E30)</f>
        <v>1</v>
      </c>
    </row>
    <row r="31" spans="1:7" s="64" customFormat="1" ht="20.100000000000001" customHeight="1">
      <c r="A31" s="586" t="s">
        <v>590</v>
      </c>
      <c r="B31" s="587"/>
      <c r="C31" s="61"/>
      <c r="D31" s="61"/>
      <c r="E31" s="61"/>
      <c r="F31" s="61"/>
      <c r="G31" s="62"/>
    </row>
    <row r="32" spans="1:7" s="64" customFormat="1" ht="20.100000000000001" customHeight="1">
      <c r="A32" s="586" t="s">
        <v>591</v>
      </c>
      <c r="B32" s="587"/>
      <c r="C32" s="61">
        <f>39869600+19689700+81700+1171033</f>
        <v>60812033</v>
      </c>
      <c r="D32" s="61">
        <v>59559300</v>
      </c>
      <c r="E32" s="61">
        <f>SUM(C32)</f>
        <v>60812033</v>
      </c>
      <c r="F32" s="61">
        <v>60812033</v>
      </c>
      <c r="G32" s="62">
        <f t="shared" ref="G32:G33" si="0">SUM(F32/E32)</f>
        <v>1</v>
      </c>
    </row>
    <row r="33" spans="1:7" s="64" customFormat="1" ht="20.100000000000001" customHeight="1">
      <c r="A33" s="586" t="s">
        <v>592</v>
      </c>
      <c r="B33" s="587"/>
      <c r="C33" s="61">
        <f>10025000+2926000+2561868-1203000+2443836</f>
        <v>16753704</v>
      </c>
      <c r="D33" s="61">
        <v>12951000</v>
      </c>
      <c r="E33" s="61">
        <f>SUM(C33)</f>
        <v>16753704</v>
      </c>
      <c r="F33" s="61">
        <v>16753704</v>
      </c>
      <c r="G33" s="62">
        <f t="shared" si="0"/>
        <v>1</v>
      </c>
    </row>
    <row r="34" spans="1:7" s="64" customFormat="1" ht="20.100000000000001" customHeight="1" thickBot="1">
      <c r="A34" s="446" t="s">
        <v>593</v>
      </c>
      <c r="B34" s="449"/>
      <c r="C34" s="88"/>
      <c r="D34" s="88"/>
      <c r="E34" s="88"/>
      <c r="F34" s="88"/>
      <c r="G34" s="482"/>
    </row>
    <row r="35" spans="1:7" s="64" customFormat="1" ht="20.100000000000001" customHeight="1" thickBot="1">
      <c r="A35" s="863" t="s">
        <v>588</v>
      </c>
      <c r="B35" s="864"/>
      <c r="C35" s="448">
        <f>SUM(C30:C34)</f>
        <v>471993437</v>
      </c>
      <c r="D35" s="448">
        <f>SUM(D30:D34)</f>
        <v>461046000</v>
      </c>
      <c r="E35" s="448">
        <f>SUM(E30:E34)</f>
        <v>471993437</v>
      </c>
      <c r="F35" s="448">
        <f>SUM(F30:F34)</f>
        <v>471993437</v>
      </c>
      <c r="G35" s="483">
        <f>SUM(F35/E35)</f>
        <v>1</v>
      </c>
    </row>
    <row r="36" spans="1:7" s="64" customFormat="1" ht="20.100000000000001" customHeight="1">
      <c r="A36" s="865" t="s">
        <v>594</v>
      </c>
      <c r="B36" s="866"/>
      <c r="C36" s="445"/>
      <c r="D36" s="445"/>
      <c r="E36" s="445"/>
      <c r="F36" s="445"/>
      <c r="G36" s="481"/>
    </row>
    <row r="37" spans="1:7" s="64" customFormat="1" ht="20.100000000000001" customHeight="1">
      <c r="A37" s="70" t="s">
        <v>290</v>
      </c>
      <c r="B37" s="591"/>
      <c r="C37" s="450"/>
      <c r="D37" s="450"/>
      <c r="E37" s="450"/>
      <c r="F37" s="450"/>
      <c r="G37" s="484"/>
    </row>
    <row r="38" spans="1:7" s="64" customFormat="1" ht="20.100000000000001" customHeight="1">
      <c r="A38" s="846" t="s">
        <v>595</v>
      </c>
      <c r="B38" s="847"/>
      <c r="C38" s="61">
        <v>80695000</v>
      </c>
      <c r="D38" s="61">
        <v>80695000</v>
      </c>
      <c r="E38" s="61">
        <f>SUM(C38)</f>
        <v>80695000</v>
      </c>
      <c r="F38" s="61">
        <v>80695000</v>
      </c>
      <c r="G38" s="62">
        <f>SUM(F38/E38)</f>
        <v>1</v>
      </c>
    </row>
    <row r="39" spans="1:7" s="64" customFormat="1" ht="20.100000000000001" customHeight="1">
      <c r="A39" s="586" t="s">
        <v>596</v>
      </c>
      <c r="B39" s="587"/>
      <c r="C39" s="61">
        <f>SUM(B40:B50)</f>
        <v>147371393</v>
      </c>
      <c r="D39" s="61">
        <v>138110644</v>
      </c>
      <c r="E39" s="61">
        <f>SUM(C39)</f>
        <v>147371393</v>
      </c>
      <c r="F39" s="61">
        <v>147371393</v>
      </c>
      <c r="G39" s="62">
        <f>SUM(F39/E39)</f>
        <v>1</v>
      </c>
    </row>
    <row r="40" spans="1:7" s="64" customFormat="1" ht="20.100000000000001" customHeight="1">
      <c r="A40" s="586" t="s">
        <v>597</v>
      </c>
      <c r="B40" s="65">
        <v>16660000</v>
      </c>
      <c r="C40" s="61"/>
      <c r="D40" s="61"/>
      <c r="E40" s="61"/>
      <c r="F40" s="61"/>
      <c r="G40" s="62"/>
    </row>
    <row r="41" spans="1:7" s="64" customFormat="1" ht="20.100000000000001" customHeight="1">
      <c r="A41" s="586" t="s">
        <v>598</v>
      </c>
      <c r="B41" s="65">
        <v>24750000</v>
      </c>
      <c r="C41" s="61"/>
      <c r="D41" s="61"/>
      <c r="E41" s="61"/>
      <c r="F41" s="61"/>
      <c r="G41" s="62"/>
    </row>
    <row r="42" spans="1:7" s="64" customFormat="1" ht="20.100000000000001" customHeight="1">
      <c r="A42" s="586" t="s">
        <v>599</v>
      </c>
      <c r="B42" s="65">
        <f>29778144-487168+1522400</f>
        <v>30813376</v>
      </c>
      <c r="C42" s="61"/>
      <c r="D42" s="61"/>
      <c r="E42" s="61"/>
      <c r="F42" s="61"/>
      <c r="G42" s="62"/>
    </row>
    <row r="43" spans="1:7" s="64" customFormat="1" ht="20.100000000000001" customHeight="1">
      <c r="A43" s="586" t="s">
        <v>600</v>
      </c>
      <c r="B43" s="65">
        <f>175000-100000-25000</f>
        <v>50000</v>
      </c>
      <c r="C43" s="61"/>
      <c r="D43" s="61"/>
      <c r="E43" s="61"/>
      <c r="F43" s="61"/>
      <c r="G43" s="62"/>
    </row>
    <row r="44" spans="1:7" s="64" customFormat="1" ht="20.100000000000001" customHeight="1">
      <c r="A44" s="586" t="s">
        <v>601</v>
      </c>
      <c r="B44" s="65">
        <f>42042000+2145000</f>
        <v>44187000</v>
      </c>
      <c r="C44" s="61"/>
      <c r="D44" s="61"/>
      <c r="E44" s="61"/>
      <c r="F44" s="61"/>
      <c r="G44" s="62"/>
    </row>
    <row r="45" spans="1:7" s="64" customFormat="1" ht="20.100000000000001" customHeight="1">
      <c r="A45" s="586" t="s">
        <v>602</v>
      </c>
      <c r="B45" s="65">
        <v>3100000</v>
      </c>
      <c r="C45" s="61"/>
      <c r="D45" s="61"/>
      <c r="E45" s="61"/>
      <c r="F45" s="61"/>
      <c r="G45" s="62"/>
    </row>
    <row r="46" spans="1:7" s="64" customFormat="1" ht="20.100000000000001" customHeight="1">
      <c r="A46" s="586" t="s">
        <v>603</v>
      </c>
      <c r="B46" s="65">
        <f>8665500-654000</f>
        <v>8011500</v>
      </c>
      <c r="C46" s="61"/>
      <c r="D46" s="61"/>
      <c r="E46" s="61"/>
      <c r="F46" s="61"/>
      <c r="G46" s="62"/>
    </row>
    <row r="47" spans="1:7" s="64" customFormat="1" ht="20.100000000000001" customHeight="1">
      <c r="A47" s="586" t="s">
        <v>604</v>
      </c>
      <c r="B47" s="65">
        <f>5500000-550000</f>
        <v>4950000</v>
      </c>
      <c r="C47" s="61"/>
      <c r="D47" s="61"/>
      <c r="E47" s="61"/>
      <c r="F47" s="61"/>
      <c r="G47" s="62"/>
    </row>
    <row r="48" spans="1:7" s="64" customFormat="1" ht="20.100000000000001" customHeight="1">
      <c r="A48" s="586" t="s">
        <v>605</v>
      </c>
      <c r="B48" s="65">
        <v>4464000</v>
      </c>
      <c r="C48" s="61"/>
      <c r="D48" s="61"/>
      <c r="E48" s="61"/>
      <c r="F48" s="61"/>
      <c r="G48" s="62"/>
    </row>
    <row r="49" spans="1:7" s="64" customFormat="1" ht="20.100000000000001" customHeight="1">
      <c r="A49" s="586" t="s">
        <v>606</v>
      </c>
      <c r="B49" s="65">
        <f>2976000+744000</f>
        <v>3720000</v>
      </c>
      <c r="C49" s="61"/>
      <c r="D49" s="61"/>
      <c r="E49" s="61"/>
      <c r="F49" s="61"/>
      <c r="G49" s="62"/>
    </row>
    <row r="50" spans="1:7" s="64" customFormat="1" ht="20.100000000000001" customHeight="1">
      <c r="A50" s="586" t="s">
        <v>773</v>
      </c>
      <c r="B50" s="65">
        <v>6665517</v>
      </c>
      <c r="C50" s="61"/>
      <c r="D50" s="61"/>
      <c r="E50" s="61"/>
      <c r="F50" s="61"/>
      <c r="G50" s="62"/>
    </row>
    <row r="51" spans="1:7" s="64" customFormat="1" ht="20.100000000000001" customHeight="1">
      <c r="A51" s="586" t="s">
        <v>607</v>
      </c>
      <c r="B51" s="587"/>
      <c r="C51" s="61">
        <f>SUM(B53:B54)</f>
        <v>344853000</v>
      </c>
      <c r="D51" s="61">
        <v>330531000</v>
      </c>
      <c r="E51" s="61">
        <f>SUM(C51)</f>
        <v>344853000</v>
      </c>
      <c r="F51" s="61">
        <v>344853000</v>
      </c>
      <c r="G51" s="62">
        <f>SUM(F51/E51)</f>
        <v>1</v>
      </c>
    </row>
    <row r="52" spans="1:7" s="64" customFormat="1" ht="20.100000000000001" customHeight="1">
      <c r="A52" s="846" t="s">
        <v>608</v>
      </c>
      <c r="B52" s="847"/>
      <c r="C52" s="61"/>
      <c r="D52" s="61"/>
      <c r="E52" s="61"/>
      <c r="F52" s="61"/>
      <c r="G52" s="62"/>
    </row>
    <row r="53" spans="1:7" s="64" customFormat="1" ht="20.100000000000001" customHeight="1">
      <c r="A53" s="586" t="s">
        <v>609</v>
      </c>
      <c r="B53" s="66">
        <f>222144000+2848000</f>
        <v>224992000</v>
      </c>
      <c r="C53" s="61"/>
      <c r="D53" s="61"/>
      <c r="E53" s="61"/>
      <c r="F53" s="61"/>
      <c r="G53" s="62"/>
    </row>
    <row r="54" spans="1:7" s="64" customFormat="1" ht="20.100000000000001" customHeight="1">
      <c r="A54" s="586" t="s">
        <v>610</v>
      </c>
      <c r="B54" s="66">
        <f>108387000+11474000</f>
        <v>119861000</v>
      </c>
      <c r="C54" s="61"/>
      <c r="D54" s="61"/>
      <c r="E54" s="61"/>
      <c r="F54" s="61"/>
      <c r="G54" s="62"/>
    </row>
    <row r="55" spans="1:7" s="64" customFormat="1" ht="20.100000000000001" customHeight="1">
      <c r="A55" s="586" t="s">
        <v>611</v>
      </c>
      <c r="B55" s="66"/>
      <c r="C55" s="61">
        <f>SUM(B56:B57)</f>
        <v>192261857</v>
      </c>
      <c r="D55" s="61">
        <v>205280329</v>
      </c>
      <c r="E55" s="61">
        <f>SUM(C55)</f>
        <v>192261857</v>
      </c>
      <c r="F55" s="61">
        <v>192261857</v>
      </c>
      <c r="G55" s="62">
        <f>SUM(F55/E55)</f>
        <v>1</v>
      </c>
    </row>
    <row r="56" spans="1:7" s="64" customFormat="1" ht="20.100000000000001" customHeight="1">
      <c r="A56" s="586" t="s">
        <v>612</v>
      </c>
      <c r="B56" s="66">
        <f>59736000-5966000-551000</f>
        <v>53219000</v>
      </c>
      <c r="C56" s="61"/>
      <c r="D56" s="61"/>
      <c r="E56" s="61"/>
      <c r="F56" s="61"/>
      <c r="G56" s="62"/>
    </row>
    <row r="57" spans="1:7" s="64" customFormat="1" ht="20.100000000000001" customHeight="1">
      <c r="A57" s="586" t="s">
        <v>613</v>
      </c>
      <c r="B57" s="66">
        <f>145544329-9764453+3262981</f>
        <v>139042857</v>
      </c>
      <c r="C57" s="61"/>
      <c r="D57" s="61"/>
      <c r="E57" s="61"/>
      <c r="F57" s="61"/>
      <c r="G57" s="62"/>
    </row>
    <row r="58" spans="1:7" s="64" customFormat="1" ht="20.100000000000001" customHeight="1">
      <c r="A58" s="586" t="s">
        <v>614</v>
      </c>
      <c r="B58" s="66">
        <f>14002028+1229798-1428170</f>
        <v>13803656</v>
      </c>
      <c r="C58" s="61">
        <f>SUM(B58)</f>
        <v>13803656</v>
      </c>
      <c r="D58" s="61">
        <v>14002028</v>
      </c>
      <c r="E58" s="61">
        <f>SUM(C58)</f>
        <v>13803656</v>
      </c>
      <c r="F58" s="61">
        <v>13803656</v>
      </c>
      <c r="G58" s="62">
        <f t="shared" ref="G58:G59" si="1">SUM(F58/E58)</f>
        <v>1</v>
      </c>
    </row>
    <row r="59" spans="1:7" s="64" customFormat="1" ht="20.100000000000001" customHeight="1">
      <c r="A59" s="586" t="s">
        <v>774</v>
      </c>
      <c r="B59" s="66"/>
      <c r="C59" s="61">
        <f>SUM(B60:B64)</f>
        <v>93510200</v>
      </c>
      <c r="D59" s="61">
        <v>86214600</v>
      </c>
      <c r="E59" s="61">
        <f>SUM(C59)</f>
        <v>93510200</v>
      </c>
      <c r="F59" s="61">
        <v>93510200</v>
      </c>
      <c r="G59" s="62">
        <f t="shared" si="1"/>
        <v>1</v>
      </c>
    </row>
    <row r="60" spans="1:7" s="64" customFormat="1" ht="20.100000000000001" customHeight="1">
      <c r="A60" s="586" t="s">
        <v>775</v>
      </c>
      <c r="B60" s="66">
        <v>15466500</v>
      </c>
      <c r="C60" s="61"/>
      <c r="D60" s="61"/>
      <c r="E60" s="61"/>
      <c r="F60" s="61"/>
      <c r="G60" s="62"/>
    </row>
    <row r="61" spans="1:7" s="64" customFormat="1" ht="20.100000000000001" customHeight="1">
      <c r="A61" s="586" t="s">
        <v>776</v>
      </c>
      <c r="B61" s="66"/>
      <c r="C61" s="61"/>
      <c r="D61" s="61"/>
      <c r="E61" s="61"/>
      <c r="F61" s="61"/>
      <c r="G61" s="62"/>
    </row>
    <row r="62" spans="1:7" s="64" customFormat="1" ht="20.100000000000001" customHeight="1">
      <c r="A62" s="586" t="s">
        <v>777</v>
      </c>
      <c r="B62" s="66">
        <f>49983100+1197200-598600</f>
        <v>50581700</v>
      </c>
      <c r="C62" s="61"/>
      <c r="D62" s="61"/>
      <c r="E62" s="61"/>
      <c r="F62" s="61"/>
      <c r="G62" s="62"/>
    </row>
    <row r="63" spans="1:7" s="64" customFormat="1" ht="20.100000000000001" customHeight="1">
      <c r="A63" s="586" t="s">
        <v>778</v>
      </c>
      <c r="B63" s="594"/>
      <c r="C63" s="88"/>
      <c r="D63" s="61"/>
      <c r="E63" s="61"/>
      <c r="F63" s="61"/>
      <c r="G63" s="62"/>
    </row>
    <row r="64" spans="1:7" s="64" customFormat="1" ht="20.100000000000001" customHeight="1">
      <c r="A64" s="586" t="s">
        <v>779</v>
      </c>
      <c r="B64" s="68">
        <f>20765000+9005000-2308000</f>
        <v>27462000</v>
      </c>
      <c r="C64" s="69"/>
      <c r="D64" s="75"/>
      <c r="E64" s="75"/>
      <c r="F64" s="75"/>
      <c r="G64" s="78"/>
    </row>
    <row r="65" spans="1:7" s="64" customFormat="1" ht="20.100000000000001" customHeight="1" thickBot="1">
      <c r="A65" s="586" t="s">
        <v>615</v>
      </c>
      <c r="B65" s="595"/>
      <c r="C65" s="596">
        <f>34035422+20691626+27865228</f>
        <v>82592276</v>
      </c>
      <c r="D65" s="458"/>
      <c r="E65" s="61">
        <f>SUM(C65)</f>
        <v>82592276</v>
      </c>
      <c r="F65" s="458">
        <v>82592276</v>
      </c>
      <c r="G65" s="62">
        <f>SUM(F65/E65)</f>
        <v>1</v>
      </c>
    </row>
    <row r="66" spans="1:7" s="64" customFormat="1" ht="21" customHeight="1">
      <c r="A66" s="848" t="s">
        <v>594</v>
      </c>
      <c r="B66" s="849"/>
      <c r="C66" s="452">
        <f>SUM(C38:C65)</f>
        <v>955087382</v>
      </c>
      <c r="D66" s="452">
        <f>SUM(D38:D65)</f>
        <v>854833601</v>
      </c>
      <c r="E66" s="452">
        <f t="shared" ref="E66" si="2">SUM(E38:E65)</f>
        <v>955087382</v>
      </c>
      <c r="F66" s="452">
        <f t="shared" ref="F66" si="3">SUM(F38:F65)</f>
        <v>955087382</v>
      </c>
      <c r="G66" s="612">
        <f>SUM(F66/E66)</f>
        <v>1</v>
      </c>
    </row>
    <row r="67" spans="1:7" s="64" customFormat="1" ht="20.100000000000001" customHeight="1" thickBot="1">
      <c r="A67" s="453" t="s">
        <v>290</v>
      </c>
      <c r="B67" s="454"/>
      <c r="C67" s="455"/>
      <c r="D67" s="455"/>
      <c r="E67" s="455"/>
      <c r="F67" s="455"/>
      <c r="G67" s="613"/>
    </row>
    <row r="68" spans="1:7" s="64" customFormat="1" ht="20.100000000000001" customHeight="1">
      <c r="A68" s="852" t="s">
        <v>616</v>
      </c>
      <c r="B68" s="853"/>
      <c r="C68" s="72"/>
      <c r="D68" s="72"/>
      <c r="E68" s="72"/>
      <c r="F68" s="72"/>
      <c r="G68" s="73"/>
    </row>
    <row r="69" spans="1:7" s="444" customFormat="1" ht="20.100000000000001" customHeight="1">
      <c r="A69" s="456" t="s">
        <v>617</v>
      </c>
      <c r="B69" s="457">
        <v>24699730</v>
      </c>
      <c r="C69" s="458"/>
      <c r="D69" s="458">
        <v>24699730</v>
      </c>
      <c r="E69" s="458">
        <v>24699730</v>
      </c>
      <c r="F69" s="458">
        <v>24699730</v>
      </c>
      <c r="G69" s="485">
        <f t="shared" ref="G69" si="4">SUM(F69/E69)</f>
        <v>1</v>
      </c>
    </row>
    <row r="70" spans="1:7" s="444" customFormat="1" ht="19.5" customHeight="1">
      <c r="A70" s="586" t="s">
        <v>618</v>
      </c>
      <c r="B70" s="66"/>
      <c r="C70" s="61"/>
      <c r="D70" s="61"/>
      <c r="E70" s="61"/>
      <c r="F70" s="61"/>
      <c r="G70" s="62"/>
    </row>
    <row r="71" spans="1:7" s="444" customFormat="1" ht="20.100000000000001" customHeight="1">
      <c r="A71" s="586" t="s">
        <v>619</v>
      </c>
      <c r="B71" s="67">
        <v>18262000</v>
      </c>
      <c r="C71" s="61"/>
      <c r="D71" s="61">
        <v>18262000</v>
      </c>
      <c r="E71" s="61">
        <v>18262000</v>
      </c>
      <c r="F71" s="61">
        <v>18262000</v>
      </c>
      <c r="G71" s="62">
        <f t="shared" ref="G71" si="5">SUM(F71/E71)</f>
        <v>1</v>
      </c>
    </row>
    <row r="72" spans="1:7" s="444" customFormat="1" ht="20.100000000000001" customHeight="1">
      <c r="A72" s="446" t="s">
        <v>620</v>
      </c>
      <c r="B72" s="68"/>
      <c r="C72" s="88"/>
      <c r="D72" s="88"/>
      <c r="E72" s="88"/>
      <c r="F72" s="88"/>
      <c r="G72" s="482"/>
    </row>
    <row r="73" spans="1:7" s="444" customFormat="1" ht="20.100000000000001" customHeight="1" thickBot="1">
      <c r="A73" s="446" t="s">
        <v>621</v>
      </c>
      <c r="B73" s="68">
        <f>4040154+4599226</f>
        <v>8639380</v>
      </c>
      <c r="C73" s="88"/>
      <c r="D73" s="88"/>
      <c r="E73" s="88">
        <f>SUM(B73)</f>
        <v>8639380</v>
      </c>
      <c r="F73" s="88">
        <v>8639380</v>
      </c>
      <c r="G73" s="62">
        <f t="shared" ref="G73" si="6">SUM(F73/E73)</f>
        <v>1</v>
      </c>
    </row>
    <row r="74" spans="1:7" s="444" customFormat="1" ht="20.100000000000001" customHeight="1" thickBot="1">
      <c r="A74" s="826" t="s">
        <v>616</v>
      </c>
      <c r="B74" s="827"/>
      <c r="C74" s="448">
        <f>SUM(B69:B73)</f>
        <v>51601110</v>
      </c>
      <c r="D74" s="448">
        <f>SUM(D69:D73)</f>
        <v>42961730</v>
      </c>
      <c r="E74" s="448">
        <f>SUM(E69:E73)</f>
        <v>51601110</v>
      </c>
      <c r="F74" s="448">
        <f>SUM(F69:F73)</f>
        <v>51601110</v>
      </c>
      <c r="G74" s="483">
        <f>SUM(F74/E74)</f>
        <v>1</v>
      </c>
    </row>
    <row r="75" spans="1:7" s="444" customFormat="1" ht="20.100000000000001" customHeight="1">
      <c r="A75" s="446" t="s">
        <v>780</v>
      </c>
      <c r="B75" s="68">
        <f>3184338+865788+1639429-540519</f>
        <v>5149036</v>
      </c>
      <c r="C75" s="88"/>
      <c r="D75" s="88"/>
      <c r="E75" s="88">
        <f>SUM(B75)</f>
        <v>5149036</v>
      </c>
      <c r="F75" s="88">
        <v>5149036</v>
      </c>
      <c r="G75" s="482">
        <f>SUM(F75/E75)</f>
        <v>1</v>
      </c>
    </row>
    <row r="76" spans="1:7" s="444" customFormat="1" ht="20.100000000000001" customHeight="1">
      <c r="A76" s="586" t="s">
        <v>781</v>
      </c>
      <c r="B76" s="67">
        <f>10000000+20000000</f>
        <v>30000000</v>
      </c>
      <c r="C76" s="61"/>
      <c r="D76" s="61"/>
      <c r="E76" s="88">
        <f t="shared" ref="E76:E78" si="7">SUM(B76)</f>
        <v>30000000</v>
      </c>
      <c r="F76" s="88">
        <v>30000000</v>
      </c>
      <c r="G76" s="62">
        <f t="shared" ref="G76:G78" si="8">SUM(F76/E76)</f>
        <v>1</v>
      </c>
    </row>
    <row r="77" spans="1:7" s="444" customFormat="1" ht="20.100000000000001" customHeight="1">
      <c r="A77" s="586" t="s">
        <v>782</v>
      </c>
      <c r="B77" s="68">
        <v>11964000</v>
      </c>
      <c r="C77" s="88"/>
      <c r="D77" s="88"/>
      <c r="E77" s="88">
        <f t="shared" si="7"/>
        <v>11964000</v>
      </c>
      <c r="F77" s="88">
        <v>11964000</v>
      </c>
      <c r="G77" s="62">
        <f t="shared" si="8"/>
        <v>1</v>
      </c>
    </row>
    <row r="78" spans="1:7" s="444" customFormat="1" ht="20.100000000000001" customHeight="1" thickBot="1">
      <c r="A78" s="586" t="s">
        <v>783</v>
      </c>
      <c r="B78" s="68">
        <v>478000</v>
      </c>
      <c r="C78" s="88"/>
      <c r="D78" s="88"/>
      <c r="E78" s="88">
        <f t="shared" si="7"/>
        <v>478000</v>
      </c>
      <c r="F78" s="88">
        <v>478000</v>
      </c>
      <c r="G78" s="62">
        <f t="shared" si="8"/>
        <v>1</v>
      </c>
    </row>
    <row r="79" spans="1:7" s="444" customFormat="1" ht="20.100000000000001" hidden="1" customHeight="1" thickBot="1">
      <c r="A79" s="446"/>
      <c r="B79" s="68"/>
      <c r="C79" s="88"/>
      <c r="D79" s="88"/>
      <c r="E79" s="88"/>
      <c r="F79" s="88"/>
      <c r="G79" s="482"/>
    </row>
    <row r="80" spans="1:7" s="444" customFormat="1" ht="20.100000000000001" hidden="1" customHeight="1" thickBot="1">
      <c r="A80" s="446"/>
      <c r="B80" s="68"/>
      <c r="C80" s="88"/>
      <c r="D80" s="88"/>
      <c r="E80" s="88"/>
      <c r="F80" s="88"/>
      <c r="G80" s="482"/>
    </row>
    <row r="81" spans="1:7" s="444" customFormat="1" ht="20.100000000000001" hidden="1" customHeight="1" thickBot="1">
      <c r="A81" s="446"/>
      <c r="B81" s="68"/>
      <c r="C81" s="88"/>
      <c r="D81" s="88"/>
      <c r="E81" s="88"/>
      <c r="F81" s="88"/>
      <c r="G81" s="482"/>
    </row>
    <row r="82" spans="1:7" s="444" customFormat="1" ht="20.100000000000001" customHeight="1" thickBot="1">
      <c r="A82" s="826" t="s">
        <v>622</v>
      </c>
      <c r="B82" s="827"/>
      <c r="C82" s="448">
        <f>SUM(B75:B81)</f>
        <v>47591036</v>
      </c>
      <c r="D82" s="448">
        <v>0</v>
      </c>
      <c r="E82" s="448">
        <f>SUM(E75:E81)</f>
        <v>47591036</v>
      </c>
      <c r="F82" s="448">
        <f>SUM(F75:F81)</f>
        <v>47591036</v>
      </c>
      <c r="G82" s="483">
        <f>SUM(F82/E82)</f>
        <v>1</v>
      </c>
    </row>
    <row r="83" spans="1:7" s="444" customFormat="1" ht="31.5" customHeight="1" thickBot="1">
      <c r="A83" s="850" t="s">
        <v>577</v>
      </c>
      <c r="B83" s="851"/>
      <c r="C83" s="442"/>
      <c r="D83" s="443" t="s">
        <v>283</v>
      </c>
      <c r="E83" s="443" t="s">
        <v>284</v>
      </c>
      <c r="F83" s="443" t="s">
        <v>285</v>
      </c>
      <c r="G83" s="480" t="s">
        <v>286</v>
      </c>
    </row>
    <row r="84" spans="1:7" s="444" customFormat="1" ht="20.100000000000001" customHeight="1" thickBot="1">
      <c r="A84" s="446" t="s">
        <v>784</v>
      </c>
      <c r="B84" s="68">
        <v>81600</v>
      </c>
      <c r="C84" s="88"/>
      <c r="D84" s="88"/>
      <c r="E84" s="88">
        <f>SUM(B84)</f>
        <v>81600</v>
      </c>
      <c r="F84" s="88">
        <v>81600</v>
      </c>
      <c r="G84" s="482">
        <f>SUM(F84/E84)</f>
        <v>1</v>
      </c>
    </row>
    <row r="85" spans="1:7" s="444" customFormat="1" ht="20.100000000000001" customHeight="1" thickBot="1">
      <c r="A85" s="826" t="s">
        <v>623</v>
      </c>
      <c r="B85" s="827"/>
      <c r="C85" s="448">
        <f>SUM(B84)</f>
        <v>81600</v>
      </c>
      <c r="D85" s="448">
        <f>SUM(D79:D82)</f>
        <v>0</v>
      </c>
      <c r="E85" s="448">
        <f>SUM(E84)</f>
        <v>81600</v>
      </c>
      <c r="F85" s="448">
        <f>SUM(F84)</f>
        <v>81600</v>
      </c>
      <c r="G85" s="483">
        <f>SUM(F85/E85)</f>
        <v>1</v>
      </c>
    </row>
    <row r="86" spans="1:7" s="444" customFormat="1" ht="20.100000000000001" customHeight="1">
      <c r="A86" s="856" t="s">
        <v>291</v>
      </c>
      <c r="B86" s="857"/>
      <c r="C86" s="459"/>
      <c r="D86" s="460">
        <f>D26+D35+D66+D74+D82+D85</f>
        <v>1638068833</v>
      </c>
      <c r="E86" s="460">
        <f>E28+E35+E66+E74+E82+E85</f>
        <v>1808615551</v>
      </c>
      <c r="F86" s="460">
        <f>F28+F35+F66+F74+F82+F85</f>
        <v>1808615551</v>
      </c>
      <c r="G86" s="606">
        <f>SUM(F86/E86)</f>
        <v>1</v>
      </c>
    </row>
    <row r="87" spans="1:7" s="444" customFormat="1" ht="20.100000000000001" customHeight="1">
      <c r="A87" s="854" t="s">
        <v>292</v>
      </c>
      <c r="B87" s="855"/>
      <c r="C87" s="462"/>
      <c r="D87" s="463">
        <f>8560000+15500000+96776076</f>
        <v>120836076</v>
      </c>
      <c r="E87" s="463">
        <f>120836076+304216720+71950810+124629397+68737512</f>
        <v>690370515</v>
      </c>
      <c r="F87" s="463">
        <v>637280462</v>
      </c>
      <c r="G87" s="606">
        <f t="shared" ref="G87:G88" si="9">SUM(F87/E87)</f>
        <v>0.9230991882670424</v>
      </c>
    </row>
    <row r="88" spans="1:7" s="444" customFormat="1" ht="20.100000000000001" customHeight="1" thickBot="1">
      <c r="A88" s="854" t="s">
        <v>624</v>
      </c>
      <c r="B88" s="855"/>
      <c r="C88" s="464"/>
      <c r="D88" s="465">
        <v>0</v>
      </c>
      <c r="E88" s="465">
        <v>307517</v>
      </c>
      <c r="F88" s="465">
        <v>307517</v>
      </c>
      <c r="G88" s="606">
        <f t="shared" si="9"/>
        <v>1</v>
      </c>
    </row>
    <row r="89" spans="1:7" s="444" customFormat="1" ht="20.100000000000001" customHeight="1" thickBot="1">
      <c r="A89" s="590" t="s">
        <v>293</v>
      </c>
      <c r="B89" s="466"/>
      <c r="C89" s="467"/>
      <c r="D89" s="468">
        <f>SUM(D86:D88)</f>
        <v>1758904909</v>
      </c>
      <c r="E89" s="468">
        <f>SUM(E86:E88)</f>
        <v>2499293583</v>
      </c>
      <c r="F89" s="468">
        <f>SUM(F86:F88)</f>
        <v>2446203530</v>
      </c>
      <c r="G89" s="483">
        <f>SUM(F89/E89)</f>
        <v>0.97875797650939678</v>
      </c>
    </row>
    <row r="90" spans="1:7" s="444" customFormat="1" ht="20.100000000000001" customHeight="1" thickBot="1">
      <c r="A90" s="858" t="s">
        <v>294</v>
      </c>
      <c r="B90" s="859"/>
      <c r="C90" s="469"/>
      <c r="D90" s="448">
        <f>215340000</f>
        <v>215340000</v>
      </c>
      <c r="E90" s="448">
        <f>215340000+289400000+30535539+554050000+400000000</f>
        <v>1489325539</v>
      </c>
      <c r="F90" s="448">
        <v>1486825539</v>
      </c>
      <c r="G90" s="483">
        <f>SUM(F90/E90)</f>
        <v>0.99832138781311797</v>
      </c>
    </row>
    <row r="91" spans="1:7" s="444" customFormat="1" ht="20.100000000000001" customHeight="1">
      <c r="A91" s="828" t="s">
        <v>295</v>
      </c>
      <c r="B91" s="829"/>
      <c r="C91" s="71"/>
      <c r="D91" s="72"/>
      <c r="E91" s="72"/>
      <c r="F91" s="72"/>
      <c r="G91" s="73"/>
    </row>
    <row r="92" spans="1:7" s="444" customFormat="1" ht="20.100000000000001" customHeight="1">
      <c r="A92" s="830" t="s">
        <v>296</v>
      </c>
      <c r="B92" s="831"/>
      <c r="C92" s="74"/>
      <c r="D92" s="61"/>
      <c r="E92" s="61"/>
      <c r="F92" s="61"/>
      <c r="G92" s="62"/>
    </row>
    <row r="93" spans="1:7" s="444" customFormat="1" ht="20.100000000000001" customHeight="1">
      <c r="A93" s="832" t="s">
        <v>297</v>
      </c>
      <c r="B93" s="833"/>
      <c r="C93" s="61"/>
      <c r="D93" s="61">
        <v>590400000</v>
      </c>
      <c r="E93" s="61">
        <v>630400000</v>
      </c>
      <c r="F93" s="61">
        <f>612560944+5145360</f>
        <v>617706304</v>
      </c>
      <c r="G93" s="62">
        <f>SUM(F93/E93)</f>
        <v>0.97986406091370559</v>
      </c>
    </row>
    <row r="94" spans="1:7" s="444" customFormat="1" ht="20.100000000000001" customHeight="1">
      <c r="A94" s="832" t="s">
        <v>298</v>
      </c>
      <c r="B94" s="833"/>
      <c r="C94" s="61">
        <f>B95+B96</f>
        <v>625400000</v>
      </c>
      <c r="D94" s="61"/>
      <c r="E94" s="61"/>
      <c r="F94" s="61"/>
      <c r="G94" s="62"/>
    </row>
    <row r="95" spans="1:7" s="444" customFormat="1" ht="20.100000000000001" customHeight="1">
      <c r="A95" s="586" t="s">
        <v>299</v>
      </c>
      <c r="B95" s="76">
        <v>625000000</v>
      </c>
      <c r="C95" s="61"/>
      <c r="D95" s="61"/>
      <c r="E95" s="61"/>
      <c r="F95" s="61"/>
      <c r="G95" s="62"/>
    </row>
    <row r="96" spans="1:7" s="444" customFormat="1" ht="20.100000000000001" customHeight="1">
      <c r="A96" s="586" t="s">
        <v>300</v>
      </c>
      <c r="B96" s="76">
        <v>400000</v>
      </c>
      <c r="C96" s="61"/>
      <c r="D96" s="61"/>
      <c r="E96" s="61"/>
      <c r="F96" s="61"/>
      <c r="G96" s="62"/>
    </row>
    <row r="97" spans="1:7" s="444" customFormat="1" ht="20.100000000000001" customHeight="1">
      <c r="A97" s="832" t="s">
        <v>301</v>
      </c>
      <c r="B97" s="833"/>
      <c r="C97" s="61">
        <v>5000000</v>
      </c>
      <c r="D97" s="61"/>
      <c r="E97" s="61"/>
      <c r="F97" s="61"/>
      <c r="G97" s="62"/>
    </row>
    <row r="98" spans="1:7" s="444" customFormat="1" ht="20.100000000000001" customHeight="1">
      <c r="A98" s="586" t="s">
        <v>302</v>
      </c>
      <c r="B98" s="77"/>
      <c r="C98" s="61"/>
      <c r="D98" s="61">
        <f>SUM(C99+C100)</f>
        <v>42030000</v>
      </c>
      <c r="E98" s="61">
        <v>42030000</v>
      </c>
      <c r="F98" s="61">
        <f>518738+43895860</f>
        <v>44414598</v>
      </c>
      <c r="G98" s="62">
        <f>SUM(F98/E98)</f>
        <v>1.0567356174161313</v>
      </c>
    </row>
    <row r="99" spans="1:7" s="444" customFormat="1" ht="20.100000000000001" customHeight="1">
      <c r="A99" s="844" t="s">
        <v>303</v>
      </c>
      <c r="B99" s="845"/>
      <c r="C99" s="61">
        <v>42000000</v>
      </c>
      <c r="D99" s="75"/>
      <c r="E99" s="75"/>
      <c r="F99" s="75"/>
      <c r="G99" s="78"/>
    </row>
    <row r="100" spans="1:7" s="444" customFormat="1" ht="20.100000000000001" customHeight="1">
      <c r="A100" s="844" t="s">
        <v>304</v>
      </c>
      <c r="B100" s="845"/>
      <c r="C100" s="61">
        <v>30000</v>
      </c>
      <c r="D100" s="75"/>
      <c r="E100" s="75"/>
      <c r="F100" s="75"/>
      <c r="G100" s="78"/>
    </row>
    <row r="101" spans="1:7" s="444" customFormat="1" ht="20.100000000000001" customHeight="1">
      <c r="A101" s="832" t="s">
        <v>305</v>
      </c>
      <c r="B101" s="833"/>
      <c r="C101" s="61"/>
      <c r="D101" s="61">
        <f>SUM(C102+C103)</f>
        <v>1300000</v>
      </c>
      <c r="E101" s="61">
        <v>1300000</v>
      </c>
      <c r="F101" s="61">
        <f>8997793+1795116+3777657</f>
        <v>14570566</v>
      </c>
      <c r="G101" s="62">
        <f>SUM(F101/E101)</f>
        <v>11.208127692307693</v>
      </c>
    </row>
    <row r="102" spans="1:7" s="444" customFormat="1" ht="20.100000000000001" customHeight="1">
      <c r="A102" s="586" t="s">
        <v>306</v>
      </c>
      <c r="B102" s="587"/>
      <c r="C102" s="61">
        <v>1000000</v>
      </c>
      <c r="D102" s="61"/>
      <c r="E102" s="61"/>
      <c r="F102" s="61"/>
      <c r="G102" s="62"/>
    </row>
    <row r="103" spans="1:7" s="444" customFormat="1" ht="20.100000000000001" customHeight="1">
      <c r="A103" s="586" t="s">
        <v>307</v>
      </c>
      <c r="B103" s="587"/>
      <c r="C103" s="61">
        <v>300000</v>
      </c>
      <c r="D103" s="61"/>
      <c r="E103" s="61"/>
      <c r="F103" s="61"/>
      <c r="G103" s="62"/>
    </row>
    <row r="104" spans="1:7" s="444" customFormat="1" ht="20.100000000000001" customHeight="1">
      <c r="A104" s="446" t="s">
        <v>785</v>
      </c>
      <c r="B104" s="79"/>
      <c r="C104" s="72">
        <v>3000000</v>
      </c>
      <c r="D104" s="72">
        <f>SUM(C104)</f>
        <v>3000000</v>
      </c>
      <c r="E104" s="72">
        <v>3000000</v>
      </c>
      <c r="F104" s="72">
        <v>1472831</v>
      </c>
      <c r="G104" s="62">
        <f>SUM(F104/E104)</f>
        <v>0.49094366666666667</v>
      </c>
    </row>
    <row r="105" spans="1:7" s="444" customFormat="1" ht="20.100000000000001" customHeight="1" thickBot="1">
      <c r="A105" s="597" t="s">
        <v>786</v>
      </c>
      <c r="B105" s="598"/>
      <c r="C105" s="581">
        <f>10000000+4000000</f>
        <v>14000000</v>
      </c>
      <c r="D105" s="451">
        <f>SUM(C105)</f>
        <v>14000000</v>
      </c>
      <c r="E105" s="451">
        <v>14000000</v>
      </c>
      <c r="F105" s="451">
        <v>14214431</v>
      </c>
      <c r="G105" s="62">
        <f>SUM(F105/E105)</f>
        <v>1.0153165</v>
      </c>
    </row>
    <row r="106" spans="1:7" s="444" customFormat="1" ht="20.100000000000001" customHeight="1" thickBot="1">
      <c r="A106" s="838" t="s">
        <v>308</v>
      </c>
      <c r="B106" s="839"/>
      <c r="C106" s="448"/>
      <c r="D106" s="448">
        <f>SUM(D92:D105)</f>
        <v>650730000</v>
      </c>
      <c r="E106" s="448">
        <f>SUM(E92:E105)</f>
        <v>690730000</v>
      </c>
      <c r="F106" s="448">
        <f>SUM(F92:F105)</f>
        <v>692378730</v>
      </c>
      <c r="G106" s="483">
        <f>SUM(F106/E106)</f>
        <v>1.0023869384564157</v>
      </c>
    </row>
    <row r="107" spans="1:7" s="444" customFormat="1" ht="20.100000000000001" customHeight="1" thickBot="1">
      <c r="A107" s="584" t="s">
        <v>309</v>
      </c>
      <c r="B107" s="585"/>
      <c r="C107" s="448"/>
      <c r="D107" s="448">
        <f>332033407+169631546</f>
        <v>501664953</v>
      </c>
      <c r="E107" s="448">
        <f>332033407+169631546-996608-50000000+1631580+21423648</f>
        <v>473723573</v>
      </c>
      <c r="F107" s="448">
        <v>331358543</v>
      </c>
      <c r="G107" s="483">
        <f>SUM(F107/E107)</f>
        <v>0.69947657639574545</v>
      </c>
    </row>
    <row r="108" spans="1:7" s="444" customFormat="1" ht="20.100000000000001" customHeight="1">
      <c r="A108" s="834" t="s">
        <v>310</v>
      </c>
      <c r="B108" s="835"/>
      <c r="C108" s="81"/>
      <c r="D108" s="82"/>
      <c r="E108" s="82"/>
      <c r="F108" s="82"/>
      <c r="G108" s="83"/>
    </row>
    <row r="109" spans="1:7" s="444" customFormat="1" ht="20.100000000000001" customHeight="1">
      <c r="A109" s="836" t="s">
        <v>787</v>
      </c>
      <c r="B109" s="837"/>
      <c r="C109" s="470"/>
      <c r="D109" s="471">
        <v>129101736</v>
      </c>
      <c r="E109" s="471">
        <v>129101736</v>
      </c>
      <c r="F109" s="471">
        <v>5957165</v>
      </c>
      <c r="G109" s="62">
        <f>SUM(F109/E109)</f>
        <v>4.6143182768665483E-2</v>
      </c>
    </row>
    <row r="110" spans="1:7" s="444" customFormat="1" ht="20.100000000000001" customHeight="1" thickBot="1">
      <c r="A110" s="472" t="s">
        <v>788</v>
      </c>
      <c r="B110" s="473"/>
      <c r="C110" s="474"/>
      <c r="D110" s="475"/>
      <c r="E110" s="475">
        <f>1878840-1878840</f>
        <v>0</v>
      </c>
      <c r="F110" s="475"/>
      <c r="G110" s="607"/>
    </row>
    <row r="111" spans="1:7" s="444" customFormat="1" ht="20.100000000000001" customHeight="1" thickBot="1">
      <c r="A111" s="824" t="s">
        <v>311</v>
      </c>
      <c r="B111" s="825"/>
      <c r="C111" s="476"/>
      <c r="D111" s="468">
        <f>SUM(D109:D109)</f>
        <v>129101736</v>
      </c>
      <c r="E111" s="468">
        <f>SUM(E109:E110)</f>
        <v>129101736</v>
      </c>
      <c r="F111" s="468">
        <f>SUM(F109:F110)</f>
        <v>5957165</v>
      </c>
      <c r="G111" s="483">
        <f>SUM(F111/E111)</f>
        <v>4.6143182768665483E-2</v>
      </c>
    </row>
    <row r="112" spans="1:7" s="84" customFormat="1" ht="20.100000000000001" customHeight="1">
      <c r="A112" s="840" t="s">
        <v>312</v>
      </c>
      <c r="B112" s="841"/>
      <c r="C112" s="477"/>
      <c r="D112" s="452"/>
      <c r="E112" s="452"/>
      <c r="F112" s="452">
        <v>9600000</v>
      </c>
      <c r="G112" s="605">
        <v>0</v>
      </c>
    </row>
    <row r="113" spans="1:8" s="84" customFormat="1" ht="20.100000000000001" customHeight="1" thickBot="1">
      <c r="A113" s="842" t="s">
        <v>313</v>
      </c>
      <c r="B113" s="843"/>
      <c r="C113" s="478"/>
      <c r="D113" s="479"/>
      <c r="E113" s="479">
        <f>1878840</f>
        <v>1878840</v>
      </c>
      <c r="F113" s="479">
        <v>2273616</v>
      </c>
      <c r="G113" s="608">
        <f>SUM(F113/E113)</f>
        <v>1.2101168806284728</v>
      </c>
    </row>
    <row r="114" spans="1:8" s="444" customFormat="1" ht="20.100000000000001" customHeight="1" thickBot="1">
      <c r="A114" s="824" t="s">
        <v>314</v>
      </c>
      <c r="B114" s="825"/>
      <c r="C114" s="476"/>
      <c r="D114" s="468">
        <f>SUM(D89+D90+D106+D107+D111+D112+D113)</f>
        <v>3255741598</v>
      </c>
      <c r="E114" s="468">
        <f>SUM(E89+E90+E106+E107+E111+E112+E113)</f>
        <v>5284053271</v>
      </c>
      <c r="F114" s="468">
        <f>SUM(F89+F90+F106+F107+F111+F112+F113)</f>
        <v>4974597123</v>
      </c>
      <c r="G114" s="483">
        <f>SUM(F114/E114)</f>
        <v>0.94143583871526038</v>
      </c>
    </row>
    <row r="115" spans="1:8" s="444" customFormat="1" ht="20.100000000000001" customHeight="1">
      <c r="A115" s="588" t="s">
        <v>315</v>
      </c>
      <c r="B115" s="589"/>
      <c r="C115" s="59"/>
      <c r="D115" s="59"/>
      <c r="E115" s="59"/>
      <c r="F115" s="59"/>
      <c r="G115" s="60"/>
    </row>
    <row r="116" spans="1:8" s="444" customFormat="1" ht="19.5" customHeight="1">
      <c r="A116" s="85" t="s">
        <v>316</v>
      </c>
      <c r="B116" s="86"/>
      <c r="C116" s="72"/>
      <c r="D116" s="80">
        <f>2558448382+114167900</f>
        <v>2672616282</v>
      </c>
      <c r="E116" s="80">
        <f>2558448382+114167900+191155916</f>
        <v>2863772198</v>
      </c>
      <c r="F116" s="80">
        <v>2863772198</v>
      </c>
      <c r="G116" s="609">
        <f>SUM(F116/E116)</f>
        <v>1</v>
      </c>
    </row>
    <row r="117" spans="1:8" s="444" customFormat="1" ht="19.5" customHeight="1">
      <c r="A117" s="85" t="s">
        <v>789</v>
      </c>
      <c r="B117" s="86"/>
      <c r="C117" s="474"/>
      <c r="D117" s="475"/>
      <c r="E117" s="80">
        <f>100000000+58351238</f>
        <v>158351238</v>
      </c>
      <c r="F117" s="80">
        <v>158351238</v>
      </c>
      <c r="G117" s="609">
        <f>SUM(F117/E117)</f>
        <v>1</v>
      </c>
    </row>
    <row r="118" spans="1:8" s="444" customFormat="1" ht="19.5" customHeight="1" thickBot="1">
      <c r="A118" s="85" t="s">
        <v>790</v>
      </c>
      <c r="B118" s="86"/>
      <c r="C118" s="474"/>
      <c r="D118" s="599"/>
      <c r="E118" s="80"/>
      <c r="F118" s="80">
        <v>61201257</v>
      </c>
      <c r="G118" s="609">
        <v>0</v>
      </c>
    </row>
    <row r="119" spans="1:8" s="444" customFormat="1" ht="20.100000000000001" customHeight="1" thickBot="1">
      <c r="A119" s="582" t="s">
        <v>317</v>
      </c>
      <c r="B119" s="583"/>
      <c r="C119" s="476"/>
      <c r="D119" s="468">
        <f>SUM(D116:D117)</f>
        <v>2672616282</v>
      </c>
      <c r="E119" s="468">
        <f>SUM(E116:E118)</f>
        <v>3022123436</v>
      </c>
      <c r="F119" s="468">
        <f>SUM(F116:F118)</f>
        <v>3083324693</v>
      </c>
      <c r="G119" s="483">
        <f t="shared" ref="G119:G120" si="10">SUM(F119/E119)</f>
        <v>1.0202510778583564</v>
      </c>
    </row>
    <row r="120" spans="1:8" s="444" customFormat="1" ht="20.100000000000001" customHeight="1" thickBot="1">
      <c r="A120" s="824" t="s">
        <v>318</v>
      </c>
      <c r="B120" s="825"/>
      <c r="C120" s="476"/>
      <c r="D120" s="468">
        <f>D114+D119</f>
        <v>5928357880</v>
      </c>
      <c r="E120" s="468">
        <f>E114+E119</f>
        <v>8306176707</v>
      </c>
      <c r="F120" s="468">
        <f>F114+F119</f>
        <v>8057921816</v>
      </c>
      <c r="G120" s="483">
        <f t="shared" si="10"/>
        <v>0.97011201425671767</v>
      </c>
    </row>
    <row r="121" spans="1:8" s="444" customFormat="1">
      <c r="C121" s="461"/>
      <c r="D121" s="461"/>
      <c r="E121" s="461"/>
      <c r="F121" s="461"/>
      <c r="G121" s="610"/>
    </row>
    <row r="122" spans="1:8" s="444" customFormat="1">
      <c r="C122" s="461"/>
      <c r="D122" s="461"/>
      <c r="E122" s="461"/>
      <c r="F122" s="461"/>
      <c r="G122" s="610"/>
    </row>
    <row r="123" spans="1:8" s="444" customFormat="1">
      <c r="C123" s="461"/>
      <c r="D123" s="461"/>
      <c r="E123" s="461"/>
      <c r="F123" s="461"/>
      <c r="G123" s="610"/>
    </row>
    <row r="124" spans="1:8" s="603" customFormat="1">
      <c r="A124" s="600"/>
      <c r="B124" s="601"/>
      <c r="C124" s="602"/>
      <c r="D124" s="602"/>
      <c r="E124" s="602"/>
      <c r="F124" s="602"/>
      <c r="G124" s="611"/>
      <c r="H124" s="604"/>
    </row>
    <row r="125" spans="1:8" s="444" customFormat="1">
      <c r="C125" s="461"/>
      <c r="D125" s="461"/>
      <c r="E125" s="461"/>
      <c r="F125" s="461"/>
      <c r="G125" s="610"/>
    </row>
    <row r="126" spans="1:8" s="444" customFormat="1">
      <c r="C126" s="461"/>
      <c r="D126" s="461"/>
      <c r="E126" s="461"/>
      <c r="F126" s="461"/>
      <c r="G126" s="610"/>
    </row>
    <row r="127" spans="1:8" s="444" customFormat="1">
      <c r="C127" s="461"/>
      <c r="D127" s="461"/>
      <c r="E127" s="461"/>
      <c r="F127" s="461"/>
      <c r="G127" s="610"/>
    </row>
    <row r="128" spans="1:8" s="444" customFormat="1">
      <c r="C128" s="461"/>
      <c r="D128" s="461"/>
      <c r="E128" s="461"/>
      <c r="F128" s="461"/>
      <c r="G128" s="610"/>
    </row>
    <row r="129" spans="3:7" s="444" customFormat="1">
      <c r="C129" s="461"/>
      <c r="D129" s="461"/>
      <c r="E129" s="461"/>
      <c r="F129" s="461"/>
      <c r="G129" s="610"/>
    </row>
    <row r="130" spans="3:7" s="444" customFormat="1">
      <c r="C130" s="461"/>
      <c r="D130" s="461"/>
      <c r="E130" s="461"/>
      <c r="F130" s="461"/>
      <c r="G130" s="610"/>
    </row>
    <row r="131" spans="3:7" s="444" customFormat="1">
      <c r="C131" s="461"/>
      <c r="D131" s="461"/>
      <c r="E131" s="461"/>
      <c r="F131" s="461"/>
      <c r="G131" s="610"/>
    </row>
    <row r="132" spans="3:7" s="444" customFormat="1">
      <c r="C132" s="461"/>
      <c r="D132" s="461"/>
      <c r="E132" s="461"/>
      <c r="F132" s="461"/>
      <c r="G132" s="610"/>
    </row>
    <row r="133" spans="3:7" s="444" customFormat="1">
      <c r="C133" s="461"/>
      <c r="D133" s="461"/>
      <c r="E133" s="461"/>
      <c r="F133" s="461"/>
      <c r="G133" s="610"/>
    </row>
    <row r="134" spans="3:7" s="444" customFormat="1">
      <c r="C134" s="461"/>
      <c r="D134" s="461"/>
      <c r="E134" s="461"/>
      <c r="F134" s="461"/>
      <c r="G134" s="610"/>
    </row>
    <row r="135" spans="3:7" s="444" customFormat="1">
      <c r="C135" s="461"/>
      <c r="D135" s="461"/>
      <c r="E135" s="461"/>
      <c r="F135" s="461"/>
      <c r="G135" s="610"/>
    </row>
    <row r="136" spans="3:7" s="444" customFormat="1">
      <c r="C136" s="461"/>
      <c r="D136" s="461"/>
      <c r="E136" s="461"/>
      <c r="F136" s="461"/>
      <c r="G136" s="610"/>
    </row>
    <row r="137" spans="3:7" s="444" customFormat="1">
      <c r="C137" s="461"/>
      <c r="D137" s="461"/>
      <c r="E137" s="461"/>
      <c r="F137" s="461"/>
      <c r="G137" s="610"/>
    </row>
    <row r="138" spans="3:7" s="444" customFormat="1">
      <c r="C138" s="461"/>
      <c r="D138" s="461"/>
      <c r="E138" s="461"/>
      <c r="F138" s="461"/>
      <c r="G138" s="610"/>
    </row>
    <row r="139" spans="3:7" s="444" customFormat="1">
      <c r="C139" s="461"/>
      <c r="D139" s="461"/>
      <c r="E139" s="461"/>
      <c r="F139" s="461"/>
      <c r="G139" s="610"/>
    </row>
    <row r="140" spans="3:7" s="444" customFormat="1">
      <c r="C140" s="461"/>
      <c r="D140" s="461"/>
      <c r="E140" s="461"/>
      <c r="F140" s="461"/>
      <c r="G140" s="610"/>
    </row>
    <row r="141" spans="3:7" s="444" customFormat="1">
      <c r="C141" s="461"/>
      <c r="D141" s="461"/>
      <c r="E141" s="461"/>
      <c r="F141" s="461"/>
      <c r="G141" s="610"/>
    </row>
    <row r="142" spans="3:7" s="444" customFormat="1">
      <c r="C142" s="461"/>
      <c r="D142" s="461"/>
      <c r="E142" s="461"/>
      <c r="F142" s="461"/>
      <c r="G142" s="610"/>
    </row>
    <row r="143" spans="3:7" s="444" customFormat="1">
      <c r="C143" s="461"/>
      <c r="D143" s="461"/>
      <c r="E143" s="461"/>
      <c r="F143" s="461"/>
      <c r="G143" s="610"/>
    </row>
    <row r="144" spans="3:7" s="444" customFormat="1">
      <c r="C144" s="461"/>
      <c r="D144" s="461"/>
      <c r="E144" s="461"/>
      <c r="F144" s="461"/>
      <c r="G144" s="610"/>
    </row>
    <row r="145" spans="3:7" s="444" customFormat="1">
      <c r="C145" s="461"/>
      <c r="D145" s="461"/>
      <c r="E145" s="461"/>
      <c r="F145" s="461"/>
      <c r="G145" s="610"/>
    </row>
    <row r="146" spans="3:7" s="444" customFormat="1">
      <c r="C146" s="461"/>
      <c r="D146" s="461"/>
      <c r="E146" s="461"/>
      <c r="F146" s="461"/>
      <c r="G146" s="610"/>
    </row>
    <row r="147" spans="3:7" s="444" customFormat="1">
      <c r="C147" s="461"/>
      <c r="D147" s="461"/>
      <c r="E147" s="461"/>
      <c r="F147" s="461"/>
      <c r="G147" s="610"/>
    </row>
    <row r="148" spans="3:7" s="444" customFormat="1">
      <c r="C148" s="461"/>
      <c r="D148" s="461"/>
      <c r="E148" s="461"/>
      <c r="F148" s="461"/>
      <c r="G148" s="610"/>
    </row>
    <row r="149" spans="3:7" s="444" customFormat="1">
      <c r="C149" s="461"/>
      <c r="D149" s="461"/>
      <c r="E149" s="461"/>
      <c r="F149" s="461"/>
      <c r="G149" s="610"/>
    </row>
    <row r="150" spans="3:7" s="444" customFormat="1">
      <c r="C150" s="461"/>
      <c r="D150" s="461"/>
      <c r="E150" s="461"/>
      <c r="F150" s="461"/>
      <c r="G150" s="610"/>
    </row>
    <row r="151" spans="3:7" s="444" customFormat="1">
      <c r="C151" s="461"/>
      <c r="D151" s="461"/>
      <c r="E151" s="461"/>
      <c r="F151" s="461"/>
      <c r="G151" s="610"/>
    </row>
    <row r="152" spans="3:7" s="444" customFormat="1">
      <c r="C152" s="461"/>
      <c r="D152" s="461"/>
      <c r="E152" s="461"/>
      <c r="F152" s="461"/>
      <c r="G152" s="610"/>
    </row>
    <row r="153" spans="3:7" s="444" customFormat="1">
      <c r="C153" s="461"/>
      <c r="D153" s="461"/>
      <c r="E153" s="461"/>
      <c r="F153" s="461"/>
      <c r="G153" s="610"/>
    </row>
    <row r="154" spans="3:7" s="444" customFormat="1">
      <c r="C154" s="461"/>
      <c r="D154" s="461"/>
      <c r="E154" s="461"/>
      <c r="F154" s="461"/>
      <c r="G154" s="610"/>
    </row>
    <row r="155" spans="3:7" s="444" customFormat="1">
      <c r="C155" s="461"/>
      <c r="D155" s="461"/>
      <c r="E155" s="461"/>
      <c r="F155" s="461"/>
      <c r="G155" s="610"/>
    </row>
    <row r="156" spans="3:7" s="444" customFormat="1">
      <c r="C156" s="461"/>
      <c r="D156" s="461"/>
      <c r="E156" s="461"/>
      <c r="F156" s="461"/>
      <c r="G156" s="610"/>
    </row>
    <row r="157" spans="3:7" s="444" customFormat="1">
      <c r="C157" s="461"/>
      <c r="D157" s="461"/>
      <c r="E157" s="461"/>
      <c r="F157" s="461"/>
      <c r="G157" s="610"/>
    </row>
    <row r="158" spans="3:7" s="444" customFormat="1">
      <c r="C158" s="461"/>
      <c r="D158" s="461"/>
      <c r="E158" s="461"/>
      <c r="F158" s="461"/>
      <c r="G158" s="610"/>
    </row>
    <row r="159" spans="3:7" s="444" customFormat="1">
      <c r="C159" s="461"/>
      <c r="D159" s="461"/>
      <c r="E159" s="461"/>
      <c r="F159" s="461"/>
      <c r="G159" s="610"/>
    </row>
    <row r="160" spans="3:7" s="444" customFormat="1">
      <c r="C160" s="461"/>
      <c r="D160" s="461"/>
      <c r="E160" s="461"/>
      <c r="F160" s="461"/>
      <c r="G160" s="610"/>
    </row>
    <row r="161" spans="3:7" s="444" customFormat="1">
      <c r="C161" s="461"/>
      <c r="D161" s="461"/>
      <c r="E161" s="461"/>
      <c r="F161" s="461"/>
      <c r="G161" s="610"/>
    </row>
    <row r="162" spans="3:7" s="444" customFormat="1">
      <c r="C162" s="461"/>
      <c r="D162" s="461"/>
      <c r="E162" s="461"/>
      <c r="F162" s="461"/>
      <c r="G162" s="610"/>
    </row>
    <row r="163" spans="3:7" s="444" customFormat="1">
      <c r="C163" s="461"/>
      <c r="D163" s="461"/>
      <c r="E163" s="461"/>
      <c r="F163" s="461"/>
      <c r="G163" s="610"/>
    </row>
    <row r="164" spans="3:7" s="444" customFormat="1">
      <c r="C164" s="461"/>
      <c r="D164" s="461"/>
      <c r="E164" s="461"/>
      <c r="F164" s="461"/>
      <c r="G164" s="610"/>
    </row>
    <row r="165" spans="3:7" s="444" customFormat="1">
      <c r="C165" s="461"/>
      <c r="D165" s="461"/>
      <c r="E165" s="461"/>
      <c r="F165" s="461"/>
      <c r="G165" s="610"/>
    </row>
    <row r="166" spans="3:7" s="444" customFormat="1">
      <c r="C166" s="461"/>
      <c r="D166" s="461"/>
      <c r="E166" s="461"/>
      <c r="F166" s="461"/>
      <c r="G166" s="610"/>
    </row>
    <row r="167" spans="3:7" s="444" customFormat="1">
      <c r="C167" s="461"/>
      <c r="D167" s="461"/>
      <c r="E167" s="461"/>
      <c r="F167" s="461"/>
      <c r="G167" s="610"/>
    </row>
    <row r="168" spans="3:7" s="444" customFormat="1">
      <c r="C168" s="461"/>
      <c r="D168" s="461"/>
      <c r="E168" s="461"/>
      <c r="F168" s="461"/>
      <c r="G168" s="610"/>
    </row>
    <row r="169" spans="3:7" s="444" customFormat="1">
      <c r="C169" s="461"/>
      <c r="D169" s="461"/>
      <c r="E169" s="461"/>
      <c r="F169" s="461"/>
      <c r="G169" s="610"/>
    </row>
    <row r="170" spans="3:7" s="444" customFormat="1">
      <c r="C170" s="461"/>
      <c r="D170" s="461"/>
      <c r="E170" s="461"/>
      <c r="F170" s="461"/>
      <c r="G170" s="610"/>
    </row>
    <row r="171" spans="3:7" s="444" customFormat="1">
      <c r="C171" s="461"/>
      <c r="D171" s="461"/>
      <c r="E171" s="461"/>
      <c r="F171" s="461"/>
      <c r="G171" s="610"/>
    </row>
    <row r="172" spans="3:7" s="444" customFormat="1">
      <c r="C172" s="461"/>
      <c r="D172" s="461"/>
      <c r="E172" s="461"/>
      <c r="F172" s="461"/>
      <c r="G172" s="610"/>
    </row>
    <row r="173" spans="3:7" s="444" customFormat="1">
      <c r="C173" s="461"/>
      <c r="D173" s="461"/>
      <c r="E173" s="461"/>
      <c r="F173" s="461"/>
      <c r="G173" s="610"/>
    </row>
    <row r="174" spans="3:7" s="444" customFormat="1">
      <c r="C174" s="461"/>
      <c r="D174" s="461"/>
      <c r="E174" s="461"/>
      <c r="F174" s="461"/>
      <c r="G174" s="610"/>
    </row>
    <row r="175" spans="3:7" s="444" customFormat="1">
      <c r="C175" s="461"/>
      <c r="D175" s="461"/>
      <c r="E175" s="461"/>
      <c r="F175" s="461"/>
      <c r="G175" s="610"/>
    </row>
    <row r="176" spans="3:7" s="444" customFormat="1">
      <c r="C176" s="461"/>
      <c r="D176" s="461"/>
      <c r="E176" s="461"/>
      <c r="F176" s="461"/>
      <c r="G176" s="610"/>
    </row>
    <row r="177" spans="3:7" s="444" customFormat="1">
      <c r="C177" s="461"/>
      <c r="D177" s="461"/>
      <c r="E177" s="461"/>
      <c r="F177" s="461"/>
      <c r="G177" s="610"/>
    </row>
    <row r="178" spans="3:7" s="444" customFormat="1">
      <c r="C178" s="461"/>
      <c r="D178" s="461"/>
      <c r="E178" s="461"/>
      <c r="F178" s="461"/>
      <c r="G178" s="610"/>
    </row>
    <row r="179" spans="3:7" s="444" customFormat="1">
      <c r="C179" s="461"/>
      <c r="D179" s="461"/>
      <c r="E179" s="461"/>
      <c r="F179" s="461"/>
      <c r="G179" s="610"/>
    </row>
    <row r="180" spans="3:7" s="444" customFormat="1">
      <c r="C180" s="461"/>
      <c r="D180" s="461"/>
      <c r="E180" s="461"/>
      <c r="F180" s="461"/>
      <c r="G180" s="610"/>
    </row>
    <row r="181" spans="3:7" s="444" customFormat="1">
      <c r="C181" s="461"/>
      <c r="D181" s="461"/>
      <c r="E181" s="461"/>
      <c r="F181" s="461"/>
      <c r="G181" s="610"/>
    </row>
    <row r="182" spans="3:7" s="444" customFormat="1">
      <c r="C182" s="461"/>
      <c r="D182" s="461"/>
      <c r="E182" s="461"/>
      <c r="F182" s="461"/>
      <c r="G182" s="610"/>
    </row>
    <row r="183" spans="3:7" s="444" customFormat="1">
      <c r="C183" s="461"/>
      <c r="D183" s="461"/>
      <c r="E183" s="461"/>
      <c r="F183" s="461"/>
      <c r="G183" s="610"/>
    </row>
    <row r="184" spans="3:7" s="444" customFormat="1">
      <c r="C184" s="461"/>
      <c r="D184" s="461"/>
      <c r="E184" s="461"/>
      <c r="F184" s="461"/>
      <c r="G184" s="610"/>
    </row>
    <row r="185" spans="3:7" s="444" customFormat="1">
      <c r="C185" s="461"/>
      <c r="D185" s="461"/>
      <c r="E185" s="461"/>
      <c r="F185" s="461"/>
      <c r="G185" s="610"/>
    </row>
    <row r="186" spans="3:7" s="444" customFormat="1">
      <c r="C186" s="461"/>
      <c r="D186" s="461"/>
      <c r="E186" s="461"/>
      <c r="F186" s="461"/>
      <c r="G186" s="610"/>
    </row>
    <row r="187" spans="3:7" s="444" customFormat="1">
      <c r="C187" s="461"/>
      <c r="D187" s="461"/>
      <c r="E187" s="461"/>
      <c r="F187" s="461"/>
      <c r="G187" s="610"/>
    </row>
    <row r="188" spans="3:7" s="444" customFormat="1">
      <c r="C188" s="461"/>
      <c r="D188" s="461"/>
      <c r="E188" s="461"/>
      <c r="F188" s="461"/>
      <c r="G188" s="610"/>
    </row>
    <row r="189" spans="3:7" s="444" customFormat="1">
      <c r="C189" s="461"/>
      <c r="D189" s="461"/>
      <c r="E189" s="461"/>
      <c r="F189" s="461"/>
      <c r="G189" s="610"/>
    </row>
    <row r="190" spans="3:7" s="444" customFormat="1">
      <c r="C190" s="461"/>
      <c r="D190" s="461"/>
      <c r="E190" s="461"/>
      <c r="F190" s="461"/>
      <c r="G190" s="610"/>
    </row>
    <row r="191" spans="3:7" s="444" customFormat="1">
      <c r="C191" s="461"/>
      <c r="D191" s="461"/>
      <c r="E191" s="461"/>
      <c r="F191" s="461"/>
      <c r="G191" s="610"/>
    </row>
    <row r="192" spans="3:7" s="444" customFormat="1">
      <c r="C192" s="461"/>
      <c r="D192" s="461"/>
      <c r="E192" s="461"/>
      <c r="F192" s="461"/>
      <c r="G192" s="610"/>
    </row>
    <row r="193" spans="3:7" s="444" customFormat="1">
      <c r="C193" s="461"/>
      <c r="D193" s="461"/>
      <c r="E193" s="461"/>
      <c r="F193" s="461"/>
      <c r="G193" s="610"/>
    </row>
    <row r="194" spans="3:7" s="444" customFormat="1">
      <c r="C194" s="461"/>
      <c r="D194" s="461"/>
      <c r="E194" s="461"/>
      <c r="F194" s="461"/>
      <c r="G194" s="610"/>
    </row>
    <row r="195" spans="3:7" s="444" customFormat="1">
      <c r="C195" s="461"/>
      <c r="D195" s="461"/>
      <c r="E195" s="461"/>
      <c r="F195" s="461"/>
      <c r="G195" s="610"/>
    </row>
    <row r="196" spans="3:7" s="444" customFormat="1">
      <c r="C196" s="461"/>
      <c r="D196" s="461"/>
      <c r="E196" s="461"/>
      <c r="F196" s="461"/>
      <c r="G196" s="610"/>
    </row>
    <row r="197" spans="3:7" s="444" customFormat="1">
      <c r="C197" s="461"/>
      <c r="D197" s="461"/>
      <c r="E197" s="461"/>
      <c r="F197" s="461"/>
      <c r="G197" s="610"/>
    </row>
    <row r="198" spans="3:7" s="444" customFormat="1">
      <c r="C198" s="461"/>
      <c r="D198" s="461"/>
      <c r="E198" s="461"/>
      <c r="F198" s="461"/>
      <c r="G198" s="610"/>
    </row>
    <row r="199" spans="3:7" s="444" customFormat="1">
      <c r="C199" s="461"/>
      <c r="D199" s="461"/>
      <c r="E199" s="461"/>
      <c r="F199" s="461"/>
      <c r="G199" s="610"/>
    </row>
    <row r="200" spans="3:7" s="444" customFormat="1">
      <c r="C200" s="461"/>
      <c r="D200" s="461"/>
      <c r="E200" s="461"/>
      <c r="F200" s="461"/>
      <c r="G200" s="610"/>
    </row>
    <row r="201" spans="3:7" s="444" customFormat="1">
      <c r="C201" s="461"/>
      <c r="D201" s="461"/>
      <c r="E201" s="461"/>
      <c r="F201" s="461"/>
      <c r="G201" s="610"/>
    </row>
    <row r="202" spans="3:7" s="444" customFormat="1">
      <c r="C202" s="461"/>
      <c r="D202" s="461"/>
      <c r="E202" s="461"/>
      <c r="F202" s="461"/>
      <c r="G202" s="610"/>
    </row>
    <row r="203" spans="3:7" s="444" customFormat="1">
      <c r="C203" s="461"/>
      <c r="D203" s="461"/>
      <c r="E203" s="461"/>
      <c r="F203" s="461"/>
      <c r="G203" s="610"/>
    </row>
    <row r="204" spans="3:7" s="444" customFormat="1">
      <c r="C204" s="461"/>
      <c r="D204" s="461"/>
      <c r="E204" s="461"/>
      <c r="F204" s="461"/>
      <c r="G204" s="610"/>
    </row>
    <row r="205" spans="3:7" s="444" customFormat="1">
      <c r="C205" s="461"/>
      <c r="D205" s="461"/>
      <c r="E205" s="461"/>
      <c r="F205" s="461"/>
      <c r="G205" s="610"/>
    </row>
    <row r="206" spans="3:7" s="444" customFormat="1">
      <c r="C206" s="461"/>
      <c r="D206" s="461"/>
      <c r="E206" s="461"/>
      <c r="F206" s="461"/>
      <c r="G206" s="610"/>
    </row>
    <row r="207" spans="3:7" s="444" customFormat="1">
      <c r="C207" s="461"/>
      <c r="D207" s="461"/>
      <c r="E207" s="461"/>
      <c r="F207" s="461"/>
      <c r="G207" s="610"/>
    </row>
    <row r="208" spans="3:7" s="444" customFormat="1">
      <c r="C208" s="461"/>
      <c r="D208" s="461"/>
      <c r="E208" s="461"/>
      <c r="F208" s="461"/>
      <c r="G208" s="610"/>
    </row>
    <row r="209" spans="3:7" s="444" customFormat="1">
      <c r="C209" s="461"/>
      <c r="D209" s="461"/>
      <c r="E209" s="461"/>
      <c r="F209" s="461"/>
      <c r="G209" s="610"/>
    </row>
    <row r="210" spans="3:7" s="444" customFormat="1">
      <c r="C210" s="461"/>
      <c r="D210" s="461"/>
      <c r="E210" s="461"/>
      <c r="F210" s="461"/>
      <c r="G210" s="610"/>
    </row>
    <row r="211" spans="3:7" s="444" customFormat="1">
      <c r="C211" s="461"/>
      <c r="D211" s="461"/>
      <c r="E211" s="461"/>
      <c r="F211" s="461"/>
      <c r="G211" s="610"/>
    </row>
    <row r="212" spans="3:7" s="444" customFormat="1">
      <c r="C212" s="461"/>
      <c r="D212" s="461"/>
      <c r="E212" s="461"/>
      <c r="F212" s="461"/>
      <c r="G212" s="610"/>
    </row>
    <row r="213" spans="3:7" s="444" customFormat="1">
      <c r="C213" s="461"/>
      <c r="D213" s="461"/>
      <c r="E213" s="461"/>
      <c r="F213" s="461"/>
      <c r="G213" s="610"/>
    </row>
    <row r="214" spans="3:7" s="444" customFormat="1">
      <c r="C214" s="461"/>
      <c r="D214" s="461"/>
      <c r="E214" s="461"/>
      <c r="F214" s="461"/>
      <c r="G214" s="610"/>
    </row>
    <row r="215" spans="3:7" s="444" customFormat="1">
      <c r="C215" s="461"/>
      <c r="D215" s="461"/>
      <c r="E215" s="461"/>
      <c r="F215" s="461"/>
      <c r="G215" s="610"/>
    </row>
    <row r="216" spans="3:7" s="444" customFormat="1">
      <c r="C216" s="461"/>
      <c r="D216" s="461"/>
      <c r="E216" s="461"/>
      <c r="F216" s="461"/>
      <c r="G216" s="610"/>
    </row>
    <row r="217" spans="3:7" s="444" customFormat="1">
      <c r="C217" s="461"/>
      <c r="D217" s="461"/>
      <c r="E217" s="461"/>
      <c r="F217" s="461"/>
      <c r="G217" s="610"/>
    </row>
    <row r="218" spans="3:7" s="444" customFormat="1">
      <c r="C218" s="461"/>
      <c r="D218" s="461"/>
      <c r="E218" s="461"/>
      <c r="F218" s="461"/>
      <c r="G218" s="610"/>
    </row>
    <row r="219" spans="3:7" s="444" customFormat="1">
      <c r="C219" s="461"/>
      <c r="D219" s="461"/>
      <c r="E219" s="461"/>
      <c r="F219" s="461"/>
      <c r="G219" s="610"/>
    </row>
    <row r="220" spans="3:7" s="444" customFormat="1">
      <c r="C220" s="461"/>
      <c r="D220" s="461"/>
      <c r="E220" s="461"/>
      <c r="F220" s="461"/>
      <c r="G220" s="610"/>
    </row>
    <row r="221" spans="3:7" s="444" customFormat="1">
      <c r="C221" s="461"/>
      <c r="D221" s="461"/>
      <c r="E221" s="461"/>
      <c r="F221" s="461"/>
      <c r="G221" s="610"/>
    </row>
    <row r="222" spans="3:7" s="444" customFormat="1">
      <c r="C222" s="461"/>
      <c r="D222" s="461"/>
      <c r="E222" s="461"/>
      <c r="F222" s="461"/>
      <c r="G222" s="610"/>
    </row>
    <row r="223" spans="3:7" s="444" customFormat="1">
      <c r="C223" s="461"/>
      <c r="D223" s="461"/>
      <c r="E223" s="461"/>
      <c r="F223" s="461"/>
      <c r="G223" s="610"/>
    </row>
    <row r="224" spans="3:7" s="444" customFormat="1">
      <c r="C224" s="461"/>
      <c r="D224" s="461"/>
      <c r="E224" s="461"/>
      <c r="F224" s="461"/>
      <c r="G224" s="610"/>
    </row>
    <row r="225" spans="3:7" s="444" customFormat="1">
      <c r="C225" s="461"/>
      <c r="D225" s="461"/>
      <c r="E225" s="461"/>
      <c r="F225" s="461"/>
      <c r="G225" s="610"/>
    </row>
    <row r="226" spans="3:7" s="444" customFormat="1">
      <c r="C226" s="461"/>
      <c r="D226" s="461"/>
      <c r="E226" s="461"/>
      <c r="F226" s="461"/>
      <c r="G226" s="610"/>
    </row>
    <row r="227" spans="3:7" s="444" customFormat="1">
      <c r="C227" s="461"/>
      <c r="D227" s="461"/>
      <c r="E227" s="461"/>
      <c r="F227" s="461"/>
      <c r="G227" s="610"/>
    </row>
    <row r="228" spans="3:7" s="444" customFormat="1">
      <c r="C228" s="461"/>
      <c r="D228" s="461"/>
      <c r="E228" s="461"/>
      <c r="F228" s="461"/>
      <c r="G228" s="610"/>
    </row>
    <row r="229" spans="3:7" s="444" customFormat="1">
      <c r="C229" s="461"/>
      <c r="D229" s="461"/>
      <c r="E229" s="461"/>
      <c r="F229" s="461"/>
      <c r="G229" s="610"/>
    </row>
    <row r="230" spans="3:7" s="444" customFormat="1">
      <c r="C230" s="461"/>
      <c r="D230" s="461"/>
      <c r="E230" s="461"/>
      <c r="F230" s="461"/>
      <c r="G230" s="610"/>
    </row>
    <row r="231" spans="3:7" s="444" customFormat="1">
      <c r="C231" s="461"/>
      <c r="D231" s="461"/>
      <c r="E231" s="461"/>
      <c r="F231" s="461"/>
      <c r="G231" s="610"/>
    </row>
    <row r="232" spans="3:7" s="444" customFormat="1">
      <c r="C232" s="461"/>
      <c r="D232" s="461"/>
      <c r="E232" s="461"/>
      <c r="F232" s="461"/>
      <c r="G232" s="610"/>
    </row>
    <row r="233" spans="3:7" s="444" customFormat="1">
      <c r="C233" s="461"/>
      <c r="D233" s="461"/>
      <c r="E233" s="461"/>
      <c r="F233" s="461"/>
      <c r="G233" s="610"/>
    </row>
    <row r="234" spans="3:7" s="444" customFormat="1">
      <c r="C234" s="461"/>
      <c r="D234" s="461"/>
      <c r="E234" s="461"/>
      <c r="F234" s="461"/>
      <c r="G234" s="610"/>
    </row>
    <row r="235" spans="3:7" s="444" customFormat="1">
      <c r="C235" s="461"/>
      <c r="D235" s="461"/>
      <c r="E235" s="461"/>
      <c r="F235" s="461"/>
      <c r="G235" s="610"/>
    </row>
    <row r="236" spans="3:7" s="444" customFormat="1">
      <c r="C236" s="461"/>
      <c r="D236" s="461"/>
      <c r="E236" s="461"/>
      <c r="F236" s="461"/>
      <c r="G236" s="610"/>
    </row>
    <row r="237" spans="3:7" s="444" customFormat="1">
      <c r="C237" s="461"/>
      <c r="D237" s="461"/>
      <c r="E237" s="461"/>
      <c r="F237" s="461"/>
      <c r="G237" s="610"/>
    </row>
    <row r="238" spans="3:7" s="444" customFormat="1">
      <c r="C238" s="461"/>
      <c r="D238" s="461"/>
      <c r="E238" s="461"/>
      <c r="F238" s="461"/>
      <c r="G238" s="610"/>
    </row>
    <row r="239" spans="3:7" s="444" customFormat="1">
      <c r="C239" s="461"/>
      <c r="D239" s="461"/>
      <c r="E239" s="461"/>
      <c r="F239" s="461"/>
      <c r="G239" s="610"/>
    </row>
    <row r="240" spans="3:7" s="444" customFormat="1">
      <c r="C240" s="461"/>
      <c r="D240" s="461"/>
      <c r="E240" s="461"/>
      <c r="F240" s="461"/>
      <c r="G240" s="610"/>
    </row>
    <row r="241" spans="3:7" s="444" customFormat="1">
      <c r="C241" s="461"/>
      <c r="D241" s="461"/>
      <c r="E241" s="461"/>
      <c r="F241" s="461"/>
      <c r="G241" s="610"/>
    </row>
    <row r="242" spans="3:7" s="444" customFormat="1">
      <c r="C242" s="461"/>
      <c r="D242" s="461"/>
      <c r="E242" s="461"/>
      <c r="F242" s="461"/>
      <c r="G242" s="610"/>
    </row>
    <row r="243" spans="3:7" s="444" customFormat="1">
      <c r="C243" s="461"/>
      <c r="D243" s="461"/>
      <c r="E243" s="461"/>
      <c r="F243" s="461"/>
      <c r="G243" s="610"/>
    </row>
    <row r="244" spans="3:7" s="444" customFormat="1">
      <c r="C244" s="461"/>
      <c r="D244" s="461"/>
      <c r="E244" s="461"/>
      <c r="F244" s="461"/>
      <c r="G244" s="610"/>
    </row>
    <row r="245" spans="3:7" s="444" customFormat="1">
      <c r="C245" s="461"/>
      <c r="D245" s="461"/>
      <c r="E245" s="461"/>
      <c r="F245" s="461"/>
      <c r="G245" s="610"/>
    </row>
    <row r="246" spans="3:7" s="444" customFormat="1">
      <c r="C246" s="461"/>
      <c r="D246" s="461"/>
      <c r="E246" s="461"/>
      <c r="F246" s="461"/>
      <c r="G246" s="610"/>
    </row>
    <row r="247" spans="3:7" s="444" customFormat="1">
      <c r="C247" s="461"/>
      <c r="D247" s="461"/>
      <c r="E247" s="461"/>
      <c r="F247" s="461"/>
      <c r="G247" s="610"/>
    </row>
    <row r="248" spans="3:7" s="444" customFormat="1">
      <c r="C248" s="461"/>
      <c r="D248" s="461"/>
      <c r="E248" s="461"/>
      <c r="F248" s="461"/>
      <c r="G248" s="610"/>
    </row>
    <row r="249" spans="3:7" s="444" customFormat="1">
      <c r="C249" s="461"/>
      <c r="D249" s="461"/>
      <c r="E249" s="461"/>
      <c r="F249" s="461"/>
      <c r="G249" s="610"/>
    </row>
    <row r="250" spans="3:7" s="444" customFormat="1">
      <c r="C250" s="461"/>
      <c r="D250" s="461"/>
      <c r="E250" s="461"/>
      <c r="F250" s="461"/>
      <c r="G250" s="610"/>
    </row>
    <row r="251" spans="3:7" s="444" customFormat="1">
      <c r="C251" s="461"/>
      <c r="D251" s="461"/>
      <c r="E251" s="461"/>
      <c r="F251" s="461"/>
      <c r="G251" s="610"/>
    </row>
    <row r="252" spans="3:7" s="444" customFormat="1">
      <c r="C252" s="461"/>
      <c r="D252" s="461"/>
      <c r="E252" s="461"/>
      <c r="F252" s="461"/>
      <c r="G252" s="610"/>
    </row>
    <row r="253" spans="3:7" s="444" customFormat="1">
      <c r="C253" s="461"/>
      <c r="D253" s="461"/>
      <c r="E253" s="461"/>
      <c r="F253" s="461"/>
      <c r="G253" s="610"/>
    </row>
    <row r="254" spans="3:7" s="444" customFormat="1">
      <c r="C254" s="461"/>
      <c r="D254" s="461"/>
      <c r="E254" s="461"/>
      <c r="F254" s="461"/>
      <c r="G254" s="610"/>
    </row>
    <row r="255" spans="3:7" s="444" customFormat="1">
      <c r="C255" s="461"/>
      <c r="D255" s="461"/>
      <c r="E255" s="461"/>
      <c r="F255" s="461"/>
      <c r="G255" s="610"/>
    </row>
    <row r="256" spans="3:7" s="444" customFormat="1">
      <c r="C256" s="461"/>
      <c r="D256" s="461"/>
      <c r="E256" s="461"/>
      <c r="F256" s="461"/>
      <c r="G256" s="610"/>
    </row>
    <row r="257" spans="3:7" s="444" customFormat="1">
      <c r="C257" s="461"/>
      <c r="D257" s="461"/>
      <c r="E257" s="461"/>
      <c r="F257" s="461"/>
      <c r="G257" s="610"/>
    </row>
    <row r="258" spans="3:7" s="444" customFormat="1">
      <c r="C258" s="461"/>
      <c r="D258" s="461"/>
      <c r="E258" s="461"/>
      <c r="F258" s="461"/>
      <c r="G258" s="610"/>
    </row>
    <row r="259" spans="3:7" s="444" customFormat="1">
      <c r="C259" s="461"/>
      <c r="D259" s="461"/>
      <c r="E259" s="461"/>
      <c r="F259" s="461"/>
      <c r="G259" s="610"/>
    </row>
    <row r="260" spans="3:7" s="444" customFormat="1">
      <c r="C260" s="461"/>
      <c r="D260" s="461"/>
      <c r="E260" s="461"/>
      <c r="F260" s="461"/>
      <c r="G260" s="610"/>
    </row>
    <row r="261" spans="3:7" s="444" customFormat="1">
      <c r="C261" s="461"/>
      <c r="D261" s="461"/>
      <c r="E261" s="461"/>
      <c r="F261" s="461"/>
      <c r="G261" s="610"/>
    </row>
    <row r="262" spans="3:7" s="444" customFormat="1">
      <c r="C262" s="461"/>
      <c r="D262" s="461"/>
      <c r="E262" s="461"/>
      <c r="F262" s="461"/>
      <c r="G262" s="610"/>
    </row>
    <row r="263" spans="3:7" s="444" customFormat="1">
      <c r="C263" s="461"/>
      <c r="D263" s="461"/>
      <c r="E263" s="461"/>
      <c r="F263" s="461"/>
      <c r="G263" s="610"/>
    </row>
    <row r="264" spans="3:7" s="444" customFormat="1">
      <c r="C264" s="461"/>
      <c r="D264" s="461"/>
      <c r="E264" s="461"/>
      <c r="F264" s="461"/>
      <c r="G264" s="610"/>
    </row>
    <row r="265" spans="3:7" s="444" customFormat="1">
      <c r="C265" s="461"/>
      <c r="D265" s="461"/>
      <c r="E265" s="461"/>
      <c r="F265" s="461"/>
      <c r="G265" s="610"/>
    </row>
    <row r="266" spans="3:7" s="444" customFormat="1">
      <c r="C266" s="461"/>
      <c r="D266" s="461"/>
      <c r="E266" s="461"/>
      <c r="F266" s="461"/>
      <c r="G266" s="610"/>
    </row>
    <row r="267" spans="3:7" s="444" customFormat="1">
      <c r="C267" s="461"/>
      <c r="D267" s="461"/>
      <c r="E267" s="461"/>
      <c r="F267" s="461"/>
      <c r="G267" s="610"/>
    </row>
    <row r="268" spans="3:7" s="444" customFormat="1">
      <c r="C268" s="461"/>
      <c r="D268" s="461"/>
      <c r="E268" s="461"/>
      <c r="F268" s="461"/>
      <c r="G268" s="610"/>
    </row>
    <row r="269" spans="3:7" s="444" customFormat="1">
      <c r="C269" s="461"/>
      <c r="D269" s="461"/>
      <c r="E269" s="461"/>
      <c r="F269" s="461"/>
      <c r="G269" s="610"/>
    </row>
    <row r="270" spans="3:7" s="444" customFormat="1">
      <c r="C270" s="461"/>
      <c r="D270" s="461"/>
      <c r="E270" s="461"/>
      <c r="F270" s="461"/>
      <c r="G270" s="610"/>
    </row>
    <row r="271" spans="3:7" s="444" customFormat="1">
      <c r="C271" s="461"/>
      <c r="D271" s="461"/>
      <c r="E271" s="461"/>
      <c r="F271" s="461"/>
      <c r="G271" s="610"/>
    </row>
    <row r="272" spans="3:7" s="444" customFormat="1">
      <c r="C272" s="461"/>
      <c r="D272" s="461"/>
      <c r="E272" s="461"/>
      <c r="F272" s="461"/>
      <c r="G272" s="610"/>
    </row>
    <row r="273" spans="3:7" s="444" customFormat="1">
      <c r="C273" s="461"/>
      <c r="D273" s="461"/>
      <c r="E273" s="461"/>
      <c r="F273" s="461"/>
      <c r="G273" s="610"/>
    </row>
    <row r="274" spans="3:7" s="444" customFormat="1">
      <c r="C274" s="461"/>
      <c r="D274" s="461"/>
      <c r="E274" s="461"/>
      <c r="F274" s="461"/>
      <c r="G274" s="610"/>
    </row>
    <row r="275" spans="3:7" s="444" customFormat="1">
      <c r="C275" s="461"/>
      <c r="D275" s="461"/>
      <c r="E275" s="461"/>
      <c r="F275" s="461"/>
      <c r="G275" s="610"/>
    </row>
    <row r="276" spans="3:7" s="444" customFormat="1">
      <c r="C276" s="461"/>
      <c r="D276" s="461"/>
      <c r="E276" s="461"/>
      <c r="F276" s="461"/>
      <c r="G276" s="610"/>
    </row>
    <row r="277" spans="3:7" s="444" customFormat="1">
      <c r="C277" s="461"/>
      <c r="D277" s="461"/>
      <c r="E277" s="461"/>
      <c r="F277" s="461"/>
      <c r="G277" s="610"/>
    </row>
    <row r="278" spans="3:7" s="444" customFormat="1">
      <c r="C278" s="461"/>
      <c r="D278" s="461"/>
      <c r="E278" s="461"/>
      <c r="F278" s="461"/>
      <c r="G278" s="610"/>
    </row>
    <row r="279" spans="3:7" s="444" customFormat="1">
      <c r="C279" s="461"/>
      <c r="D279" s="461"/>
      <c r="E279" s="461"/>
      <c r="F279" s="461"/>
      <c r="G279" s="610"/>
    </row>
    <row r="280" spans="3:7" s="444" customFormat="1">
      <c r="C280" s="461"/>
      <c r="D280" s="461"/>
      <c r="E280" s="461"/>
      <c r="F280" s="461"/>
      <c r="G280" s="610"/>
    </row>
    <row r="281" spans="3:7" s="444" customFormat="1">
      <c r="C281" s="461"/>
      <c r="D281" s="461"/>
      <c r="E281" s="461"/>
      <c r="F281" s="461"/>
      <c r="G281" s="610"/>
    </row>
    <row r="282" spans="3:7" s="444" customFormat="1">
      <c r="C282" s="461"/>
      <c r="D282" s="461"/>
      <c r="E282" s="461"/>
      <c r="F282" s="461"/>
      <c r="G282" s="610"/>
    </row>
    <row r="283" spans="3:7" s="444" customFormat="1">
      <c r="C283" s="461"/>
      <c r="D283" s="461"/>
      <c r="E283" s="461"/>
      <c r="F283" s="461"/>
      <c r="G283" s="610"/>
    </row>
    <row r="284" spans="3:7" s="444" customFormat="1">
      <c r="C284" s="461"/>
      <c r="D284" s="461"/>
      <c r="E284" s="461"/>
      <c r="F284" s="461"/>
      <c r="G284" s="610"/>
    </row>
    <row r="285" spans="3:7" s="444" customFormat="1">
      <c r="C285" s="461"/>
      <c r="D285" s="461"/>
      <c r="E285" s="461"/>
      <c r="F285" s="461"/>
      <c r="G285" s="610"/>
    </row>
    <row r="286" spans="3:7" s="444" customFormat="1">
      <c r="C286" s="461"/>
      <c r="D286" s="461"/>
      <c r="E286" s="461"/>
      <c r="F286" s="461"/>
      <c r="G286" s="610"/>
    </row>
    <row r="287" spans="3:7" s="444" customFormat="1">
      <c r="C287" s="461"/>
      <c r="D287" s="461"/>
      <c r="E287" s="461"/>
      <c r="F287" s="461"/>
      <c r="G287" s="610"/>
    </row>
    <row r="288" spans="3:7" s="444" customFormat="1">
      <c r="C288" s="461"/>
      <c r="D288" s="461"/>
      <c r="E288" s="461"/>
      <c r="F288" s="461"/>
      <c r="G288" s="610"/>
    </row>
    <row r="289" spans="3:7" s="444" customFormat="1">
      <c r="C289" s="461"/>
      <c r="D289" s="461"/>
      <c r="E289" s="461"/>
      <c r="F289" s="461"/>
      <c r="G289" s="610"/>
    </row>
    <row r="290" spans="3:7" s="444" customFormat="1">
      <c r="C290" s="461"/>
      <c r="D290" s="461"/>
      <c r="E290" s="461"/>
      <c r="F290" s="461"/>
      <c r="G290" s="610"/>
    </row>
    <row r="291" spans="3:7" s="444" customFormat="1">
      <c r="C291" s="461"/>
      <c r="D291" s="461"/>
      <c r="E291" s="461"/>
      <c r="F291" s="461"/>
      <c r="G291" s="610"/>
    </row>
    <row r="292" spans="3:7" s="444" customFormat="1">
      <c r="C292" s="461"/>
      <c r="D292" s="461"/>
      <c r="E292" s="461"/>
      <c r="F292" s="461"/>
      <c r="G292" s="610"/>
    </row>
    <row r="293" spans="3:7" s="444" customFormat="1">
      <c r="C293" s="461"/>
      <c r="D293" s="461"/>
      <c r="E293" s="461"/>
      <c r="F293" s="461"/>
      <c r="G293" s="610"/>
    </row>
    <row r="294" spans="3:7" s="444" customFormat="1">
      <c r="C294" s="461"/>
      <c r="D294" s="461"/>
      <c r="E294" s="461"/>
      <c r="F294" s="461"/>
      <c r="G294" s="610"/>
    </row>
    <row r="295" spans="3:7" s="444" customFormat="1">
      <c r="C295" s="461"/>
      <c r="D295" s="461"/>
      <c r="E295" s="461"/>
      <c r="F295" s="461"/>
      <c r="G295" s="610"/>
    </row>
    <row r="296" spans="3:7" s="444" customFormat="1">
      <c r="C296" s="461"/>
      <c r="D296" s="461"/>
      <c r="E296" s="461"/>
      <c r="F296" s="461"/>
      <c r="G296" s="610"/>
    </row>
    <row r="297" spans="3:7" s="444" customFormat="1">
      <c r="C297" s="461"/>
      <c r="D297" s="461"/>
      <c r="E297" s="461"/>
      <c r="F297" s="461"/>
      <c r="G297" s="610"/>
    </row>
    <row r="298" spans="3:7" s="444" customFormat="1">
      <c r="C298" s="461"/>
      <c r="D298" s="461"/>
      <c r="E298" s="461"/>
      <c r="F298" s="461"/>
      <c r="G298" s="610"/>
    </row>
    <row r="299" spans="3:7" s="444" customFormat="1">
      <c r="C299" s="461"/>
      <c r="D299" s="461"/>
      <c r="E299" s="461"/>
      <c r="F299" s="461"/>
      <c r="G299" s="610"/>
    </row>
    <row r="300" spans="3:7" s="444" customFormat="1">
      <c r="C300" s="461"/>
      <c r="D300" s="461"/>
      <c r="E300" s="461"/>
      <c r="F300" s="461"/>
      <c r="G300" s="610"/>
    </row>
    <row r="301" spans="3:7" s="444" customFormat="1">
      <c r="C301" s="461"/>
      <c r="D301" s="461"/>
      <c r="E301" s="461"/>
      <c r="F301" s="461"/>
      <c r="G301" s="610"/>
    </row>
    <row r="302" spans="3:7" s="444" customFormat="1">
      <c r="C302" s="461"/>
      <c r="D302" s="461"/>
      <c r="E302" s="461"/>
      <c r="F302" s="461"/>
      <c r="G302" s="610"/>
    </row>
    <row r="303" spans="3:7" s="444" customFormat="1">
      <c r="C303" s="461"/>
      <c r="D303" s="461"/>
      <c r="E303" s="461"/>
      <c r="F303" s="461"/>
      <c r="G303" s="610"/>
    </row>
    <row r="304" spans="3:7" s="444" customFormat="1">
      <c r="C304" s="461"/>
      <c r="D304" s="461"/>
      <c r="E304" s="461"/>
      <c r="F304" s="461"/>
      <c r="G304" s="610"/>
    </row>
    <row r="305" spans="3:7" s="444" customFormat="1">
      <c r="C305" s="461"/>
      <c r="D305" s="461"/>
      <c r="E305" s="461"/>
      <c r="F305" s="461"/>
      <c r="G305" s="610"/>
    </row>
    <row r="306" spans="3:7" s="444" customFormat="1">
      <c r="C306" s="461"/>
      <c r="D306" s="461"/>
      <c r="E306" s="461"/>
      <c r="F306" s="461"/>
      <c r="G306" s="610"/>
    </row>
    <row r="307" spans="3:7" s="444" customFormat="1">
      <c r="C307" s="461"/>
      <c r="D307" s="461"/>
      <c r="E307" s="461"/>
      <c r="F307" s="461"/>
      <c r="G307" s="610"/>
    </row>
    <row r="308" spans="3:7" s="444" customFormat="1">
      <c r="C308" s="461"/>
      <c r="D308" s="461"/>
      <c r="E308" s="461"/>
      <c r="F308" s="461"/>
      <c r="G308" s="610"/>
    </row>
    <row r="309" spans="3:7" s="444" customFormat="1">
      <c r="C309" s="461"/>
      <c r="D309" s="461"/>
      <c r="E309" s="461"/>
      <c r="F309" s="461"/>
      <c r="G309" s="610"/>
    </row>
    <row r="310" spans="3:7" s="444" customFormat="1">
      <c r="C310" s="461"/>
      <c r="D310" s="461"/>
      <c r="E310" s="461"/>
      <c r="F310" s="461"/>
      <c r="G310" s="610"/>
    </row>
    <row r="311" spans="3:7" s="444" customFormat="1">
      <c r="C311" s="461"/>
      <c r="D311" s="461"/>
      <c r="E311" s="461"/>
      <c r="F311" s="461"/>
      <c r="G311" s="610"/>
    </row>
    <row r="312" spans="3:7" s="444" customFormat="1">
      <c r="C312" s="461"/>
      <c r="D312" s="461"/>
      <c r="E312" s="461"/>
      <c r="F312" s="461"/>
      <c r="G312" s="610"/>
    </row>
    <row r="313" spans="3:7" s="444" customFormat="1">
      <c r="C313" s="461"/>
      <c r="D313" s="461"/>
      <c r="E313" s="461"/>
      <c r="F313" s="461"/>
      <c r="G313" s="610"/>
    </row>
    <row r="314" spans="3:7" s="444" customFormat="1">
      <c r="C314" s="461"/>
      <c r="D314" s="461"/>
      <c r="E314" s="461"/>
      <c r="F314" s="461"/>
      <c r="G314" s="610"/>
    </row>
    <row r="315" spans="3:7" s="444" customFormat="1">
      <c r="C315" s="461"/>
      <c r="D315" s="461"/>
      <c r="E315" s="461"/>
      <c r="F315" s="461"/>
      <c r="G315" s="610"/>
    </row>
    <row r="316" spans="3:7" s="444" customFormat="1">
      <c r="C316" s="461"/>
      <c r="D316" s="461"/>
      <c r="E316" s="461"/>
      <c r="F316" s="461"/>
      <c r="G316" s="610"/>
    </row>
    <row r="317" spans="3:7" s="444" customFormat="1">
      <c r="C317" s="461"/>
      <c r="D317" s="461"/>
      <c r="E317" s="461"/>
      <c r="F317" s="461"/>
      <c r="G317" s="610"/>
    </row>
    <row r="318" spans="3:7" s="444" customFormat="1">
      <c r="C318" s="461"/>
      <c r="D318" s="461"/>
      <c r="E318" s="461"/>
      <c r="F318" s="461"/>
      <c r="G318" s="610"/>
    </row>
    <row r="319" spans="3:7" s="444" customFormat="1">
      <c r="C319" s="461"/>
      <c r="D319" s="461"/>
      <c r="E319" s="461"/>
      <c r="F319" s="461"/>
      <c r="G319" s="610"/>
    </row>
    <row r="320" spans="3:7" s="444" customFormat="1">
      <c r="C320" s="461"/>
      <c r="D320" s="461"/>
      <c r="E320" s="461"/>
      <c r="F320" s="461"/>
      <c r="G320" s="610"/>
    </row>
    <row r="321" spans="3:7" s="444" customFormat="1">
      <c r="C321" s="461"/>
      <c r="D321" s="461"/>
      <c r="E321" s="461"/>
      <c r="F321" s="461"/>
      <c r="G321" s="610"/>
    </row>
    <row r="322" spans="3:7" s="444" customFormat="1">
      <c r="C322" s="461"/>
      <c r="D322" s="461"/>
      <c r="E322" s="461"/>
      <c r="F322" s="461"/>
      <c r="G322" s="610"/>
    </row>
    <row r="323" spans="3:7" s="444" customFormat="1">
      <c r="C323" s="461"/>
      <c r="D323" s="461"/>
      <c r="E323" s="461"/>
      <c r="F323" s="461"/>
      <c r="G323" s="610"/>
    </row>
    <row r="324" spans="3:7" s="444" customFormat="1">
      <c r="C324" s="461"/>
      <c r="D324" s="461"/>
      <c r="E324" s="461"/>
      <c r="F324" s="461"/>
      <c r="G324" s="610"/>
    </row>
    <row r="325" spans="3:7" s="444" customFormat="1">
      <c r="C325" s="461"/>
      <c r="D325" s="461"/>
      <c r="E325" s="461"/>
      <c r="F325" s="461"/>
      <c r="G325" s="610"/>
    </row>
    <row r="326" spans="3:7" s="444" customFormat="1">
      <c r="C326" s="461"/>
      <c r="D326" s="461"/>
      <c r="E326" s="461"/>
      <c r="F326" s="461"/>
      <c r="G326" s="610"/>
    </row>
    <row r="327" spans="3:7" s="444" customFormat="1">
      <c r="C327" s="461"/>
      <c r="D327" s="461"/>
      <c r="E327" s="461"/>
      <c r="F327" s="461"/>
      <c r="G327" s="610"/>
    </row>
    <row r="328" spans="3:7" s="444" customFormat="1">
      <c r="C328" s="461"/>
      <c r="D328" s="461"/>
      <c r="E328" s="461"/>
      <c r="F328" s="461"/>
      <c r="G328" s="610"/>
    </row>
    <row r="329" spans="3:7" s="444" customFormat="1">
      <c r="C329" s="461"/>
      <c r="D329" s="461"/>
      <c r="E329" s="461"/>
      <c r="F329" s="461"/>
      <c r="G329" s="610"/>
    </row>
    <row r="330" spans="3:7" s="444" customFormat="1">
      <c r="C330" s="461"/>
      <c r="D330" s="461"/>
      <c r="E330" s="461"/>
      <c r="F330" s="461"/>
      <c r="G330" s="610"/>
    </row>
    <row r="331" spans="3:7" s="444" customFormat="1">
      <c r="C331" s="461"/>
      <c r="D331" s="461"/>
      <c r="E331" s="461"/>
      <c r="F331" s="461"/>
      <c r="G331" s="610"/>
    </row>
    <row r="332" spans="3:7" s="444" customFormat="1">
      <c r="C332" s="461"/>
      <c r="D332" s="461"/>
      <c r="E332" s="461"/>
      <c r="F332" s="461"/>
      <c r="G332" s="610"/>
    </row>
    <row r="333" spans="3:7" s="444" customFormat="1">
      <c r="C333" s="461"/>
      <c r="D333" s="461"/>
      <c r="E333" s="461"/>
      <c r="F333" s="461"/>
      <c r="G333" s="610"/>
    </row>
    <row r="334" spans="3:7" s="444" customFormat="1">
      <c r="C334" s="461"/>
      <c r="D334" s="461"/>
      <c r="E334" s="461"/>
      <c r="F334" s="461"/>
      <c r="G334" s="610"/>
    </row>
    <row r="335" spans="3:7" s="444" customFormat="1">
      <c r="C335" s="461"/>
      <c r="D335" s="461"/>
      <c r="E335" s="461"/>
      <c r="F335" s="461"/>
      <c r="G335" s="610"/>
    </row>
    <row r="336" spans="3:7" s="444" customFormat="1">
      <c r="C336" s="461"/>
      <c r="D336" s="461"/>
      <c r="E336" s="461"/>
      <c r="F336" s="461"/>
      <c r="G336" s="610"/>
    </row>
    <row r="337" spans="3:7" s="444" customFormat="1">
      <c r="C337" s="461"/>
      <c r="D337" s="461"/>
      <c r="E337" s="461"/>
      <c r="F337" s="461"/>
      <c r="G337" s="610"/>
    </row>
    <row r="338" spans="3:7" s="444" customFormat="1">
      <c r="C338" s="461"/>
      <c r="D338" s="461"/>
      <c r="E338" s="461"/>
      <c r="F338" s="461"/>
      <c r="G338" s="610"/>
    </row>
    <row r="339" spans="3:7" s="444" customFormat="1">
      <c r="C339" s="461"/>
      <c r="D339" s="461"/>
      <c r="E339" s="461"/>
      <c r="F339" s="461"/>
      <c r="G339" s="610"/>
    </row>
    <row r="340" spans="3:7" s="444" customFormat="1">
      <c r="C340" s="461"/>
      <c r="D340" s="461"/>
      <c r="E340" s="461"/>
      <c r="F340" s="461"/>
      <c r="G340" s="610"/>
    </row>
  </sheetData>
  <mergeCells count="44">
    <mergeCell ref="A12:B12"/>
    <mergeCell ref="A26:B26"/>
    <mergeCell ref="A36:B36"/>
    <mergeCell ref="A14:B14"/>
    <mergeCell ref="A17:B17"/>
    <mergeCell ref="A19:B19"/>
    <mergeCell ref="A21:B21"/>
    <mergeCell ref="A23:B23"/>
    <mergeCell ref="A28:B28"/>
    <mergeCell ref="A29:B29"/>
    <mergeCell ref="A35:B35"/>
    <mergeCell ref="A1:D1"/>
    <mergeCell ref="A3:G3"/>
    <mergeCell ref="A6:B6"/>
    <mergeCell ref="A10:B10"/>
    <mergeCell ref="A11:B11"/>
    <mergeCell ref="A100:B100"/>
    <mergeCell ref="A93:B93"/>
    <mergeCell ref="A87:B87"/>
    <mergeCell ref="A88:B88"/>
    <mergeCell ref="A82:B82"/>
    <mergeCell ref="A86:B86"/>
    <mergeCell ref="A90:B90"/>
    <mergeCell ref="A38:B38"/>
    <mergeCell ref="A52:B52"/>
    <mergeCell ref="A66:B66"/>
    <mergeCell ref="A83:B83"/>
    <mergeCell ref="A68:B68"/>
    <mergeCell ref="A120:B120"/>
    <mergeCell ref="A74:B74"/>
    <mergeCell ref="A85:B85"/>
    <mergeCell ref="A91:B91"/>
    <mergeCell ref="A92:B92"/>
    <mergeCell ref="A94:B94"/>
    <mergeCell ref="A108:B108"/>
    <mergeCell ref="A109:B109"/>
    <mergeCell ref="A114:B114"/>
    <mergeCell ref="A101:B101"/>
    <mergeCell ref="A106:B106"/>
    <mergeCell ref="A111:B111"/>
    <mergeCell ref="A112:B112"/>
    <mergeCell ref="A113:B113"/>
    <mergeCell ref="A97:B97"/>
    <mergeCell ref="A99:B99"/>
  </mergeCells>
  <pageMargins left="0.7" right="0.7" top="0.75" bottom="0.75" header="0.3" footer="0.3"/>
  <pageSetup paperSize="9" scale="46" orientation="portrait" horizontalDpi="300" verticalDpi="300" r:id="rId1"/>
  <rowBreaks count="1" manualBreakCount="1">
    <brk id="8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SheetLayoutView="100" workbookViewId="0">
      <selection sqref="A1:D1"/>
    </sheetView>
  </sheetViews>
  <sheetFormatPr defaultRowHeight="15.75"/>
  <cols>
    <col min="1" max="1" width="74.5703125" style="42" customWidth="1"/>
    <col min="2" max="2" width="17.85546875" style="42" customWidth="1"/>
    <col min="3" max="3" width="16.7109375" style="87" customWidth="1"/>
    <col min="4" max="5" width="20" style="87" customWidth="1"/>
    <col min="6" max="6" width="20" style="42" customWidth="1"/>
    <col min="7" max="7" width="12.5703125" style="42" customWidth="1"/>
    <col min="8" max="16384" width="9.140625" style="42"/>
  </cols>
  <sheetData>
    <row r="1" spans="1:7" ht="20.100000000000001" customHeight="1">
      <c r="A1" s="860" t="s">
        <v>1033</v>
      </c>
      <c r="B1" s="860"/>
      <c r="C1" s="860"/>
      <c r="D1" s="860"/>
      <c r="E1" s="42"/>
    </row>
    <row r="2" spans="1:7" ht="20.100000000000001" customHeight="1">
      <c r="A2" s="44"/>
      <c r="B2" s="45"/>
      <c r="C2" s="46"/>
      <c r="D2" s="46"/>
      <c r="E2" s="46"/>
    </row>
    <row r="3" spans="1:7" ht="38.25" customHeight="1">
      <c r="A3" s="862" t="s">
        <v>791</v>
      </c>
      <c r="B3" s="862"/>
      <c r="C3" s="862"/>
      <c r="D3" s="862"/>
      <c r="E3" s="862"/>
      <c r="F3" s="862"/>
      <c r="G3" s="862"/>
    </row>
    <row r="4" spans="1:7" ht="20.100000000000001" customHeight="1">
      <c r="A4" s="44"/>
      <c r="B4" s="45"/>
      <c r="C4" s="46"/>
      <c r="D4" s="46"/>
      <c r="E4" s="46"/>
    </row>
    <row r="5" spans="1:7" ht="20.100000000000001" customHeight="1" thickBot="1">
      <c r="A5" s="48"/>
      <c r="B5" s="49"/>
      <c r="C5" s="49"/>
      <c r="D5" s="441"/>
      <c r="E5" s="441"/>
      <c r="F5" s="441"/>
      <c r="G5" s="51" t="s">
        <v>7</v>
      </c>
    </row>
    <row r="6" spans="1:7" s="444" customFormat="1" ht="31.5" customHeight="1" thickBot="1">
      <c r="A6" s="850" t="s">
        <v>577</v>
      </c>
      <c r="B6" s="851"/>
      <c r="C6" s="442"/>
      <c r="D6" s="443" t="s">
        <v>283</v>
      </c>
      <c r="E6" s="443" t="s">
        <v>284</v>
      </c>
      <c r="F6" s="443" t="s">
        <v>285</v>
      </c>
      <c r="G6" s="480" t="s">
        <v>286</v>
      </c>
    </row>
    <row r="7" spans="1:7" s="444" customFormat="1" ht="20.100000000000001" customHeight="1">
      <c r="A7" s="52" t="s">
        <v>287</v>
      </c>
      <c r="B7" s="53"/>
      <c r="C7" s="54"/>
      <c r="D7" s="54"/>
      <c r="E7" s="54"/>
      <c r="F7" s="54"/>
      <c r="G7" s="55"/>
    </row>
    <row r="8" spans="1:7" s="444" customFormat="1" ht="20.100000000000001" customHeight="1">
      <c r="A8" s="56" t="s">
        <v>288</v>
      </c>
      <c r="B8" s="57" t="s">
        <v>7</v>
      </c>
      <c r="C8" s="58" t="s">
        <v>7</v>
      </c>
      <c r="D8" s="445"/>
      <c r="E8" s="445"/>
      <c r="F8" s="445"/>
      <c r="G8" s="481"/>
    </row>
    <row r="9" spans="1:7" s="444" customFormat="1" ht="20.100000000000001" customHeight="1">
      <c r="A9" s="56" t="s">
        <v>578</v>
      </c>
      <c r="B9" s="57"/>
      <c r="C9" s="58"/>
      <c r="D9" s="445"/>
      <c r="E9" s="445"/>
      <c r="F9" s="445"/>
      <c r="G9" s="481"/>
    </row>
    <row r="10" spans="1:7" s="444" customFormat="1" ht="20.100000000000001" customHeight="1">
      <c r="A10" s="832" t="s">
        <v>579</v>
      </c>
      <c r="B10" s="833"/>
      <c r="C10" s="61">
        <v>194650000</v>
      </c>
      <c r="D10" s="61">
        <v>194650000</v>
      </c>
      <c r="E10" s="61">
        <v>194650000</v>
      </c>
      <c r="F10" s="61">
        <v>194650000</v>
      </c>
      <c r="G10" s="62">
        <f>SUM(F10/E10)</f>
        <v>1</v>
      </c>
    </row>
    <row r="11" spans="1:7" s="444" customFormat="1" ht="20.100000000000001" customHeight="1">
      <c r="A11" s="832" t="s">
        <v>580</v>
      </c>
      <c r="B11" s="833"/>
      <c r="C11" s="61">
        <v>29491750</v>
      </c>
      <c r="D11" s="61">
        <v>0</v>
      </c>
      <c r="E11" s="61">
        <v>0</v>
      </c>
      <c r="F11" s="61"/>
      <c r="G11" s="62"/>
    </row>
    <row r="12" spans="1:7" s="444" customFormat="1" ht="20.100000000000001" customHeight="1">
      <c r="A12" s="832" t="s">
        <v>581</v>
      </c>
      <c r="B12" s="833"/>
      <c r="C12" s="61">
        <v>0</v>
      </c>
      <c r="D12" s="61"/>
      <c r="E12" s="61"/>
      <c r="F12" s="61"/>
      <c r="G12" s="62"/>
    </row>
    <row r="13" spans="1:7" s="444" customFormat="1" ht="20.100000000000001" customHeight="1">
      <c r="A13" s="586" t="s">
        <v>582</v>
      </c>
      <c r="B13" s="587"/>
      <c r="C13" s="61">
        <v>54720000</v>
      </c>
      <c r="D13" s="61">
        <v>47789692</v>
      </c>
      <c r="E13" s="61">
        <v>47789692</v>
      </c>
      <c r="F13" s="61">
        <v>47789692</v>
      </c>
      <c r="G13" s="62">
        <f>SUM(F13/E13)</f>
        <v>1</v>
      </c>
    </row>
    <row r="14" spans="1:7" s="444" customFormat="1" ht="20.100000000000001" customHeight="1">
      <c r="A14" s="832" t="s">
        <v>581</v>
      </c>
      <c r="B14" s="833"/>
      <c r="C14" s="61">
        <v>47789692</v>
      </c>
      <c r="D14" s="61"/>
      <c r="E14" s="61"/>
      <c r="F14" s="61"/>
      <c r="G14" s="62"/>
    </row>
    <row r="15" spans="1:7" s="444" customFormat="1" ht="20.100000000000001" customHeight="1">
      <c r="A15" s="586" t="s">
        <v>583</v>
      </c>
      <c r="B15" s="587"/>
      <c r="C15" s="61">
        <v>0</v>
      </c>
      <c r="D15" s="61">
        <v>0</v>
      </c>
      <c r="E15" s="61">
        <v>0</v>
      </c>
      <c r="F15" s="61"/>
      <c r="G15" s="62"/>
    </row>
    <row r="16" spans="1:7" s="444" customFormat="1" ht="20.100000000000001" customHeight="1">
      <c r="A16" s="586" t="s">
        <v>584</v>
      </c>
      <c r="B16" s="587"/>
      <c r="C16" s="61">
        <v>32733200</v>
      </c>
      <c r="D16" s="61">
        <v>32733200</v>
      </c>
      <c r="E16" s="61">
        <v>32733200</v>
      </c>
      <c r="F16" s="61">
        <v>32733200</v>
      </c>
      <c r="G16" s="62">
        <f>SUM(F16/E16)</f>
        <v>1</v>
      </c>
    </row>
    <row r="17" spans="1:7" s="444" customFormat="1" ht="20.100000000000001" customHeight="1">
      <c r="A17" s="832" t="s">
        <v>581</v>
      </c>
      <c r="B17" s="833"/>
      <c r="C17" s="61">
        <v>32733200</v>
      </c>
      <c r="D17" s="61"/>
      <c r="E17" s="61"/>
      <c r="F17" s="61"/>
      <c r="G17" s="62"/>
    </row>
    <row r="18" spans="1:7" s="444" customFormat="1" ht="20.100000000000001" customHeight="1">
      <c r="A18" s="586" t="s">
        <v>585</v>
      </c>
      <c r="B18" s="587"/>
      <c r="C18" s="61">
        <v>55115100</v>
      </c>
      <c r="D18" s="61">
        <v>0</v>
      </c>
      <c r="E18" s="61">
        <v>0</v>
      </c>
      <c r="F18" s="61"/>
      <c r="G18" s="62"/>
    </row>
    <row r="19" spans="1:7" s="444" customFormat="1" ht="20.100000000000001" customHeight="1">
      <c r="A19" s="832" t="s">
        <v>581</v>
      </c>
      <c r="B19" s="833"/>
      <c r="C19" s="61">
        <v>0</v>
      </c>
      <c r="D19" s="61"/>
      <c r="E19" s="61"/>
      <c r="F19" s="61"/>
      <c r="G19" s="62"/>
    </row>
    <row r="20" spans="1:7" s="444" customFormat="1" ht="20.100000000000001" customHeight="1">
      <c r="A20" s="586" t="s">
        <v>586</v>
      </c>
      <c r="B20" s="587"/>
      <c r="C20" s="61">
        <v>1412700</v>
      </c>
      <c r="D20" s="61">
        <v>0</v>
      </c>
      <c r="E20" s="61">
        <v>0</v>
      </c>
      <c r="F20" s="61"/>
      <c r="G20" s="62"/>
    </row>
    <row r="21" spans="1:7" s="444" customFormat="1" ht="20.100000000000001" customHeight="1">
      <c r="A21" s="832" t="s">
        <v>581</v>
      </c>
      <c r="B21" s="833"/>
      <c r="C21" s="61">
        <v>0</v>
      </c>
      <c r="D21" s="61"/>
      <c r="E21" s="61"/>
      <c r="F21" s="61"/>
      <c r="G21" s="62"/>
    </row>
    <row r="22" spans="1:7" s="444" customFormat="1" ht="20.100000000000001" customHeight="1">
      <c r="A22" s="586" t="s">
        <v>587</v>
      </c>
      <c r="B22" s="587"/>
      <c r="C22" s="61">
        <v>4054610</v>
      </c>
      <c r="D22" s="61">
        <v>4054610</v>
      </c>
      <c r="E22" s="61">
        <v>4054610</v>
      </c>
      <c r="F22" s="61">
        <v>4054610</v>
      </c>
      <c r="G22" s="62">
        <f>SUM(F22/E22)</f>
        <v>1</v>
      </c>
    </row>
    <row r="23" spans="1:7" s="444" customFormat="1" ht="20.100000000000001" customHeight="1">
      <c r="A23" s="832" t="s">
        <v>581</v>
      </c>
      <c r="B23" s="833"/>
      <c r="C23" s="61">
        <v>4054610</v>
      </c>
      <c r="D23" s="61"/>
      <c r="E23" s="61"/>
      <c r="F23" s="61"/>
      <c r="G23" s="62"/>
    </row>
    <row r="24" spans="1:7" s="444" customFormat="1" ht="20.100000000000001" customHeight="1">
      <c r="A24" s="586" t="s">
        <v>289</v>
      </c>
      <c r="B24" s="63">
        <f>SUM(C11-C12+C13-C14+C15+C16-C17+C18-C19+C20-C21+C22-C23)</f>
        <v>92949858</v>
      </c>
      <c r="C24" s="61"/>
      <c r="D24" s="61"/>
      <c r="E24" s="61"/>
      <c r="F24" s="61"/>
      <c r="G24" s="62"/>
    </row>
    <row r="25" spans="1:7" s="444" customFormat="1" ht="20.100000000000001" customHeight="1" thickBot="1">
      <c r="A25" s="446" t="s">
        <v>769</v>
      </c>
      <c r="B25" s="447"/>
      <c r="C25" s="88">
        <v>984784</v>
      </c>
      <c r="D25" s="88"/>
      <c r="E25" s="88">
        <v>984784</v>
      </c>
      <c r="F25" s="88">
        <v>984784</v>
      </c>
      <c r="G25" s="62">
        <f>SUM(F25/E25)</f>
        <v>1</v>
      </c>
    </row>
    <row r="26" spans="1:7" s="444" customFormat="1" ht="19.5" customHeight="1" thickBot="1">
      <c r="A26" s="863" t="s">
        <v>770</v>
      </c>
      <c r="B26" s="864"/>
      <c r="C26" s="448">
        <f>C10+C12+C14+C15+C16+C19+C21+C23+C25</f>
        <v>280212286</v>
      </c>
      <c r="D26" s="448">
        <f>SUM(D10:D25)</f>
        <v>279227502</v>
      </c>
      <c r="E26" s="448">
        <f>SUM(E10:E25)</f>
        <v>280212286</v>
      </c>
      <c r="F26" s="448">
        <f>SUM(F10:F25)</f>
        <v>280212286</v>
      </c>
      <c r="G26" s="483">
        <f>SUM(F26/E26)</f>
        <v>1</v>
      </c>
    </row>
    <row r="27" spans="1:7" s="444" customFormat="1" ht="20.100000000000001" customHeight="1" thickBot="1">
      <c r="A27" s="586" t="s">
        <v>771</v>
      </c>
      <c r="B27" s="587"/>
      <c r="C27" s="61">
        <v>2048700</v>
      </c>
      <c r="D27" s="61">
        <v>2048700</v>
      </c>
      <c r="E27" s="61">
        <v>2048700</v>
      </c>
      <c r="F27" s="61">
        <v>2048700</v>
      </c>
      <c r="G27" s="62">
        <f>SUM(F27/E27)</f>
        <v>1</v>
      </c>
    </row>
    <row r="28" spans="1:7" s="444" customFormat="1" ht="19.5" customHeight="1" thickBot="1">
      <c r="A28" s="863" t="s">
        <v>772</v>
      </c>
      <c r="B28" s="864"/>
      <c r="C28" s="448">
        <f>SUM(C26:C27)</f>
        <v>282260986</v>
      </c>
      <c r="D28" s="448">
        <f>SUM(D26:D27)</f>
        <v>281276202</v>
      </c>
      <c r="E28" s="448">
        <f>SUM(E26:E27)</f>
        <v>282260986</v>
      </c>
      <c r="F28" s="448">
        <f>SUM(F26:F27)</f>
        <v>282260986</v>
      </c>
      <c r="G28" s="483">
        <f>SUM(F28/E28)</f>
        <v>1</v>
      </c>
    </row>
    <row r="29" spans="1:7" s="444" customFormat="1" ht="19.5" customHeight="1">
      <c r="A29" s="865" t="s">
        <v>588</v>
      </c>
      <c r="B29" s="866"/>
      <c r="C29" s="445"/>
      <c r="D29" s="445"/>
      <c r="E29" s="445"/>
      <c r="F29" s="445"/>
      <c r="G29" s="481"/>
    </row>
    <row r="30" spans="1:7" s="64" customFormat="1" ht="20.100000000000001" customHeight="1">
      <c r="A30" s="586" t="s">
        <v>589</v>
      </c>
      <c r="B30" s="587"/>
      <c r="C30" s="61">
        <f>195614400+61740000+2946000+95892300+30870000+1473000+736500+5155500</f>
        <v>394427700</v>
      </c>
      <c r="D30" s="61">
        <v>388535700</v>
      </c>
      <c r="E30" s="61">
        <f>SUM(C30)</f>
        <v>394427700</v>
      </c>
      <c r="F30" s="61">
        <v>394427700</v>
      </c>
      <c r="G30" s="62">
        <f>SUM(F30/E30)</f>
        <v>1</v>
      </c>
    </row>
    <row r="31" spans="1:7" s="64" customFormat="1" ht="20.100000000000001" customHeight="1">
      <c r="A31" s="586" t="s">
        <v>590</v>
      </c>
      <c r="B31" s="587"/>
      <c r="C31" s="61"/>
      <c r="D31" s="61"/>
      <c r="E31" s="61"/>
      <c r="F31" s="61"/>
      <c r="G31" s="62"/>
    </row>
    <row r="32" spans="1:7" s="64" customFormat="1" ht="20.100000000000001" customHeight="1">
      <c r="A32" s="586" t="s">
        <v>591</v>
      </c>
      <c r="B32" s="587"/>
      <c r="C32" s="61">
        <f>39869600+19689700+81700+1171033</f>
        <v>60812033</v>
      </c>
      <c r="D32" s="61">
        <v>59559300</v>
      </c>
      <c r="E32" s="61">
        <f>SUM(C32)</f>
        <v>60812033</v>
      </c>
      <c r="F32" s="61">
        <v>60812033</v>
      </c>
      <c r="G32" s="62">
        <f t="shared" ref="G32:G33" si="0">SUM(F32/E32)</f>
        <v>1</v>
      </c>
    </row>
    <row r="33" spans="1:7" s="64" customFormat="1" ht="20.100000000000001" customHeight="1">
      <c r="A33" s="586" t="s">
        <v>592</v>
      </c>
      <c r="B33" s="587"/>
      <c r="C33" s="61">
        <f>10025000+2926000+2561868-1203000+2443836</f>
        <v>16753704</v>
      </c>
      <c r="D33" s="61">
        <v>12951000</v>
      </c>
      <c r="E33" s="61">
        <f>SUM(C33)</f>
        <v>16753704</v>
      </c>
      <c r="F33" s="61">
        <v>16753704</v>
      </c>
      <c r="G33" s="62">
        <f t="shared" si="0"/>
        <v>1</v>
      </c>
    </row>
    <row r="34" spans="1:7" s="64" customFormat="1" ht="20.100000000000001" customHeight="1" thickBot="1">
      <c r="A34" s="446" t="s">
        <v>593</v>
      </c>
      <c r="B34" s="449"/>
      <c r="C34" s="88"/>
      <c r="D34" s="88"/>
      <c r="E34" s="88"/>
      <c r="F34" s="88"/>
      <c r="G34" s="482"/>
    </row>
    <row r="35" spans="1:7" s="64" customFormat="1" ht="20.100000000000001" customHeight="1" thickBot="1">
      <c r="A35" s="863" t="s">
        <v>588</v>
      </c>
      <c r="B35" s="864"/>
      <c r="C35" s="448">
        <f>SUM(C30:C34)</f>
        <v>471993437</v>
      </c>
      <c r="D35" s="448">
        <f>SUM(D30:D34)</f>
        <v>461046000</v>
      </c>
      <c r="E35" s="448">
        <f>SUM(E30:E34)</f>
        <v>471993437</v>
      </c>
      <c r="F35" s="448">
        <f>SUM(F30:F34)</f>
        <v>471993437</v>
      </c>
      <c r="G35" s="483">
        <f>SUM(F35/E35)</f>
        <v>1</v>
      </c>
    </row>
    <row r="36" spans="1:7" s="64" customFormat="1" ht="20.100000000000001" customHeight="1">
      <c r="A36" s="865" t="s">
        <v>594</v>
      </c>
      <c r="B36" s="866"/>
      <c r="C36" s="445"/>
      <c r="D36" s="445"/>
      <c r="E36" s="445"/>
      <c r="F36" s="445"/>
      <c r="G36" s="481"/>
    </row>
    <row r="37" spans="1:7" s="64" customFormat="1" ht="20.100000000000001" customHeight="1">
      <c r="A37" s="70" t="s">
        <v>290</v>
      </c>
      <c r="B37" s="591"/>
      <c r="C37" s="450"/>
      <c r="D37" s="450"/>
      <c r="E37" s="450"/>
      <c r="F37" s="450"/>
      <c r="G37" s="484"/>
    </row>
    <row r="38" spans="1:7" s="64" customFormat="1" ht="20.100000000000001" customHeight="1">
      <c r="A38" s="846" t="s">
        <v>595</v>
      </c>
      <c r="B38" s="847"/>
      <c r="C38" s="61">
        <v>80695000</v>
      </c>
      <c r="D38" s="61">
        <v>80695000</v>
      </c>
      <c r="E38" s="61">
        <f>SUM(C38)</f>
        <v>80695000</v>
      </c>
      <c r="F38" s="61">
        <v>80695000</v>
      </c>
      <c r="G38" s="62">
        <f>SUM(F38/E38)</f>
        <v>1</v>
      </c>
    </row>
    <row r="39" spans="1:7" s="64" customFormat="1" ht="20.100000000000001" customHeight="1">
      <c r="A39" s="586" t="s">
        <v>596</v>
      </c>
      <c r="B39" s="587"/>
      <c r="C39" s="61">
        <f>SUM(B40:B50)</f>
        <v>147371393</v>
      </c>
      <c r="D39" s="61">
        <v>138110644</v>
      </c>
      <c r="E39" s="61">
        <f>SUM(C39)</f>
        <v>147371393</v>
      </c>
      <c r="F39" s="61">
        <v>147371393</v>
      </c>
      <c r="G39" s="62">
        <f>SUM(F39/E39)</f>
        <v>1</v>
      </c>
    </row>
    <row r="40" spans="1:7" s="64" customFormat="1" ht="20.100000000000001" customHeight="1">
      <c r="A40" s="586" t="s">
        <v>597</v>
      </c>
      <c r="B40" s="65">
        <v>16660000</v>
      </c>
      <c r="C40" s="61"/>
      <c r="D40" s="61"/>
      <c r="E40" s="61"/>
      <c r="F40" s="61"/>
      <c r="G40" s="62"/>
    </row>
    <row r="41" spans="1:7" s="64" customFormat="1" ht="20.100000000000001" customHeight="1">
      <c r="A41" s="586" t="s">
        <v>598</v>
      </c>
      <c r="B41" s="65">
        <v>24750000</v>
      </c>
      <c r="C41" s="61"/>
      <c r="D41" s="61"/>
      <c r="E41" s="61"/>
      <c r="F41" s="61"/>
      <c r="G41" s="62"/>
    </row>
    <row r="42" spans="1:7" s="64" customFormat="1" ht="20.100000000000001" customHeight="1">
      <c r="A42" s="586" t="s">
        <v>599</v>
      </c>
      <c r="B42" s="65">
        <f>29778144-487168+1522400</f>
        <v>30813376</v>
      </c>
      <c r="C42" s="61"/>
      <c r="D42" s="61"/>
      <c r="E42" s="61"/>
      <c r="F42" s="61"/>
      <c r="G42" s="62"/>
    </row>
    <row r="43" spans="1:7" s="64" customFormat="1" ht="20.100000000000001" customHeight="1">
      <c r="A43" s="586" t="s">
        <v>600</v>
      </c>
      <c r="B43" s="65">
        <f>175000-100000-25000</f>
        <v>50000</v>
      </c>
      <c r="C43" s="61"/>
      <c r="D43" s="61"/>
      <c r="E43" s="61"/>
      <c r="F43" s="61"/>
      <c r="G43" s="62"/>
    </row>
    <row r="44" spans="1:7" s="64" customFormat="1" ht="20.100000000000001" customHeight="1">
      <c r="A44" s="586" t="s">
        <v>601</v>
      </c>
      <c r="B44" s="65">
        <f>42042000+2145000</f>
        <v>44187000</v>
      </c>
      <c r="C44" s="61"/>
      <c r="D44" s="61"/>
      <c r="E44" s="61"/>
      <c r="F44" s="61"/>
      <c r="G44" s="62"/>
    </row>
    <row r="45" spans="1:7" s="64" customFormat="1" ht="20.100000000000001" customHeight="1">
      <c r="A45" s="586" t="s">
        <v>602</v>
      </c>
      <c r="B45" s="65">
        <v>3100000</v>
      </c>
      <c r="C45" s="61"/>
      <c r="D45" s="61"/>
      <c r="E45" s="61"/>
      <c r="F45" s="61"/>
      <c r="G45" s="62"/>
    </row>
    <row r="46" spans="1:7" s="64" customFormat="1" ht="20.100000000000001" customHeight="1">
      <c r="A46" s="586" t="s">
        <v>603</v>
      </c>
      <c r="B46" s="65">
        <f>8665500-654000</f>
        <v>8011500</v>
      </c>
      <c r="C46" s="61"/>
      <c r="D46" s="61"/>
      <c r="E46" s="61"/>
      <c r="F46" s="61"/>
      <c r="G46" s="62"/>
    </row>
    <row r="47" spans="1:7" s="64" customFormat="1" ht="20.100000000000001" customHeight="1">
      <c r="A47" s="586" t="s">
        <v>604</v>
      </c>
      <c r="B47" s="65">
        <f>5500000-550000</f>
        <v>4950000</v>
      </c>
      <c r="C47" s="61"/>
      <c r="D47" s="61"/>
      <c r="E47" s="61"/>
      <c r="F47" s="61"/>
      <c r="G47" s="62"/>
    </row>
    <row r="48" spans="1:7" s="64" customFormat="1" ht="20.100000000000001" customHeight="1">
      <c r="A48" s="586" t="s">
        <v>605</v>
      </c>
      <c r="B48" s="65">
        <v>4464000</v>
      </c>
      <c r="C48" s="61"/>
      <c r="D48" s="61"/>
      <c r="E48" s="61"/>
      <c r="F48" s="61"/>
      <c r="G48" s="62"/>
    </row>
    <row r="49" spans="1:7" s="64" customFormat="1" ht="20.100000000000001" customHeight="1">
      <c r="A49" s="586" t="s">
        <v>606</v>
      </c>
      <c r="B49" s="65">
        <f>2976000+744000</f>
        <v>3720000</v>
      </c>
      <c r="C49" s="61"/>
      <c r="D49" s="61"/>
      <c r="E49" s="61"/>
      <c r="F49" s="61"/>
      <c r="G49" s="62"/>
    </row>
    <row r="50" spans="1:7" s="64" customFormat="1" ht="20.100000000000001" customHeight="1">
      <c r="A50" s="586" t="s">
        <v>773</v>
      </c>
      <c r="B50" s="65">
        <v>6665517</v>
      </c>
      <c r="C50" s="61"/>
      <c r="D50" s="61"/>
      <c r="E50" s="61"/>
      <c r="F50" s="61"/>
      <c r="G50" s="62"/>
    </row>
    <row r="51" spans="1:7" s="64" customFormat="1" ht="20.100000000000001" customHeight="1">
      <c r="A51" s="586" t="s">
        <v>607</v>
      </c>
      <c r="B51" s="587"/>
      <c r="C51" s="61">
        <f>SUM(B53:B54)</f>
        <v>344853000</v>
      </c>
      <c r="D51" s="61">
        <v>330531000</v>
      </c>
      <c r="E51" s="61">
        <f>SUM(C51)</f>
        <v>344853000</v>
      </c>
      <c r="F51" s="61">
        <v>344853000</v>
      </c>
      <c r="G51" s="62">
        <f>SUM(F51/E51)</f>
        <v>1</v>
      </c>
    </row>
    <row r="52" spans="1:7" s="64" customFormat="1" ht="20.100000000000001" customHeight="1">
      <c r="A52" s="846" t="s">
        <v>608</v>
      </c>
      <c r="B52" s="847"/>
      <c r="C52" s="61"/>
      <c r="D52" s="61"/>
      <c r="E52" s="61"/>
      <c r="F52" s="61"/>
      <c r="G52" s="62"/>
    </row>
    <row r="53" spans="1:7" s="64" customFormat="1" ht="20.100000000000001" customHeight="1">
      <c r="A53" s="586" t="s">
        <v>609</v>
      </c>
      <c r="B53" s="66">
        <f>222144000+2848000</f>
        <v>224992000</v>
      </c>
      <c r="C53" s="61"/>
      <c r="D53" s="61"/>
      <c r="E53" s="61"/>
      <c r="F53" s="61"/>
      <c r="G53" s="62"/>
    </row>
    <row r="54" spans="1:7" s="64" customFormat="1" ht="20.100000000000001" customHeight="1">
      <c r="A54" s="586" t="s">
        <v>610</v>
      </c>
      <c r="B54" s="66">
        <f>108387000+11474000</f>
        <v>119861000</v>
      </c>
      <c r="C54" s="61"/>
      <c r="D54" s="61"/>
      <c r="E54" s="61"/>
      <c r="F54" s="61"/>
      <c r="G54" s="62"/>
    </row>
    <row r="55" spans="1:7" s="64" customFormat="1" ht="20.100000000000001" customHeight="1">
      <c r="A55" s="586" t="s">
        <v>611</v>
      </c>
      <c r="B55" s="66"/>
      <c r="C55" s="61">
        <f>SUM(B56:B57)</f>
        <v>192261857</v>
      </c>
      <c r="D55" s="61">
        <v>205280329</v>
      </c>
      <c r="E55" s="61">
        <f>SUM(C55)</f>
        <v>192261857</v>
      </c>
      <c r="F55" s="61">
        <v>192261857</v>
      </c>
      <c r="G55" s="62">
        <f>SUM(F55/E55)</f>
        <v>1</v>
      </c>
    </row>
    <row r="56" spans="1:7" s="64" customFormat="1" ht="20.100000000000001" customHeight="1">
      <c r="A56" s="586" t="s">
        <v>612</v>
      </c>
      <c r="B56" s="66">
        <f>59736000-5966000-551000</f>
        <v>53219000</v>
      </c>
      <c r="C56" s="61"/>
      <c r="D56" s="61"/>
      <c r="E56" s="61"/>
      <c r="F56" s="61"/>
      <c r="G56" s="62"/>
    </row>
    <row r="57" spans="1:7" s="64" customFormat="1" ht="20.100000000000001" customHeight="1">
      <c r="A57" s="586" t="s">
        <v>613</v>
      </c>
      <c r="B57" s="66">
        <f>145544329-9764453+3262981</f>
        <v>139042857</v>
      </c>
      <c r="C57" s="61"/>
      <c r="D57" s="61"/>
      <c r="E57" s="61"/>
      <c r="F57" s="61"/>
      <c r="G57" s="62"/>
    </row>
    <row r="58" spans="1:7" s="64" customFormat="1" ht="20.100000000000001" customHeight="1">
      <c r="A58" s="586" t="s">
        <v>614</v>
      </c>
      <c r="B58" s="66">
        <f>14002028+1229798-1428170</f>
        <v>13803656</v>
      </c>
      <c r="C58" s="61">
        <f>SUM(B58)</f>
        <v>13803656</v>
      </c>
      <c r="D58" s="61">
        <v>14002028</v>
      </c>
      <c r="E58" s="61">
        <f>SUM(C58)</f>
        <v>13803656</v>
      </c>
      <c r="F58" s="61">
        <v>13803656</v>
      </c>
      <c r="G58" s="62">
        <f t="shared" ref="G58:G59" si="1">SUM(F58/E58)</f>
        <v>1</v>
      </c>
    </row>
    <row r="59" spans="1:7" s="64" customFormat="1" ht="20.100000000000001" customHeight="1">
      <c r="A59" s="586" t="s">
        <v>774</v>
      </c>
      <c r="B59" s="66"/>
      <c r="C59" s="61">
        <f>SUM(B60:B64)</f>
        <v>93510200</v>
      </c>
      <c r="D59" s="61">
        <v>86214600</v>
      </c>
      <c r="E59" s="61">
        <f>SUM(C59)</f>
        <v>93510200</v>
      </c>
      <c r="F59" s="61">
        <v>93510200</v>
      </c>
      <c r="G59" s="62">
        <f t="shared" si="1"/>
        <v>1</v>
      </c>
    </row>
    <row r="60" spans="1:7" s="64" customFormat="1" ht="20.100000000000001" customHeight="1">
      <c r="A60" s="586" t="s">
        <v>775</v>
      </c>
      <c r="B60" s="66">
        <v>15466500</v>
      </c>
      <c r="C60" s="61"/>
      <c r="D60" s="61"/>
      <c r="E60" s="61"/>
      <c r="F60" s="61"/>
      <c r="G60" s="62"/>
    </row>
    <row r="61" spans="1:7" s="64" customFormat="1" ht="20.100000000000001" customHeight="1">
      <c r="A61" s="586" t="s">
        <v>776</v>
      </c>
      <c r="B61" s="66"/>
      <c r="C61" s="61"/>
      <c r="D61" s="61"/>
      <c r="E61" s="61"/>
      <c r="F61" s="61"/>
      <c r="G61" s="62"/>
    </row>
    <row r="62" spans="1:7" s="64" customFormat="1" ht="20.100000000000001" customHeight="1">
      <c r="A62" s="586" t="s">
        <v>777</v>
      </c>
      <c r="B62" s="66">
        <f>49983100+1197200-598600</f>
        <v>50581700</v>
      </c>
      <c r="C62" s="61"/>
      <c r="D62" s="61"/>
      <c r="E62" s="61"/>
      <c r="F62" s="61"/>
      <c r="G62" s="62"/>
    </row>
    <row r="63" spans="1:7" s="64" customFormat="1" ht="20.100000000000001" customHeight="1">
      <c r="A63" s="586" t="s">
        <v>778</v>
      </c>
      <c r="B63" s="594"/>
      <c r="C63" s="88"/>
      <c r="D63" s="61"/>
      <c r="E63" s="61"/>
      <c r="F63" s="61"/>
      <c r="G63" s="62"/>
    </row>
    <row r="64" spans="1:7" s="64" customFormat="1" ht="20.100000000000001" customHeight="1">
      <c r="A64" s="586" t="s">
        <v>779</v>
      </c>
      <c r="B64" s="68">
        <f>20765000+9005000-2308000</f>
        <v>27462000</v>
      </c>
      <c r="C64" s="69"/>
      <c r="D64" s="75"/>
      <c r="E64" s="75"/>
      <c r="F64" s="75"/>
      <c r="G64" s="78"/>
    </row>
    <row r="65" spans="1:7" s="64" customFormat="1" ht="20.100000000000001" customHeight="1" thickBot="1">
      <c r="A65" s="586" t="s">
        <v>615</v>
      </c>
      <c r="B65" s="595"/>
      <c r="C65" s="596">
        <f>34035422+20691626+27865228</f>
        <v>82592276</v>
      </c>
      <c r="D65" s="458"/>
      <c r="E65" s="61">
        <f>SUM(C65)</f>
        <v>82592276</v>
      </c>
      <c r="F65" s="458">
        <v>82592276</v>
      </c>
      <c r="G65" s="62">
        <f>SUM(F65/E65)</f>
        <v>1</v>
      </c>
    </row>
    <row r="66" spans="1:7" s="64" customFormat="1" ht="21" customHeight="1">
      <c r="A66" s="848" t="s">
        <v>594</v>
      </c>
      <c r="B66" s="849"/>
      <c r="C66" s="452">
        <f>SUM(C38:C65)</f>
        <v>955087382</v>
      </c>
      <c r="D66" s="452">
        <f>SUM(D38:D65)</f>
        <v>854833601</v>
      </c>
      <c r="E66" s="452">
        <f t="shared" ref="E66:F66" si="2">SUM(E38:E65)</f>
        <v>955087382</v>
      </c>
      <c r="F66" s="452">
        <f t="shared" si="2"/>
        <v>955087382</v>
      </c>
      <c r="G66" s="612">
        <f>SUM(F66/E66)</f>
        <v>1</v>
      </c>
    </row>
    <row r="67" spans="1:7" s="64" customFormat="1" ht="20.100000000000001" customHeight="1" thickBot="1">
      <c r="A67" s="453" t="s">
        <v>290</v>
      </c>
      <c r="B67" s="454"/>
      <c r="C67" s="455"/>
      <c r="D67" s="455"/>
      <c r="E67" s="455"/>
      <c r="F67" s="455"/>
      <c r="G67" s="613"/>
    </row>
    <row r="68" spans="1:7" s="64" customFormat="1" ht="20.100000000000001" customHeight="1">
      <c r="A68" s="852" t="s">
        <v>616</v>
      </c>
      <c r="B68" s="853"/>
      <c r="C68" s="72"/>
      <c r="D68" s="72"/>
      <c r="E68" s="72"/>
      <c r="F68" s="72"/>
      <c r="G68" s="73"/>
    </row>
    <row r="69" spans="1:7" s="444" customFormat="1" ht="20.100000000000001" customHeight="1">
      <c r="A69" s="456" t="s">
        <v>617</v>
      </c>
      <c r="B69" s="457">
        <v>24699730</v>
      </c>
      <c r="C69" s="458"/>
      <c r="D69" s="458">
        <v>24699730</v>
      </c>
      <c r="E69" s="458">
        <v>24699730</v>
      </c>
      <c r="F69" s="458">
        <v>24699730</v>
      </c>
      <c r="G69" s="485">
        <f t="shared" ref="G69" si="3">SUM(F69/E69)</f>
        <v>1</v>
      </c>
    </row>
    <row r="70" spans="1:7" s="444" customFormat="1" ht="19.5" customHeight="1">
      <c r="A70" s="586" t="s">
        <v>618</v>
      </c>
      <c r="B70" s="66"/>
      <c r="C70" s="61"/>
      <c r="D70" s="61"/>
      <c r="E70" s="61"/>
      <c r="F70" s="61"/>
      <c r="G70" s="62"/>
    </row>
    <row r="71" spans="1:7" s="444" customFormat="1" ht="20.100000000000001" customHeight="1">
      <c r="A71" s="586" t="s">
        <v>619</v>
      </c>
      <c r="B71" s="67">
        <v>18262000</v>
      </c>
      <c r="C71" s="61"/>
      <c r="D71" s="61">
        <v>18262000</v>
      </c>
      <c r="E71" s="61">
        <v>18262000</v>
      </c>
      <c r="F71" s="61">
        <v>18262000</v>
      </c>
      <c r="G71" s="62">
        <f t="shared" ref="G71" si="4">SUM(F71/E71)</f>
        <v>1</v>
      </c>
    </row>
    <row r="72" spans="1:7" s="444" customFormat="1" ht="20.100000000000001" customHeight="1">
      <c r="A72" s="446" t="s">
        <v>620</v>
      </c>
      <c r="B72" s="68"/>
      <c r="C72" s="88"/>
      <c r="D72" s="88"/>
      <c r="E72" s="88"/>
      <c r="F72" s="88"/>
      <c r="G72" s="482"/>
    </row>
    <row r="73" spans="1:7" s="444" customFormat="1" ht="20.100000000000001" customHeight="1" thickBot="1">
      <c r="A73" s="446" t="s">
        <v>621</v>
      </c>
      <c r="B73" s="68">
        <f>4040154+4599226</f>
        <v>8639380</v>
      </c>
      <c r="C73" s="88"/>
      <c r="D73" s="88"/>
      <c r="E73" s="88">
        <f>SUM(B73)</f>
        <v>8639380</v>
      </c>
      <c r="F73" s="88">
        <v>8639380</v>
      </c>
      <c r="G73" s="62">
        <f t="shared" ref="G73" si="5">SUM(F73/E73)</f>
        <v>1</v>
      </c>
    </row>
    <row r="74" spans="1:7" s="444" customFormat="1" ht="20.100000000000001" customHeight="1" thickBot="1">
      <c r="A74" s="826" t="s">
        <v>616</v>
      </c>
      <c r="B74" s="827"/>
      <c r="C74" s="448">
        <f>SUM(B69:B73)</f>
        <v>51601110</v>
      </c>
      <c r="D74" s="448">
        <f>SUM(D69:D73)</f>
        <v>42961730</v>
      </c>
      <c r="E74" s="448">
        <f>SUM(E69:E73)</f>
        <v>51601110</v>
      </c>
      <c r="F74" s="448">
        <f>SUM(F69:F73)</f>
        <v>51601110</v>
      </c>
      <c r="G74" s="483">
        <f>SUM(F74/E74)</f>
        <v>1</v>
      </c>
    </row>
    <row r="75" spans="1:7" s="444" customFormat="1" ht="20.100000000000001" customHeight="1">
      <c r="A75" s="446" t="s">
        <v>780</v>
      </c>
      <c r="B75" s="68">
        <f>3184338+865788+1639429-540519</f>
        <v>5149036</v>
      </c>
      <c r="C75" s="88"/>
      <c r="D75" s="88"/>
      <c r="E75" s="88">
        <f>SUM(B75)</f>
        <v>5149036</v>
      </c>
      <c r="F75" s="88">
        <v>5149036</v>
      </c>
      <c r="G75" s="482">
        <f>SUM(F75/E75)</f>
        <v>1</v>
      </c>
    </row>
    <row r="76" spans="1:7" s="444" customFormat="1" ht="20.100000000000001" customHeight="1">
      <c r="A76" s="586" t="s">
        <v>781</v>
      </c>
      <c r="B76" s="67">
        <f>10000000+20000000</f>
        <v>30000000</v>
      </c>
      <c r="C76" s="61"/>
      <c r="D76" s="61"/>
      <c r="E76" s="88">
        <f t="shared" ref="E76:E78" si="6">SUM(B76)</f>
        <v>30000000</v>
      </c>
      <c r="F76" s="88">
        <v>30000000</v>
      </c>
      <c r="G76" s="62">
        <f t="shared" ref="G76:G78" si="7">SUM(F76/E76)</f>
        <v>1</v>
      </c>
    </row>
    <row r="77" spans="1:7" s="444" customFormat="1" ht="20.100000000000001" customHeight="1">
      <c r="A77" s="586" t="s">
        <v>782</v>
      </c>
      <c r="B77" s="68">
        <v>11964000</v>
      </c>
      <c r="C77" s="88"/>
      <c r="D77" s="88"/>
      <c r="E77" s="88">
        <f t="shared" si="6"/>
        <v>11964000</v>
      </c>
      <c r="F77" s="88">
        <v>11964000</v>
      </c>
      <c r="G77" s="62">
        <f t="shared" si="7"/>
        <v>1</v>
      </c>
    </row>
    <row r="78" spans="1:7" s="444" customFormat="1" ht="20.100000000000001" customHeight="1" thickBot="1">
      <c r="A78" s="586" t="s">
        <v>783</v>
      </c>
      <c r="B78" s="68">
        <v>478000</v>
      </c>
      <c r="C78" s="88"/>
      <c r="D78" s="88"/>
      <c r="E78" s="88">
        <f t="shared" si="6"/>
        <v>478000</v>
      </c>
      <c r="F78" s="88">
        <v>478000</v>
      </c>
      <c r="G78" s="62">
        <f t="shared" si="7"/>
        <v>1</v>
      </c>
    </row>
    <row r="79" spans="1:7" s="444" customFormat="1" ht="20.100000000000001" hidden="1" customHeight="1" thickBot="1">
      <c r="A79" s="446"/>
      <c r="B79" s="68"/>
      <c r="C79" s="88"/>
      <c r="D79" s="88"/>
      <c r="E79" s="88"/>
      <c r="F79" s="88"/>
      <c r="G79" s="482"/>
    </row>
    <row r="80" spans="1:7" s="444" customFormat="1" ht="20.100000000000001" hidden="1" customHeight="1" thickBot="1">
      <c r="A80" s="446"/>
      <c r="B80" s="68"/>
      <c r="C80" s="88"/>
      <c r="D80" s="88"/>
      <c r="E80" s="88"/>
      <c r="F80" s="88"/>
      <c r="G80" s="482"/>
    </row>
    <row r="81" spans="1:7" s="444" customFormat="1" ht="20.100000000000001" hidden="1" customHeight="1" thickBot="1">
      <c r="A81" s="446"/>
      <c r="B81" s="68"/>
      <c r="C81" s="88"/>
      <c r="D81" s="88"/>
      <c r="E81" s="88"/>
      <c r="F81" s="88"/>
      <c r="G81" s="482"/>
    </row>
    <row r="82" spans="1:7" s="444" customFormat="1" ht="20.100000000000001" customHeight="1" thickBot="1">
      <c r="A82" s="826" t="s">
        <v>622</v>
      </c>
      <c r="B82" s="827"/>
      <c r="C82" s="448">
        <f>SUM(B75:B81)</f>
        <v>47591036</v>
      </c>
      <c r="D82" s="448">
        <v>0</v>
      </c>
      <c r="E82" s="448">
        <f>SUM(E75:E81)</f>
        <v>47591036</v>
      </c>
      <c r="F82" s="448">
        <f>SUM(F75:F81)</f>
        <v>47591036</v>
      </c>
      <c r="G82" s="483">
        <f>SUM(F82/E82)</f>
        <v>1</v>
      </c>
    </row>
    <row r="83" spans="1:7" s="444" customFormat="1" ht="31.5" customHeight="1" thickBot="1">
      <c r="A83" s="850" t="s">
        <v>577</v>
      </c>
      <c r="B83" s="851"/>
      <c r="C83" s="442"/>
      <c r="D83" s="443" t="s">
        <v>283</v>
      </c>
      <c r="E83" s="443" t="s">
        <v>284</v>
      </c>
      <c r="F83" s="443" t="s">
        <v>285</v>
      </c>
      <c r="G83" s="480" t="s">
        <v>286</v>
      </c>
    </row>
    <row r="84" spans="1:7" s="444" customFormat="1" ht="20.100000000000001" customHeight="1" thickBot="1">
      <c r="A84" s="446" t="s">
        <v>784</v>
      </c>
      <c r="B84" s="68">
        <v>81600</v>
      </c>
      <c r="C84" s="88"/>
      <c r="D84" s="88"/>
      <c r="E84" s="88">
        <f>SUM(B84)</f>
        <v>81600</v>
      </c>
      <c r="F84" s="88">
        <v>81600</v>
      </c>
      <c r="G84" s="482">
        <f>SUM(F84/E84)</f>
        <v>1</v>
      </c>
    </row>
    <row r="85" spans="1:7" s="444" customFormat="1" ht="20.100000000000001" customHeight="1" thickBot="1">
      <c r="A85" s="826" t="s">
        <v>623</v>
      </c>
      <c r="B85" s="827"/>
      <c r="C85" s="448">
        <f>SUM(B84)</f>
        <v>81600</v>
      </c>
      <c r="D85" s="448">
        <f>SUM(D79:D82)</f>
        <v>0</v>
      </c>
      <c r="E85" s="448">
        <f>SUM(E84)</f>
        <v>81600</v>
      </c>
      <c r="F85" s="448">
        <f>SUM(F84)</f>
        <v>81600</v>
      </c>
      <c r="G85" s="483">
        <f>SUM(F85/E85)</f>
        <v>1</v>
      </c>
    </row>
    <row r="86" spans="1:7" s="444" customFormat="1" ht="20.100000000000001" customHeight="1">
      <c r="A86" s="856" t="s">
        <v>291</v>
      </c>
      <c r="B86" s="857"/>
      <c r="C86" s="459"/>
      <c r="D86" s="460">
        <f>D26+D35+D66+D74+D82+D85</f>
        <v>1638068833</v>
      </c>
      <c r="E86" s="460">
        <f>E28+E35+E66+E74+E82+E85</f>
        <v>1808615551</v>
      </c>
      <c r="F86" s="460">
        <f>F28+F35+F66+F74+F82+F85</f>
        <v>1808615551</v>
      </c>
      <c r="G86" s="606">
        <f>SUM(F86/E86)</f>
        <v>1</v>
      </c>
    </row>
    <row r="87" spans="1:7" s="444" customFormat="1" ht="20.100000000000001" customHeight="1">
      <c r="A87" s="854" t="s">
        <v>292</v>
      </c>
      <c r="B87" s="855"/>
      <c r="C87" s="462"/>
      <c r="D87" s="463">
        <v>8560000</v>
      </c>
      <c r="E87" s="463">
        <v>78048118</v>
      </c>
      <c r="F87" s="463">
        <v>28293084</v>
      </c>
      <c r="G87" s="606">
        <f t="shared" ref="G87:G88" si="8">SUM(F87/E87)</f>
        <v>0.36250821576504894</v>
      </c>
    </row>
    <row r="88" spans="1:7" s="444" customFormat="1" ht="20.100000000000001" customHeight="1" thickBot="1">
      <c r="A88" s="854" t="s">
        <v>624</v>
      </c>
      <c r="B88" s="855"/>
      <c r="C88" s="464"/>
      <c r="D88" s="465">
        <v>0</v>
      </c>
      <c r="E88" s="465">
        <v>307517</v>
      </c>
      <c r="F88" s="465">
        <v>307517</v>
      </c>
      <c r="G88" s="606">
        <f t="shared" si="8"/>
        <v>1</v>
      </c>
    </row>
    <row r="89" spans="1:7" s="444" customFormat="1" ht="20.100000000000001" customHeight="1" thickBot="1">
      <c r="A89" s="590" t="s">
        <v>293</v>
      </c>
      <c r="B89" s="466"/>
      <c r="C89" s="467"/>
      <c r="D89" s="468">
        <f>SUM(D86:D88)</f>
        <v>1646628833</v>
      </c>
      <c r="E89" s="468">
        <f>SUM(E86:E88)</f>
        <v>1886971186</v>
      </c>
      <c r="F89" s="468">
        <f>SUM(F86:F88)</f>
        <v>1837216152</v>
      </c>
      <c r="G89" s="483">
        <f>SUM(F89/E89)</f>
        <v>0.97363232975196046</v>
      </c>
    </row>
    <row r="90" spans="1:7" s="444" customFormat="1" ht="20.100000000000001" customHeight="1" thickBot="1">
      <c r="A90" s="858" t="s">
        <v>294</v>
      </c>
      <c r="B90" s="859"/>
      <c r="C90" s="469"/>
      <c r="D90" s="448">
        <f>215340000</f>
        <v>215340000</v>
      </c>
      <c r="E90" s="448">
        <f>215340000+289400000+30535539+554050000+400000000</f>
        <v>1489325539</v>
      </c>
      <c r="F90" s="448">
        <v>1486825539</v>
      </c>
      <c r="G90" s="483">
        <f>SUM(F90/E90)</f>
        <v>0.99832138781311797</v>
      </c>
    </row>
    <row r="91" spans="1:7" s="444" customFormat="1" ht="20.100000000000001" customHeight="1">
      <c r="A91" s="828" t="s">
        <v>295</v>
      </c>
      <c r="B91" s="829"/>
      <c r="C91" s="71"/>
      <c r="D91" s="72"/>
      <c r="E91" s="72"/>
      <c r="F91" s="72"/>
      <c r="G91" s="73"/>
    </row>
    <row r="92" spans="1:7" s="444" customFormat="1" ht="20.100000000000001" customHeight="1">
      <c r="A92" s="830" t="s">
        <v>296</v>
      </c>
      <c r="B92" s="831"/>
      <c r="C92" s="74"/>
      <c r="D92" s="61"/>
      <c r="E92" s="61"/>
      <c r="F92" s="61"/>
      <c r="G92" s="62"/>
    </row>
    <row r="93" spans="1:7" s="444" customFormat="1" ht="20.100000000000001" customHeight="1">
      <c r="A93" s="832" t="s">
        <v>297</v>
      </c>
      <c r="B93" s="833"/>
      <c r="C93" s="61"/>
      <c r="D93" s="61">
        <v>590400000</v>
      </c>
      <c r="E93" s="61">
        <v>630400000</v>
      </c>
      <c r="F93" s="61">
        <f>612560944+5145360</f>
        <v>617706304</v>
      </c>
      <c r="G93" s="62">
        <f>SUM(F93/E93)</f>
        <v>0.97986406091370559</v>
      </c>
    </row>
    <row r="94" spans="1:7" s="444" customFormat="1" ht="20.100000000000001" customHeight="1">
      <c r="A94" s="832" t="s">
        <v>298</v>
      </c>
      <c r="B94" s="833"/>
      <c r="C94" s="61">
        <f>B95+B96</f>
        <v>625400000</v>
      </c>
      <c r="D94" s="61"/>
      <c r="E94" s="61"/>
      <c r="F94" s="61"/>
      <c r="G94" s="62"/>
    </row>
    <row r="95" spans="1:7" s="444" customFormat="1" ht="20.100000000000001" customHeight="1">
      <c r="A95" s="586" t="s">
        <v>299</v>
      </c>
      <c r="B95" s="76">
        <v>625000000</v>
      </c>
      <c r="C95" s="61"/>
      <c r="D95" s="61"/>
      <c r="E95" s="61"/>
      <c r="F95" s="61"/>
      <c r="G95" s="62"/>
    </row>
    <row r="96" spans="1:7" s="444" customFormat="1" ht="20.100000000000001" customHeight="1">
      <c r="A96" s="586" t="s">
        <v>300</v>
      </c>
      <c r="B96" s="76">
        <v>400000</v>
      </c>
      <c r="C96" s="61"/>
      <c r="D96" s="61"/>
      <c r="E96" s="61"/>
      <c r="F96" s="61"/>
      <c r="G96" s="62"/>
    </row>
    <row r="97" spans="1:7" s="444" customFormat="1" ht="20.100000000000001" customHeight="1">
      <c r="A97" s="832" t="s">
        <v>301</v>
      </c>
      <c r="B97" s="833"/>
      <c r="C97" s="61">
        <v>5000000</v>
      </c>
      <c r="D97" s="61"/>
      <c r="E97" s="61"/>
      <c r="F97" s="61"/>
      <c r="G97" s="62"/>
    </row>
    <row r="98" spans="1:7" s="444" customFormat="1" ht="20.100000000000001" customHeight="1">
      <c r="A98" s="586" t="s">
        <v>302</v>
      </c>
      <c r="B98" s="77"/>
      <c r="C98" s="61"/>
      <c r="D98" s="61">
        <f>SUM(C99+C100)</f>
        <v>42030000</v>
      </c>
      <c r="E98" s="61">
        <v>42030000</v>
      </c>
      <c r="F98" s="61">
        <f>518738+43895860</f>
        <v>44414598</v>
      </c>
      <c r="G98" s="62">
        <f>SUM(F98/E98)</f>
        <v>1.0567356174161313</v>
      </c>
    </row>
    <row r="99" spans="1:7" s="444" customFormat="1" ht="20.100000000000001" customHeight="1">
      <c r="A99" s="844" t="s">
        <v>303</v>
      </c>
      <c r="B99" s="845"/>
      <c r="C99" s="61">
        <v>42000000</v>
      </c>
      <c r="D99" s="75"/>
      <c r="E99" s="75"/>
      <c r="F99" s="75"/>
      <c r="G99" s="78"/>
    </row>
    <row r="100" spans="1:7" s="444" customFormat="1" ht="20.100000000000001" customHeight="1">
      <c r="A100" s="844" t="s">
        <v>304</v>
      </c>
      <c r="B100" s="845"/>
      <c r="C100" s="61">
        <v>30000</v>
      </c>
      <c r="D100" s="75"/>
      <c r="E100" s="75"/>
      <c r="F100" s="75"/>
      <c r="G100" s="78"/>
    </row>
    <row r="101" spans="1:7" s="444" customFormat="1" ht="20.100000000000001" customHeight="1">
      <c r="A101" s="832" t="s">
        <v>305</v>
      </c>
      <c r="B101" s="833"/>
      <c r="C101" s="61"/>
      <c r="D101" s="61">
        <f>SUM(C102+C103)</f>
        <v>1300000</v>
      </c>
      <c r="E101" s="61">
        <v>1300000</v>
      </c>
      <c r="F101" s="61">
        <f>8997793+1795116+3777657</f>
        <v>14570566</v>
      </c>
      <c r="G101" s="62">
        <f>SUM(F101/E101)</f>
        <v>11.208127692307693</v>
      </c>
    </row>
    <row r="102" spans="1:7" s="444" customFormat="1" ht="20.100000000000001" customHeight="1">
      <c r="A102" s="586" t="s">
        <v>306</v>
      </c>
      <c r="B102" s="587"/>
      <c r="C102" s="61">
        <v>1000000</v>
      </c>
      <c r="D102" s="61"/>
      <c r="E102" s="61"/>
      <c r="F102" s="61"/>
      <c r="G102" s="62"/>
    </row>
    <row r="103" spans="1:7" s="444" customFormat="1" ht="20.100000000000001" customHeight="1">
      <c r="A103" s="586" t="s">
        <v>307</v>
      </c>
      <c r="B103" s="587"/>
      <c r="C103" s="61">
        <v>300000</v>
      </c>
      <c r="D103" s="61"/>
      <c r="E103" s="61"/>
      <c r="F103" s="61"/>
      <c r="G103" s="62"/>
    </row>
    <row r="104" spans="1:7" s="444" customFormat="1" ht="20.100000000000001" customHeight="1">
      <c r="A104" s="446" t="s">
        <v>785</v>
      </c>
      <c r="B104" s="79"/>
      <c r="C104" s="72">
        <v>3000000</v>
      </c>
      <c r="D104" s="72">
        <f>SUM(C104)</f>
        <v>3000000</v>
      </c>
      <c r="E104" s="72">
        <v>3000000</v>
      </c>
      <c r="F104" s="72">
        <v>1472831</v>
      </c>
      <c r="G104" s="62">
        <f>SUM(F104/E104)</f>
        <v>0.49094366666666667</v>
      </c>
    </row>
    <row r="105" spans="1:7" s="444" customFormat="1" ht="20.100000000000001" customHeight="1" thickBot="1">
      <c r="A105" s="597" t="s">
        <v>786</v>
      </c>
      <c r="B105" s="598"/>
      <c r="C105" s="581">
        <f>10000000+4000000</f>
        <v>14000000</v>
      </c>
      <c r="D105" s="451">
        <f>SUM(C105)</f>
        <v>14000000</v>
      </c>
      <c r="E105" s="451">
        <v>14000000</v>
      </c>
      <c r="F105" s="451">
        <v>14209431</v>
      </c>
      <c r="G105" s="62">
        <f>SUM(F105/E105)</f>
        <v>1.0149593571428572</v>
      </c>
    </row>
    <row r="106" spans="1:7" s="444" customFormat="1" ht="20.100000000000001" customHeight="1" thickBot="1">
      <c r="A106" s="838" t="s">
        <v>308</v>
      </c>
      <c r="B106" s="839"/>
      <c r="C106" s="448"/>
      <c r="D106" s="448">
        <f>SUM(D92:D105)</f>
        <v>650730000</v>
      </c>
      <c r="E106" s="448">
        <f>SUM(E92:E105)</f>
        <v>690730000</v>
      </c>
      <c r="F106" s="448">
        <f>SUM(F92:F105)</f>
        <v>692373730</v>
      </c>
      <c r="G106" s="483">
        <f>SUM(F106/E106)</f>
        <v>1.0023796997379584</v>
      </c>
    </row>
    <row r="107" spans="1:7" s="444" customFormat="1" ht="20.100000000000001" customHeight="1" thickBot="1">
      <c r="A107" s="584" t="s">
        <v>309</v>
      </c>
      <c r="B107" s="585"/>
      <c r="C107" s="448"/>
      <c r="D107" s="448">
        <v>332033407</v>
      </c>
      <c r="E107" s="448">
        <v>341117116</v>
      </c>
      <c r="F107" s="448">
        <v>205092916</v>
      </c>
      <c r="G107" s="483">
        <f>SUM(F107/E107)</f>
        <v>0.60123900672284059</v>
      </c>
    </row>
    <row r="108" spans="1:7" s="444" customFormat="1" ht="20.100000000000001" customHeight="1">
      <c r="A108" s="834" t="s">
        <v>310</v>
      </c>
      <c r="B108" s="835"/>
      <c r="C108" s="81"/>
      <c r="D108" s="82"/>
      <c r="E108" s="82"/>
      <c r="F108" s="82"/>
      <c r="G108" s="83"/>
    </row>
    <row r="109" spans="1:7" s="444" customFormat="1" ht="20.100000000000001" customHeight="1">
      <c r="A109" s="836" t="s">
        <v>787</v>
      </c>
      <c r="B109" s="837"/>
      <c r="C109" s="470"/>
      <c r="D109" s="471">
        <v>129101736</v>
      </c>
      <c r="E109" s="471">
        <v>129101736</v>
      </c>
      <c r="F109" s="471">
        <v>5957165</v>
      </c>
      <c r="G109" s="62">
        <f>SUM(F109/E109)</f>
        <v>4.6143182768665483E-2</v>
      </c>
    </row>
    <row r="110" spans="1:7" s="444" customFormat="1" ht="20.100000000000001" customHeight="1" thickBot="1">
      <c r="A110" s="472" t="s">
        <v>788</v>
      </c>
      <c r="B110" s="473"/>
      <c r="C110" s="474"/>
      <c r="D110" s="475"/>
      <c r="E110" s="475">
        <f>1878840-1878840</f>
        <v>0</v>
      </c>
      <c r="F110" s="475"/>
      <c r="G110" s="607"/>
    </row>
    <row r="111" spans="1:7" s="444" customFormat="1" ht="20.100000000000001" customHeight="1" thickBot="1">
      <c r="A111" s="824" t="s">
        <v>311</v>
      </c>
      <c r="B111" s="825"/>
      <c r="C111" s="476"/>
      <c r="D111" s="468">
        <f>SUM(D109:D109)</f>
        <v>129101736</v>
      </c>
      <c r="E111" s="468">
        <f>SUM(E109:E110)</f>
        <v>129101736</v>
      </c>
      <c r="F111" s="468">
        <f>SUM(F109:F110)</f>
        <v>5957165</v>
      </c>
      <c r="G111" s="483">
        <f>SUM(F111/E111)</f>
        <v>4.6143182768665483E-2</v>
      </c>
    </row>
    <row r="112" spans="1:7" s="84" customFormat="1" ht="20.100000000000001" customHeight="1">
      <c r="A112" s="840" t="s">
        <v>312</v>
      </c>
      <c r="B112" s="841"/>
      <c r="C112" s="477"/>
      <c r="D112" s="452"/>
      <c r="E112" s="452"/>
      <c r="F112" s="452">
        <v>9600000</v>
      </c>
      <c r="G112" s="605">
        <v>0</v>
      </c>
    </row>
    <row r="113" spans="1:8" s="84" customFormat="1" ht="20.100000000000001" customHeight="1" thickBot="1">
      <c r="A113" s="842" t="s">
        <v>313</v>
      </c>
      <c r="B113" s="843"/>
      <c r="C113" s="478"/>
      <c r="D113" s="479"/>
      <c r="E113" s="479">
        <f>1878840</f>
        <v>1878840</v>
      </c>
      <c r="F113" s="479">
        <v>1949601</v>
      </c>
      <c r="G113" s="608">
        <f>SUM(F113/E113)</f>
        <v>1.0376620680845627</v>
      </c>
    </row>
    <row r="114" spans="1:8" s="444" customFormat="1" ht="20.100000000000001" customHeight="1" thickBot="1">
      <c r="A114" s="824" t="s">
        <v>314</v>
      </c>
      <c r="B114" s="825"/>
      <c r="C114" s="476"/>
      <c r="D114" s="468">
        <f>SUM(D89+D90+D106+D107+D111+D112+D113)</f>
        <v>2973833976</v>
      </c>
      <c r="E114" s="468">
        <f>SUM(E89+E90+E106+E107+E111+E112+E113)</f>
        <v>4539124417</v>
      </c>
      <c r="F114" s="468">
        <f>SUM(F89+F90+F106+F107+F111+F112+F113)</f>
        <v>4239015103</v>
      </c>
      <c r="G114" s="483">
        <f>SUM(F114/E114)</f>
        <v>0.93388387573690956</v>
      </c>
    </row>
    <row r="115" spans="1:8" s="444" customFormat="1" ht="20.100000000000001" customHeight="1">
      <c r="A115" s="588" t="s">
        <v>315</v>
      </c>
      <c r="B115" s="589"/>
      <c r="C115" s="59"/>
      <c r="D115" s="59"/>
      <c r="E115" s="59"/>
      <c r="F115" s="59"/>
      <c r="G115" s="60"/>
    </row>
    <row r="116" spans="1:8" s="444" customFormat="1" ht="19.5" customHeight="1">
      <c r="A116" s="85" t="s">
        <v>316</v>
      </c>
      <c r="B116" s="86"/>
      <c r="C116" s="72"/>
      <c r="D116" s="80">
        <v>2558448382</v>
      </c>
      <c r="E116" s="80">
        <v>2694877871</v>
      </c>
      <c r="F116" s="80">
        <v>2694877871</v>
      </c>
      <c r="G116" s="609">
        <f>SUM(F116/E116)</f>
        <v>1</v>
      </c>
    </row>
    <row r="117" spans="1:8" s="444" customFormat="1" ht="19.5" customHeight="1">
      <c r="A117" s="85" t="s">
        <v>789</v>
      </c>
      <c r="B117" s="86"/>
      <c r="C117" s="474"/>
      <c r="D117" s="475"/>
      <c r="E117" s="80">
        <f>100000000+58351238</f>
        <v>158351238</v>
      </c>
      <c r="F117" s="80">
        <v>158351238</v>
      </c>
      <c r="G117" s="609">
        <f>SUM(F117/E117)</f>
        <v>1</v>
      </c>
    </row>
    <row r="118" spans="1:8" s="444" customFormat="1" ht="19.5" customHeight="1" thickBot="1">
      <c r="A118" s="85" t="s">
        <v>790</v>
      </c>
      <c r="B118" s="86"/>
      <c r="C118" s="474"/>
      <c r="D118" s="599"/>
      <c r="E118" s="80"/>
      <c r="F118" s="80">
        <v>61201257</v>
      </c>
      <c r="G118" s="609">
        <v>0</v>
      </c>
    </row>
    <row r="119" spans="1:8" s="444" customFormat="1" ht="20.100000000000001" customHeight="1" thickBot="1">
      <c r="A119" s="582" t="s">
        <v>317</v>
      </c>
      <c r="B119" s="583"/>
      <c r="C119" s="476"/>
      <c r="D119" s="468">
        <f>SUM(D116:D117)</f>
        <v>2558448382</v>
      </c>
      <c r="E119" s="468">
        <f>SUM(E116:E118)</f>
        <v>2853229109</v>
      </c>
      <c r="F119" s="468">
        <f>SUM(F116:F118)</f>
        <v>2914430366</v>
      </c>
      <c r="G119" s="483">
        <f t="shared" ref="G119:G120" si="9">SUM(F119/E119)</f>
        <v>1.0214498221705897</v>
      </c>
    </row>
    <row r="120" spans="1:8" s="444" customFormat="1" ht="20.100000000000001" customHeight="1" thickBot="1">
      <c r="A120" s="824" t="s">
        <v>318</v>
      </c>
      <c r="B120" s="825"/>
      <c r="C120" s="476"/>
      <c r="D120" s="468">
        <f>D114+D119</f>
        <v>5532282358</v>
      </c>
      <c r="E120" s="468">
        <f>E114+E119</f>
        <v>7392353526</v>
      </c>
      <c r="F120" s="468">
        <f>F114+F119</f>
        <v>7153445469</v>
      </c>
      <c r="G120" s="483">
        <f t="shared" si="9"/>
        <v>0.96768173273102742</v>
      </c>
    </row>
    <row r="121" spans="1:8" s="444" customFormat="1">
      <c r="C121" s="461"/>
      <c r="D121" s="461"/>
      <c r="E121" s="461"/>
      <c r="F121" s="461"/>
      <c r="G121" s="610"/>
    </row>
    <row r="122" spans="1:8" s="444" customFormat="1">
      <c r="C122" s="461"/>
      <c r="D122" s="461"/>
      <c r="E122" s="461"/>
      <c r="F122" s="461"/>
      <c r="G122" s="610"/>
    </row>
    <row r="123" spans="1:8" s="444" customFormat="1">
      <c r="C123" s="461"/>
      <c r="D123" s="461"/>
      <c r="E123" s="461"/>
      <c r="F123" s="461"/>
      <c r="G123" s="610"/>
    </row>
    <row r="124" spans="1:8" s="603" customFormat="1">
      <c r="A124" s="600"/>
      <c r="B124" s="601"/>
      <c r="C124" s="602"/>
      <c r="D124" s="602"/>
      <c r="E124" s="602"/>
      <c r="F124" s="602"/>
      <c r="G124" s="611"/>
      <c r="H124" s="604"/>
    </row>
    <row r="125" spans="1:8" s="444" customFormat="1">
      <c r="C125" s="461"/>
      <c r="D125" s="461"/>
      <c r="E125" s="461"/>
      <c r="F125" s="461"/>
      <c r="G125" s="610"/>
    </row>
    <row r="126" spans="1:8" s="444" customFormat="1">
      <c r="C126" s="461"/>
      <c r="D126" s="461"/>
      <c r="E126" s="461"/>
      <c r="F126" s="461"/>
      <c r="G126" s="610"/>
    </row>
    <row r="127" spans="1:8" s="444" customFormat="1">
      <c r="C127" s="461"/>
      <c r="D127" s="461"/>
      <c r="E127" s="461"/>
      <c r="F127" s="461"/>
      <c r="G127" s="610"/>
    </row>
    <row r="128" spans="1:8" s="444" customFormat="1">
      <c r="C128" s="461"/>
      <c r="D128" s="461"/>
      <c r="E128" s="461"/>
      <c r="F128" s="461"/>
      <c r="G128" s="610"/>
    </row>
    <row r="129" spans="3:7" s="444" customFormat="1">
      <c r="C129" s="461"/>
      <c r="D129" s="461"/>
      <c r="E129" s="461"/>
      <c r="F129" s="461"/>
      <c r="G129" s="610"/>
    </row>
    <row r="130" spans="3:7" s="444" customFormat="1">
      <c r="C130" s="461"/>
      <c r="D130" s="461"/>
      <c r="E130" s="461"/>
      <c r="F130" s="461"/>
      <c r="G130" s="610"/>
    </row>
    <row r="131" spans="3:7" s="444" customFormat="1">
      <c r="C131" s="461"/>
      <c r="D131" s="461"/>
      <c r="E131" s="461"/>
      <c r="F131" s="461"/>
      <c r="G131" s="610"/>
    </row>
    <row r="132" spans="3:7" s="444" customFormat="1">
      <c r="C132" s="461"/>
      <c r="D132" s="461"/>
      <c r="E132" s="461"/>
      <c r="F132" s="461"/>
      <c r="G132" s="610"/>
    </row>
    <row r="133" spans="3:7" s="444" customFormat="1">
      <c r="C133" s="461"/>
      <c r="D133" s="461"/>
      <c r="E133" s="461"/>
      <c r="F133" s="461"/>
      <c r="G133" s="610"/>
    </row>
    <row r="134" spans="3:7" s="444" customFormat="1">
      <c r="C134" s="461"/>
      <c r="D134" s="461"/>
      <c r="E134" s="461"/>
      <c r="F134" s="461"/>
      <c r="G134" s="610"/>
    </row>
    <row r="135" spans="3:7" s="444" customFormat="1">
      <c r="C135" s="461"/>
      <c r="D135" s="461"/>
      <c r="E135" s="461"/>
      <c r="F135" s="461"/>
      <c r="G135" s="610"/>
    </row>
    <row r="136" spans="3:7" s="444" customFormat="1">
      <c r="C136" s="461"/>
      <c r="D136" s="461"/>
      <c r="E136" s="461"/>
      <c r="F136" s="461"/>
      <c r="G136" s="610"/>
    </row>
    <row r="137" spans="3:7" s="444" customFormat="1">
      <c r="C137" s="461"/>
      <c r="D137" s="461"/>
      <c r="E137" s="461"/>
      <c r="F137" s="461"/>
      <c r="G137" s="610"/>
    </row>
    <row r="138" spans="3:7" s="444" customFormat="1">
      <c r="C138" s="461"/>
      <c r="D138" s="461"/>
      <c r="E138" s="461"/>
      <c r="F138" s="461"/>
      <c r="G138" s="610"/>
    </row>
    <row r="139" spans="3:7" s="444" customFormat="1">
      <c r="C139" s="461"/>
      <c r="D139" s="461"/>
      <c r="E139" s="461"/>
      <c r="F139" s="461"/>
      <c r="G139" s="610"/>
    </row>
    <row r="140" spans="3:7" s="444" customFormat="1">
      <c r="C140" s="461"/>
      <c r="D140" s="461"/>
      <c r="E140" s="461"/>
      <c r="F140" s="461"/>
      <c r="G140" s="610"/>
    </row>
    <row r="141" spans="3:7" s="444" customFormat="1">
      <c r="C141" s="461"/>
      <c r="D141" s="461"/>
      <c r="E141" s="461"/>
      <c r="F141" s="461"/>
      <c r="G141" s="610"/>
    </row>
    <row r="142" spans="3:7" s="444" customFormat="1">
      <c r="C142" s="461"/>
      <c r="D142" s="461"/>
      <c r="E142" s="461"/>
      <c r="F142" s="461"/>
      <c r="G142" s="610"/>
    </row>
    <row r="143" spans="3:7" s="444" customFormat="1">
      <c r="C143" s="461"/>
      <c r="D143" s="461"/>
      <c r="E143" s="461"/>
      <c r="F143" s="461"/>
      <c r="G143" s="610"/>
    </row>
    <row r="144" spans="3:7" s="444" customFormat="1">
      <c r="C144" s="461"/>
      <c r="D144" s="461"/>
      <c r="E144" s="461"/>
      <c r="F144" s="461"/>
      <c r="G144" s="610"/>
    </row>
    <row r="145" spans="3:7" s="444" customFormat="1">
      <c r="C145" s="461"/>
      <c r="D145" s="461"/>
      <c r="E145" s="461"/>
      <c r="F145" s="461"/>
      <c r="G145" s="610"/>
    </row>
    <row r="146" spans="3:7" s="444" customFormat="1">
      <c r="C146" s="461"/>
      <c r="D146" s="461"/>
      <c r="E146" s="461"/>
      <c r="F146" s="461"/>
      <c r="G146" s="610"/>
    </row>
    <row r="147" spans="3:7" s="444" customFormat="1">
      <c r="C147" s="461"/>
      <c r="D147" s="461"/>
      <c r="E147" s="461"/>
      <c r="F147" s="461"/>
      <c r="G147" s="610"/>
    </row>
    <row r="148" spans="3:7">
      <c r="D148" s="461"/>
      <c r="E148" s="444"/>
    </row>
    <row r="149" spans="3:7">
      <c r="D149" s="461"/>
      <c r="E149" s="444"/>
    </row>
    <row r="150" spans="3:7">
      <c r="D150" s="461"/>
      <c r="E150" s="444"/>
    </row>
    <row r="151" spans="3:7">
      <c r="D151" s="461"/>
      <c r="E151" s="444"/>
    </row>
    <row r="152" spans="3:7">
      <c r="D152" s="461"/>
      <c r="E152" s="444"/>
    </row>
    <row r="153" spans="3:7">
      <c r="D153" s="461"/>
      <c r="E153" s="444"/>
    </row>
    <row r="154" spans="3:7">
      <c r="D154" s="461"/>
      <c r="E154" s="444"/>
    </row>
    <row r="155" spans="3:7">
      <c r="D155" s="461"/>
      <c r="E155" s="444"/>
    </row>
    <row r="156" spans="3:7">
      <c r="D156" s="461"/>
      <c r="E156" s="444"/>
    </row>
    <row r="157" spans="3:7">
      <c r="D157" s="461"/>
      <c r="E157" s="444"/>
    </row>
    <row r="158" spans="3:7">
      <c r="D158" s="461"/>
      <c r="E158" s="444"/>
    </row>
    <row r="159" spans="3:7">
      <c r="D159" s="461"/>
      <c r="E159" s="444"/>
    </row>
    <row r="160" spans="3:7">
      <c r="D160" s="461"/>
      <c r="E160" s="444"/>
    </row>
    <row r="161" spans="4:5">
      <c r="D161" s="461"/>
      <c r="E161" s="444"/>
    </row>
    <row r="162" spans="4:5">
      <c r="D162" s="461"/>
      <c r="E162" s="444"/>
    </row>
    <row r="163" spans="4:5">
      <c r="D163" s="461"/>
      <c r="E163" s="444"/>
    </row>
    <row r="164" spans="4:5">
      <c r="D164" s="461"/>
      <c r="E164" s="444"/>
    </row>
    <row r="165" spans="4:5">
      <c r="D165" s="461"/>
      <c r="E165" s="444"/>
    </row>
    <row r="166" spans="4:5">
      <c r="D166" s="461"/>
      <c r="E166" s="444"/>
    </row>
    <row r="167" spans="4:5">
      <c r="D167" s="461"/>
      <c r="E167" s="444"/>
    </row>
    <row r="168" spans="4:5">
      <c r="D168" s="461"/>
      <c r="E168" s="444"/>
    </row>
  </sheetData>
  <mergeCells count="44">
    <mergeCell ref="A74:B74"/>
    <mergeCell ref="A90:B90"/>
    <mergeCell ref="A101:B101"/>
    <mergeCell ref="A106:B106"/>
    <mergeCell ref="A100:B100"/>
    <mergeCell ref="A82:B82"/>
    <mergeCell ref="A93:B93"/>
    <mergeCell ref="A97:B97"/>
    <mergeCell ref="A1:D1"/>
    <mergeCell ref="A6:B6"/>
    <mergeCell ref="A10:B10"/>
    <mergeCell ref="A11:B11"/>
    <mergeCell ref="A3:G3"/>
    <mergeCell ref="A52:B52"/>
    <mergeCell ref="A66:B66"/>
    <mergeCell ref="A83:B83"/>
    <mergeCell ref="A68:B68"/>
    <mergeCell ref="A12:B12"/>
    <mergeCell ref="A14:B14"/>
    <mergeCell ref="A17:B17"/>
    <mergeCell ref="A19:B19"/>
    <mergeCell ref="A21:B21"/>
    <mergeCell ref="A23:B23"/>
    <mergeCell ref="A28:B28"/>
    <mergeCell ref="A29:B29"/>
    <mergeCell ref="A35:B35"/>
    <mergeCell ref="A38:B38"/>
    <mergeCell ref="A36:B36"/>
    <mergeCell ref="A26:B26"/>
    <mergeCell ref="A111:B111"/>
    <mergeCell ref="A112:B112"/>
    <mergeCell ref="A114:B114"/>
    <mergeCell ref="A120:B120"/>
    <mergeCell ref="A85:B85"/>
    <mergeCell ref="A91:B91"/>
    <mergeCell ref="A92:B92"/>
    <mergeCell ref="A94:B94"/>
    <mergeCell ref="A99:B99"/>
    <mergeCell ref="A108:B108"/>
    <mergeCell ref="A109:B109"/>
    <mergeCell ref="A113:B113"/>
    <mergeCell ref="A88:B88"/>
    <mergeCell ref="A87:B87"/>
    <mergeCell ref="A86:B86"/>
  </mergeCells>
  <pageMargins left="0.7" right="0.7" top="0.75" bottom="0.75" header="0.3" footer="0.3"/>
  <pageSetup paperSize="9" scale="46" orientation="portrait" horizontalDpi="300" verticalDpi="300" r:id="rId1"/>
  <rowBreaks count="1" manualBreakCount="1">
    <brk id="8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DF66"/>
  <sheetViews>
    <sheetView tabSelected="1" view="pageBreakPreview" topLeftCell="D37" zoomScale="60" workbookViewId="0">
      <selection activeCell="J55" sqref="G55:J55"/>
    </sheetView>
  </sheetViews>
  <sheetFormatPr defaultRowHeight="20.25"/>
  <cols>
    <col min="1" max="1" width="69.85546875" style="89" customWidth="1"/>
    <col min="2" max="4" width="20.85546875" style="90" customWidth="1"/>
    <col min="5" max="5" width="19.140625" style="91" customWidth="1"/>
    <col min="6" max="6" width="19.140625" style="89" customWidth="1"/>
    <col min="7" max="7" width="21" style="89" customWidth="1"/>
    <col min="8" max="8" width="22.28515625" style="90" customWidth="1"/>
    <col min="9" max="9" width="19.140625" style="91" customWidth="1"/>
    <col min="10" max="11" width="19.140625" style="89" customWidth="1"/>
    <col min="12" max="12" width="19.140625" style="90" customWidth="1"/>
    <col min="13" max="13" width="19.140625" style="91" customWidth="1"/>
    <col min="14" max="15" width="19.140625" style="89" customWidth="1"/>
    <col min="16" max="16" width="19.140625" style="90" customWidth="1"/>
    <col min="17" max="17" width="19.140625" style="91" customWidth="1"/>
    <col min="18" max="19" width="19.140625" style="89" customWidth="1"/>
    <col min="20" max="20" width="19.140625" style="90" customWidth="1"/>
    <col min="21" max="21" width="19.140625" style="91" customWidth="1"/>
    <col min="22" max="23" width="19.140625" style="89" customWidth="1"/>
    <col min="24" max="24" width="19.140625" style="90" customWidth="1"/>
    <col min="25" max="25" width="19.140625" style="91" customWidth="1"/>
    <col min="26" max="26" width="69.85546875" style="89" customWidth="1"/>
    <col min="27" max="28" width="19.140625" style="89" customWidth="1"/>
    <col min="29" max="29" width="19.140625" style="90" customWidth="1"/>
    <col min="30" max="30" width="19.140625" style="91" customWidth="1"/>
    <col min="31" max="32" width="21.28515625" style="89" customWidth="1"/>
    <col min="33" max="33" width="21.28515625" style="90" customWidth="1"/>
    <col min="34" max="34" width="19.140625" style="91" customWidth="1"/>
    <col min="35" max="36" width="23.42578125" style="89" customWidth="1"/>
    <col min="37" max="37" width="23.42578125" style="90" customWidth="1"/>
    <col min="38" max="38" width="19.140625" style="91" customWidth="1"/>
    <col min="39" max="39" width="19.140625" style="89" customWidth="1"/>
    <col min="40" max="40" width="21" style="89" customWidth="1"/>
    <col min="41" max="41" width="21" style="90" customWidth="1"/>
    <col min="42" max="42" width="20.5703125" style="91" customWidth="1"/>
    <col min="43" max="44" width="23.42578125" style="89" customWidth="1"/>
    <col min="45" max="45" width="23.42578125" style="90" customWidth="1"/>
    <col min="46" max="46" width="19.140625" style="91" customWidth="1"/>
    <col min="47" max="47" width="10.42578125" style="626" bestFit="1" customWidth="1"/>
    <col min="48" max="110" width="9.140625" style="626"/>
    <col min="111" max="16384" width="9.140625" style="89"/>
  </cols>
  <sheetData>
    <row r="2" spans="1:110" ht="5.25" customHeight="1">
      <c r="AB2" s="92"/>
      <c r="AR2" s="92"/>
    </row>
    <row r="3" spans="1:110" s="96" customFormat="1" ht="21" customHeight="1">
      <c r="A3" s="93" t="s">
        <v>1034</v>
      </c>
      <c r="B3" s="94"/>
      <c r="C3" s="94"/>
      <c r="D3" s="94"/>
      <c r="E3" s="95"/>
      <c r="H3" s="94"/>
      <c r="I3" s="95"/>
      <c r="L3" s="94"/>
      <c r="M3" s="95"/>
      <c r="P3" s="94"/>
      <c r="Q3" s="95"/>
      <c r="T3" s="94"/>
      <c r="X3" s="94"/>
      <c r="Y3" s="97" t="s">
        <v>390</v>
      </c>
      <c r="Z3" s="817" t="s">
        <v>1047</v>
      </c>
      <c r="AC3" s="94"/>
      <c r="AD3" s="95"/>
      <c r="AG3" s="94"/>
      <c r="AH3" s="97"/>
      <c r="AK3" s="94"/>
      <c r="AL3" s="95"/>
      <c r="AO3" s="94"/>
      <c r="AP3" s="95"/>
      <c r="AS3" s="94"/>
      <c r="AT3" s="97" t="s">
        <v>391</v>
      </c>
      <c r="AU3" s="628"/>
      <c r="AV3" s="628"/>
      <c r="AW3" s="628"/>
      <c r="AX3" s="628"/>
      <c r="AY3" s="628"/>
      <c r="AZ3" s="628"/>
      <c r="BA3" s="628"/>
      <c r="BB3" s="628"/>
      <c r="BC3" s="628"/>
      <c r="BD3" s="628"/>
      <c r="BE3" s="628"/>
      <c r="BF3" s="628"/>
      <c r="BG3" s="628"/>
      <c r="BH3" s="628"/>
      <c r="BI3" s="628"/>
      <c r="BJ3" s="628"/>
      <c r="BK3" s="628"/>
      <c r="BL3" s="628"/>
      <c r="BM3" s="628"/>
      <c r="BN3" s="628"/>
      <c r="BO3" s="628"/>
      <c r="BP3" s="628"/>
      <c r="BQ3" s="628"/>
      <c r="BR3" s="628"/>
      <c r="BS3" s="628"/>
      <c r="BT3" s="628"/>
      <c r="BU3" s="628"/>
      <c r="BV3" s="628"/>
      <c r="BW3" s="628"/>
      <c r="BX3" s="628"/>
      <c r="BY3" s="628"/>
      <c r="BZ3" s="628"/>
      <c r="CA3" s="628"/>
      <c r="CB3" s="628"/>
      <c r="CC3" s="628"/>
      <c r="CD3" s="628"/>
      <c r="CE3" s="628"/>
      <c r="CF3" s="628"/>
      <c r="CG3" s="628"/>
      <c r="CH3" s="628"/>
      <c r="CI3" s="628"/>
      <c r="CJ3" s="628"/>
      <c r="CK3" s="628"/>
      <c r="CL3" s="628"/>
      <c r="CM3" s="628"/>
      <c r="CN3" s="628"/>
      <c r="CO3" s="628"/>
      <c r="CP3" s="628"/>
      <c r="CQ3" s="628"/>
      <c r="CR3" s="628"/>
      <c r="CS3" s="628"/>
      <c r="CT3" s="628"/>
      <c r="CU3" s="628"/>
      <c r="CV3" s="628"/>
      <c r="CW3" s="628"/>
      <c r="CX3" s="628"/>
      <c r="CY3" s="628"/>
      <c r="CZ3" s="628"/>
      <c r="DA3" s="628"/>
      <c r="DB3" s="628"/>
      <c r="DC3" s="628"/>
      <c r="DD3" s="628"/>
      <c r="DE3" s="628"/>
      <c r="DF3" s="628"/>
    </row>
    <row r="4" spans="1:110" s="96" customFormat="1" ht="26.25">
      <c r="A4" s="98"/>
      <c r="B4" s="94"/>
      <c r="C4" s="94"/>
      <c r="D4" s="94"/>
      <c r="E4" s="95"/>
      <c r="H4" s="94"/>
      <c r="I4" s="95"/>
      <c r="L4" s="94"/>
      <c r="M4" s="95"/>
      <c r="P4" s="94"/>
      <c r="Q4" s="95"/>
      <c r="T4" s="94"/>
      <c r="U4" s="95"/>
      <c r="X4" s="94"/>
      <c r="Y4" s="95"/>
      <c r="Z4" s="98"/>
      <c r="AC4" s="94"/>
      <c r="AD4" s="95"/>
      <c r="AG4" s="94"/>
      <c r="AH4" s="95"/>
      <c r="AK4" s="94"/>
      <c r="AL4" s="95"/>
      <c r="AO4" s="94"/>
      <c r="AP4" s="95"/>
      <c r="AS4" s="94"/>
      <c r="AT4" s="95"/>
      <c r="AU4" s="628"/>
      <c r="AV4" s="628"/>
      <c r="AW4" s="628"/>
      <c r="AX4" s="628"/>
      <c r="AY4" s="628"/>
      <c r="AZ4" s="628"/>
      <c r="BA4" s="628"/>
      <c r="BB4" s="628"/>
      <c r="BC4" s="628"/>
      <c r="BD4" s="628"/>
      <c r="BE4" s="628"/>
      <c r="BF4" s="628"/>
      <c r="BG4" s="628"/>
      <c r="BH4" s="628"/>
      <c r="BI4" s="628"/>
      <c r="BJ4" s="628"/>
      <c r="BK4" s="628"/>
      <c r="BL4" s="628"/>
      <c r="BM4" s="628"/>
      <c r="BN4" s="628"/>
      <c r="BO4" s="628"/>
      <c r="BP4" s="628"/>
      <c r="BQ4" s="628"/>
      <c r="BR4" s="628"/>
      <c r="BS4" s="628"/>
      <c r="BT4" s="628"/>
      <c r="BU4" s="628"/>
      <c r="BV4" s="628"/>
      <c r="BW4" s="628"/>
      <c r="BX4" s="628"/>
      <c r="BY4" s="628"/>
      <c r="BZ4" s="628"/>
      <c r="CA4" s="628"/>
      <c r="CB4" s="628"/>
      <c r="CC4" s="628"/>
      <c r="CD4" s="628"/>
      <c r="CE4" s="628"/>
      <c r="CF4" s="628"/>
      <c r="CG4" s="628"/>
      <c r="CH4" s="628"/>
      <c r="CI4" s="628"/>
      <c r="CJ4" s="628"/>
      <c r="CK4" s="628"/>
      <c r="CL4" s="628"/>
      <c r="CM4" s="628"/>
      <c r="CN4" s="628"/>
      <c r="CO4" s="628"/>
      <c r="CP4" s="628"/>
      <c r="CQ4" s="628"/>
      <c r="CR4" s="628"/>
      <c r="CS4" s="628"/>
      <c r="CT4" s="628"/>
      <c r="CU4" s="628"/>
      <c r="CV4" s="628"/>
      <c r="CW4" s="628"/>
      <c r="CX4" s="628"/>
      <c r="CY4" s="628"/>
      <c r="CZ4" s="628"/>
      <c r="DA4" s="628"/>
      <c r="DB4" s="628"/>
      <c r="DC4" s="628"/>
      <c r="DD4" s="628"/>
      <c r="DE4" s="628"/>
      <c r="DF4" s="628"/>
    </row>
    <row r="5" spans="1:110" s="96" customFormat="1" ht="26.25">
      <c r="A5" s="886" t="s">
        <v>792</v>
      </c>
      <c r="B5" s="886"/>
      <c r="C5" s="886"/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6"/>
      <c r="V5" s="99"/>
      <c r="W5" s="99"/>
      <c r="X5" s="99"/>
      <c r="Y5" s="99"/>
      <c r="Z5" s="886" t="s">
        <v>792</v>
      </c>
      <c r="AA5" s="886"/>
      <c r="AB5" s="886"/>
      <c r="AC5" s="886"/>
      <c r="AD5" s="886"/>
      <c r="AE5" s="886"/>
      <c r="AF5" s="886"/>
      <c r="AG5" s="886"/>
      <c r="AH5" s="886"/>
      <c r="AI5" s="886"/>
      <c r="AJ5" s="886"/>
      <c r="AK5" s="886"/>
      <c r="AL5" s="886"/>
      <c r="AM5" s="886"/>
      <c r="AN5" s="886"/>
      <c r="AO5" s="886"/>
      <c r="AP5" s="886"/>
      <c r="AQ5" s="886"/>
      <c r="AR5" s="886"/>
      <c r="AS5" s="886"/>
      <c r="AT5" s="886"/>
      <c r="AU5" s="629"/>
      <c r="AV5" s="629"/>
      <c r="AW5" s="629"/>
      <c r="AX5" s="629"/>
      <c r="AY5" s="629"/>
      <c r="AZ5" s="629"/>
      <c r="BA5" s="629"/>
      <c r="BB5" s="629"/>
      <c r="BC5" s="628"/>
      <c r="BD5" s="628"/>
      <c r="BE5" s="628"/>
      <c r="BF5" s="628"/>
      <c r="BG5" s="628"/>
      <c r="BH5" s="628"/>
      <c r="BI5" s="628"/>
      <c r="BJ5" s="628"/>
      <c r="BK5" s="628"/>
      <c r="BL5" s="628"/>
      <c r="BM5" s="628"/>
      <c r="BN5" s="628"/>
      <c r="BO5" s="628"/>
      <c r="BP5" s="628"/>
      <c r="BQ5" s="628"/>
      <c r="BR5" s="628"/>
      <c r="BS5" s="628"/>
      <c r="BT5" s="628"/>
      <c r="BU5" s="628"/>
      <c r="BV5" s="628"/>
      <c r="BW5" s="628"/>
      <c r="BX5" s="628"/>
      <c r="BY5" s="628"/>
      <c r="BZ5" s="628"/>
      <c r="CA5" s="628"/>
      <c r="CB5" s="628"/>
      <c r="CC5" s="628"/>
      <c r="CD5" s="628"/>
      <c r="CE5" s="628"/>
      <c r="CF5" s="628"/>
      <c r="CG5" s="628"/>
      <c r="CH5" s="628"/>
      <c r="CI5" s="628"/>
      <c r="CJ5" s="628"/>
      <c r="CK5" s="628"/>
      <c r="CL5" s="628"/>
      <c r="CM5" s="628"/>
      <c r="CN5" s="628"/>
      <c r="CO5" s="628"/>
      <c r="CP5" s="628"/>
      <c r="CQ5" s="628"/>
      <c r="CR5" s="628"/>
      <c r="CS5" s="628"/>
      <c r="CT5" s="628"/>
      <c r="CU5" s="628"/>
      <c r="CV5" s="628"/>
      <c r="CW5" s="628"/>
      <c r="CX5" s="628"/>
      <c r="CY5" s="628"/>
      <c r="CZ5" s="628"/>
      <c r="DA5" s="628"/>
      <c r="DB5" s="628"/>
      <c r="DC5" s="628"/>
      <c r="DD5" s="628"/>
      <c r="DE5" s="628"/>
      <c r="DF5" s="628"/>
    </row>
    <row r="6" spans="1:110" s="96" customFormat="1" ht="26.25">
      <c r="A6" s="886" t="s">
        <v>322</v>
      </c>
      <c r="B6" s="886"/>
      <c r="C6" s="886"/>
      <c r="D6" s="886"/>
      <c r="E6" s="886"/>
      <c r="F6" s="886"/>
      <c r="G6" s="886"/>
      <c r="H6" s="886"/>
      <c r="I6" s="886"/>
      <c r="J6" s="886"/>
      <c r="K6" s="886"/>
      <c r="L6" s="886"/>
      <c r="M6" s="886"/>
      <c r="N6" s="886"/>
      <c r="O6" s="886"/>
      <c r="P6" s="886"/>
      <c r="Q6" s="886"/>
      <c r="R6" s="886"/>
      <c r="S6" s="886"/>
      <c r="T6" s="886"/>
      <c r="U6" s="886"/>
      <c r="V6" s="99"/>
      <c r="W6" s="99"/>
      <c r="X6" s="99"/>
      <c r="Y6" s="99"/>
      <c r="Z6" s="886" t="s">
        <v>322</v>
      </c>
      <c r="AA6" s="886"/>
      <c r="AB6" s="886"/>
      <c r="AC6" s="886"/>
      <c r="AD6" s="886"/>
      <c r="AE6" s="886"/>
      <c r="AF6" s="886"/>
      <c r="AG6" s="886"/>
      <c r="AH6" s="886"/>
      <c r="AI6" s="886"/>
      <c r="AJ6" s="886"/>
      <c r="AK6" s="886"/>
      <c r="AL6" s="886"/>
      <c r="AM6" s="886"/>
      <c r="AN6" s="886"/>
      <c r="AO6" s="886"/>
      <c r="AP6" s="886"/>
      <c r="AQ6" s="886"/>
      <c r="AR6" s="886"/>
      <c r="AS6" s="886"/>
      <c r="AT6" s="886"/>
      <c r="AU6" s="629"/>
      <c r="AV6" s="629"/>
      <c r="AW6" s="629"/>
      <c r="AX6" s="629"/>
      <c r="AY6" s="629"/>
      <c r="AZ6" s="629"/>
      <c r="BA6" s="629"/>
      <c r="BB6" s="629"/>
      <c r="BC6" s="628"/>
      <c r="BD6" s="628"/>
      <c r="BE6" s="628"/>
      <c r="BF6" s="628"/>
      <c r="BG6" s="628"/>
      <c r="BH6" s="628"/>
      <c r="BI6" s="628"/>
      <c r="BJ6" s="628"/>
      <c r="BK6" s="628"/>
      <c r="BL6" s="628"/>
      <c r="BM6" s="628"/>
      <c r="BN6" s="628"/>
      <c r="BO6" s="628"/>
      <c r="BP6" s="628"/>
      <c r="BQ6" s="628"/>
      <c r="BR6" s="628"/>
      <c r="BS6" s="628"/>
      <c r="BT6" s="628"/>
      <c r="BU6" s="628"/>
      <c r="BV6" s="628"/>
      <c r="BW6" s="628"/>
      <c r="BX6" s="628"/>
      <c r="BY6" s="628"/>
      <c r="BZ6" s="628"/>
      <c r="CA6" s="628"/>
      <c r="CB6" s="628"/>
      <c r="CC6" s="628"/>
      <c r="CD6" s="628"/>
      <c r="CE6" s="628"/>
      <c r="CF6" s="628"/>
      <c r="CG6" s="628"/>
      <c r="CH6" s="628"/>
      <c r="CI6" s="628"/>
      <c r="CJ6" s="628"/>
      <c r="CK6" s="628"/>
      <c r="CL6" s="628"/>
      <c r="CM6" s="628"/>
      <c r="CN6" s="628"/>
      <c r="CO6" s="628"/>
      <c r="CP6" s="628"/>
      <c r="CQ6" s="628"/>
      <c r="CR6" s="628"/>
      <c r="CS6" s="628"/>
      <c r="CT6" s="628"/>
      <c r="CU6" s="628"/>
      <c r="CV6" s="628"/>
      <c r="CW6" s="628"/>
      <c r="CX6" s="628"/>
      <c r="CY6" s="628"/>
      <c r="CZ6" s="628"/>
      <c r="DA6" s="628"/>
      <c r="DB6" s="628"/>
      <c r="DC6" s="628"/>
      <c r="DD6" s="628"/>
      <c r="DE6" s="628"/>
      <c r="DF6" s="628"/>
    </row>
    <row r="7" spans="1:110">
      <c r="A7" s="100"/>
      <c r="B7" s="100"/>
      <c r="C7" s="100"/>
      <c r="D7" s="100"/>
      <c r="E7" s="101"/>
      <c r="H7" s="100"/>
      <c r="I7" s="101"/>
      <c r="L7" s="100"/>
      <c r="M7" s="101"/>
      <c r="P7" s="100"/>
      <c r="Q7" s="101"/>
      <c r="T7" s="100"/>
      <c r="U7" s="101"/>
      <c r="X7" s="100"/>
      <c r="Y7" s="101"/>
      <c r="Z7" s="100"/>
      <c r="AC7" s="100"/>
      <c r="AD7" s="101"/>
      <c r="AG7" s="100"/>
      <c r="AH7" s="101"/>
      <c r="AK7" s="100"/>
      <c r="AL7" s="101"/>
      <c r="AO7" s="100"/>
      <c r="AP7" s="101"/>
      <c r="AS7" s="100"/>
      <c r="AT7" s="101"/>
    </row>
    <row r="8" spans="1:110" ht="21" thickBot="1">
      <c r="A8" s="102"/>
      <c r="Z8" s="102"/>
      <c r="AM8" s="887"/>
      <c r="AN8" s="887"/>
      <c r="AO8" s="887"/>
      <c r="AP8" s="887"/>
      <c r="AQ8" s="887"/>
      <c r="AR8" s="103"/>
      <c r="AS8" s="103"/>
      <c r="AT8" s="103" t="s">
        <v>7</v>
      </c>
    </row>
    <row r="9" spans="1:110" s="104" customFormat="1" ht="21" thickBot="1">
      <c r="A9" s="878" t="s">
        <v>0</v>
      </c>
      <c r="B9" s="875" t="s">
        <v>323</v>
      </c>
      <c r="C9" s="876"/>
      <c r="D9" s="876"/>
      <c r="E9" s="877"/>
      <c r="F9" s="875" t="s">
        <v>324</v>
      </c>
      <c r="G9" s="876"/>
      <c r="H9" s="876"/>
      <c r="I9" s="877"/>
      <c r="J9" s="875" t="s">
        <v>325</v>
      </c>
      <c r="K9" s="876"/>
      <c r="L9" s="876"/>
      <c r="M9" s="877"/>
      <c r="N9" s="875" t="s">
        <v>326</v>
      </c>
      <c r="O9" s="876"/>
      <c r="P9" s="876"/>
      <c r="Q9" s="877"/>
      <c r="R9" s="875" t="s">
        <v>327</v>
      </c>
      <c r="S9" s="876"/>
      <c r="T9" s="876"/>
      <c r="U9" s="877"/>
      <c r="V9" s="875" t="s">
        <v>328</v>
      </c>
      <c r="W9" s="876"/>
      <c r="X9" s="876"/>
      <c r="Y9" s="877"/>
      <c r="Z9" s="878" t="s">
        <v>0</v>
      </c>
      <c r="AA9" s="881" t="s">
        <v>329</v>
      </c>
      <c r="AB9" s="882"/>
      <c r="AC9" s="882"/>
      <c r="AD9" s="883"/>
      <c r="AE9" s="884" t="s">
        <v>330</v>
      </c>
      <c r="AF9" s="885"/>
      <c r="AG9" s="885"/>
      <c r="AH9" s="885"/>
      <c r="AI9" s="867" t="s">
        <v>331</v>
      </c>
      <c r="AJ9" s="867"/>
      <c r="AK9" s="867"/>
      <c r="AL9" s="867"/>
      <c r="AM9" s="867"/>
      <c r="AN9" s="867"/>
      <c r="AO9" s="867"/>
      <c r="AP9" s="867"/>
      <c r="AQ9" s="867"/>
      <c r="AR9" s="867"/>
      <c r="AS9" s="867"/>
      <c r="AT9" s="867"/>
      <c r="AU9" s="630"/>
      <c r="AV9" s="630"/>
      <c r="AW9" s="630"/>
      <c r="AX9" s="630"/>
      <c r="AY9" s="630"/>
      <c r="AZ9" s="630"/>
      <c r="BA9" s="630"/>
      <c r="BB9" s="630"/>
      <c r="BC9" s="630"/>
      <c r="BD9" s="630"/>
      <c r="BE9" s="630"/>
      <c r="BF9" s="630"/>
      <c r="BG9" s="630"/>
      <c r="BH9" s="630"/>
      <c r="BI9" s="630"/>
      <c r="BJ9" s="630"/>
      <c r="BK9" s="630"/>
      <c r="BL9" s="630"/>
      <c r="BM9" s="630"/>
      <c r="BN9" s="630"/>
      <c r="BO9" s="630"/>
      <c r="BP9" s="630"/>
      <c r="BQ9" s="630"/>
      <c r="BR9" s="630"/>
      <c r="BS9" s="630"/>
      <c r="BT9" s="630"/>
      <c r="BU9" s="630"/>
      <c r="BV9" s="630"/>
      <c r="BW9" s="630"/>
      <c r="BX9" s="630"/>
      <c r="BY9" s="630"/>
      <c r="BZ9" s="630"/>
      <c r="CA9" s="630"/>
      <c r="CB9" s="630"/>
      <c r="CC9" s="630"/>
      <c r="CD9" s="630"/>
      <c r="CE9" s="630"/>
      <c r="CF9" s="630"/>
      <c r="CG9" s="630"/>
      <c r="CH9" s="630"/>
      <c r="CI9" s="630"/>
      <c r="CJ9" s="630"/>
      <c r="CK9" s="630"/>
      <c r="CL9" s="630"/>
      <c r="CM9" s="630"/>
      <c r="CN9" s="630"/>
      <c r="CO9" s="630"/>
      <c r="CP9" s="630"/>
      <c r="CQ9" s="630"/>
      <c r="CR9" s="630"/>
      <c r="CS9" s="630"/>
      <c r="CT9" s="630"/>
      <c r="CU9" s="630"/>
      <c r="CV9" s="630"/>
      <c r="CW9" s="630"/>
      <c r="CX9" s="630"/>
      <c r="CY9" s="630"/>
      <c r="CZ9" s="630"/>
      <c r="DA9" s="630"/>
      <c r="DB9" s="630"/>
      <c r="DC9" s="630"/>
      <c r="DD9" s="630"/>
      <c r="DE9" s="630"/>
      <c r="DF9" s="630"/>
    </row>
    <row r="10" spans="1:110" s="104" customFormat="1" ht="21" customHeight="1" thickBot="1">
      <c r="A10" s="879"/>
      <c r="B10" s="868" t="s">
        <v>332</v>
      </c>
      <c r="C10" s="869"/>
      <c r="D10" s="869"/>
      <c r="E10" s="870"/>
      <c r="F10" s="868" t="s">
        <v>333</v>
      </c>
      <c r="G10" s="869"/>
      <c r="H10" s="869"/>
      <c r="I10" s="870"/>
      <c r="J10" s="868" t="s">
        <v>334</v>
      </c>
      <c r="K10" s="869"/>
      <c r="L10" s="869"/>
      <c r="M10" s="870"/>
      <c r="N10" s="868" t="s">
        <v>335</v>
      </c>
      <c r="O10" s="869"/>
      <c r="P10" s="869"/>
      <c r="Q10" s="870"/>
      <c r="R10" s="868" t="s">
        <v>336</v>
      </c>
      <c r="S10" s="869"/>
      <c r="T10" s="869"/>
      <c r="U10" s="870"/>
      <c r="V10" s="868" t="s">
        <v>337</v>
      </c>
      <c r="W10" s="869"/>
      <c r="X10" s="869"/>
      <c r="Y10" s="870"/>
      <c r="Z10" s="879"/>
      <c r="AA10" s="868" t="s">
        <v>338</v>
      </c>
      <c r="AB10" s="869"/>
      <c r="AC10" s="869"/>
      <c r="AD10" s="870"/>
      <c r="AE10" s="868" t="s">
        <v>339</v>
      </c>
      <c r="AF10" s="869"/>
      <c r="AG10" s="869"/>
      <c r="AH10" s="870"/>
      <c r="AI10" s="874" t="s">
        <v>340</v>
      </c>
      <c r="AJ10" s="874"/>
      <c r="AK10" s="874"/>
      <c r="AL10" s="874"/>
      <c r="AM10" s="874"/>
      <c r="AN10" s="874"/>
      <c r="AO10" s="874"/>
      <c r="AP10" s="874"/>
      <c r="AQ10" s="874"/>
      <c r="AR10" s="874"/>
      <c r="AS10" s="874"/>
      <c r="AT10" s="874"/>
      <c r="AU10" s="630"/>
      <c r="AV10" s="630"/>
      <c r="AW10" s="630"/>
      <c r="AX10" s="630"/>
      <c r="AY10" s="630"/>
      <c r="AZ10" s="630"/>
      <c r="BA10" s="630"/>
      <c r="BB10" s="630"/>
      <c r="BC10" s="630"/>
      <c r="BD10" s="630"/>
      <c r="BE10" s="630"/>
      <c r="BF10" s="630"/>
      <c r="BG10" s="630"/>
      <c r="BH10" s="630"/>
      <c r="BI10" s="630"/>
      <c r="BJ10" s="630"/>
      <c r="BK10" s="630"/>
      <c r="BL10" s="630"/>
      <c r="BM10" s="630"/>
      <c r="BN10" s="630"/>
      <c r="BO10" s="630"/>
      <c r="BP10" s="630"/>
      <c r="BQ10" s="630"/>
      <c r="BR10" s="630"/>
      <c r="BS10" s="630"/>
      <c r="BT10" s="630"/>
      <c r="BU10" s="630"/>
      <c r="BV10" s="630"/>
      <c r="BW10" s="630"/>
      <c r="BX10" s="630"/>
      <c r="BY10" s="630"/>
      <c r="BZ10" s="630"/>
      <c r="CA10" s="630"/>
      <c r="CB10" s="630"/>
      <c r="CC10" s="630"/>
      <c r="CD10" s="630"/>
      <c r="CE10" s="630"/>
      <c r="CF10" s="630"/>
      <c r="CG10" s="630"/>
      <c r="CH10" s="630"/>
      <c r="CI10" s="630"/>
      <c r="CJ10" s="630"/>
      <c r="CK10" s="630"/>
      <c r="CL10" s="630"/>
      <c r="CM10" s="630"/>
      <c r="CN10" s="630"/>
      <c r="CO10" s="630"/>
      <c r="CP10" s="630"/>
      <c r="CQ10" s="630"/>
      <c r="CR10" s="630"/>
      <c r="CS10" s="630"/>
      <c r="CT10" s="630"/>
      <c r="CU10" s="630"/>
      <c r="CV10" s="630"/>
      <c r="CW10" s="630"/>
      <c r="CX10" s="630"/>
      <c r="CY10" s="630"/>
      <c r="CZ10" s="630"/>
      <c r="DA10" s="630"/>
      <c r="DB10" s="630"/>
      <c r="DC10" s="630"/>
      <c r="DD10" s="630"/>
      <c r="DE10" s="630"/>
      <c r="DF10" s="630"/>
    </row>
    <row r="11" spans="1:110" s="104" customFormat="1" ht="21" customHeight="1" thickBot="1">
      <c r="A11" s="879"/>
      <c r="B11" s="871"/>
      <c r="C11" s="872"/>
      <c r="D11" s="872"/>
      <c r="E11" s="873"/>
      <c r="F11" s="871"/>
      <c r="G11" s="872"/>
      <c r="H11" s="872"/>
      <c r="I11" s="873"/>
      <c r="J11" s="871"/>
      <c r="K11" s="872"/>
      <c r="L11" s="872"/>
      <c r="M11" s="873"/>
      <c r="N11" s="871"/>
      <c r="O11" s="872"/>
      <c r="P11" s="872"/>
      <c r="Q11" s="873"/>
      <c r="R11" s="871"/>
      <c r="S11" s="872"/>
      <c r="T11" s="872"/>
      <c r="U11" s="873"/>
      <c r="V11" s="871"/>
      <c r="W11" s="872"/>
      <c r="X11" s="872"/>
      <c r="Y11" s="873"/>
      <c r="Z11" s="879"/>
      <c r="AA11" s="871"/>
      <c r="AB11" s="872"/>
      <c r="AC11" s="872"/>
      <c r="AD11" s="873"/>
      <c r="AE11" s="871"/>
      <c r="AF11" s="872"/>
      <c r="AG11" s="872"/>
      <c r="AH11" s="873"/>
      <c r="AI11" s="874" t="s">
        <v>341</v>
      </c>
      <c r="AJ11" s="874"/>
      <c r="AK11" s="874"/>
      <c r="AL11" s="874"/>
      <c r="AM11" s="874" t="s">
        <v>342</v>
      </c>
      <c r="AN11" s="874"/>
      <c r="AO11" s="874"/>
      <c r="AP11" s="874"/>
      <c r="AQ11" s="874" t="s">
        <v>340</v>
      </c>
      <c r="AR11" s="874"/>
      <c r="AS11" s="874"/>
      <c r="AT11" s="874"/>
      <c r="AU11" s="630"/>
      <c r="AV11" s="630"/>
      <c r="AW11" s="630"/>
      <c r="AX11" s="630"/>
      <c r="AY11" s="630"/>
      <c r="AZ11" s="630"/>
      <c r="BA11" s="630"/>
      <c r="BB11" s="630"/>
      <c r="BC11" s="630"/>
      <c r="BD11" s="630"/>
      <c r="BE11" s="630"/>
      <c r="BF11" s="630"/>
      <c r="BG11" s="630"/>
      <c r="BH11" s="630"/>
      <c r="BI11" s="630"/>
      <c r="BJ11" s="630"/>
      <c r="BK11" s="630"/>
      <c r="BL11" s="630"/>
      <c r="BM11" s="630"/>
      <c r="BN11" s="630"/>
      <c r="BO11" s="630"/>
      <c r="BP11" s="630"/>
      <c r="BQ11" s="630"/>
      <c r="BR11" s="630"/>
      <c r="BS11" s="630"/>
      <c r="BT11" s="630"/>
      <c r="BU11" s="630"/>
      <c r="BV11" s="630"/>
      <c r="BW11" s="630"/>
      <c r="BX11" s="630"/>
      <c r="BY11" s="630"/>
      <c r="BZ11" s="630"/>
      <c r="CA11" s="630"/>
      <c r="CB11" s="630"/>
      <c r="CC11" s="630"/>
      <c r="CD11" s="630"/>
      <c r="CE11" s="630"/>
      <c r="CF11" s="630"/>
      <c r="CG11" s="630"/>
      <c r="CH11" s="630"/>
      <c r="CI11" s="630"/>
      <c r="CJ11" s="630"/>
      <c r="CK11" s="630"/>
      <c r="CL11" s="630"/>
      <c r="CM11" s="630"/>
      <c r="CN11" s="630"/>
      <c r="CO11" s="630"/>
      <c r="CP11" s="630"/>
      <c r="CQ11" s="630"/>
      <c r="CR11" s="630"/>
      <c r="CS11" s="630"/>
      <c r="CT11" s="630"/>
      <c r="CU11" s="630"/>
      <c r="CV11" s="630"/>
      <c r="CW11" s="630"/>
      <c r="CX11" s="630"/>
      <c r="CY11" s="630"/>
      <c r="CZ11" s="630"/>
      <c r="DA11" s="630"/>
      <c r="DB11" s="630"/>
      <c r="DC11" s="630"/>
      <c r="DD11" s="630"/>
      <c r="DE11" s="630"/>
      <c r="DF11" s="630"/>
    </row>
    <row r="12" spans="1:110" s="104" customFormat="1" ht="41.25" thickBot="1">
      <c r="A12" s="880"/>
      <c r="B12" s="105" t="s">
        <v>343</v>
      </c>
      <c r="C12" s="105" t="s">
        <v>344</v>
      </c>
      <c r="D12" s="105" t="s">
        <v>285</v>
      </c>
      <c r="E12" s="106" t="s">
        <v>286</v>
      </c>
      <c r="F12" s="105" t="s">
        <v>343</v>
      </c>
      <c r="G12" s="105" t="s">
        <v>344</v>
      </c>
      <c r="H12" s="105" t="s">
        <v>285</v>
      </c>
      <c r="I12" s="106" t="s">
        <v>286</v>
      </c>
      <c r="J12" s="105" t="s">
        <v>343</v>
      </c>
      <c r="K12" s="105" t="s">
        <v>344</v>
      </c>
      <c r="L12" s="105" t="s">
        <v>285</v>
      </c>
      <c r="M12" s="106" t="s">
        <v>286</v>
      </c>
      <c r="N12" s="105" t="s">
        <v>343</v>
      </c>
      <c r="O12" s="105" t="s">
        <v>344</v>
      </c>
      <c r="P12" s="105" t="s">
        <v>285</v>
      </c>
      <c r="Q12" s="106" t="s">
        <v>286</v>
      </c>
      <c r="R12" s="105" t="s">
        <v>343</v>
      </c>
      <c r="S12" s="105" t="s">
        <v>344</v>
      </c>
      <c r="T12" s="105" t="s">
        <v>285</v>
      </c>
      <c r="U12" s="106" t="s">
        <v>286</v>
      </c>
      <c r="V12" s="105" t="s">
        <v>343</v>
      </c>
      <c r="W12" s="105" t="s">
        <v>344</v>
      </c>
      <c r="X12" s="105" t="s">
        <v>285</v>
      </c>
      <c r="Y12" s="106" t="s">
        <v>286</v>
      </c>
      <c r="Z12" s="880"/>
      <c r="AA12" s="105" t="s">
        <v>343</v>
      </c>
      <c r="AB12" s="105" t="s">
        <v>344</v>
      </c>
      <c r="AC12" s="105" t="s">
        <v>285</v>
      </c>
      <c r="AD12" s="106" t="s">
        <v>286</v>
      </c>
      <c r="AE12" s="105" t="s">
        <v>343</v>
      </c>
      <c r="AF12" s="105" t="s">
        <v>344</v>
      </c>
      <c r="AG12" s="105" t="s">
        <v>285</v>
      </c>
      <c r="AH12" s="106" t="s">
        <v>286</v>
      </c>
      <c r="AI12" s="105" t="s">
        <v>343</v>
      </c>
      <c r="AJ12" s="105" t="s">
        <v>344</v>
      </c>
      <c r="AK12" s="105" t="s">
        <v>285</v>
      </c>
      <c r="AL12" s="106" t="s">
        <v>286</v>
      </c>
      <c r="AM12" s="105" t="s">
        <v>343</v>
      </c>
      <c r="AN12" s="105" t="s">
        <v>344</v>
      </c>
      <c r="AO12" s="105" t="s">
        <v>285</v>
      </c>
      <c r="AP12" s="106" t="s">
        <v>286</v>
      </c>
      <c r="AQ12" s="105" t="s">
        <v>343</v>
      </c>
      <c r="AR12" s="105" t="s">
        <v>344</v>
      </c>
      <c r="AS12" s="105" t="s">
        <v>285</v>
      </c>
      <c r="AT12" s="106" t="s">
        <v>286</v>
      </c>
      <c r="AU12" s="630"/>
      <c r="AV12" s="630"/>
      <c r="AW12" s="630"/>
      <c r="AX12" s="630"/>
      <c r="AY12" s="630"/>
      <c r="AZ12" s="630"/>
      <c r="BA12" s="630"/>
      <c r="BB12" s="630"/>
      <c r="BC12" s="630"/>
      <c r="BD12" s="630"/>
      <c r="BE12" s="630"/>
      <c r="BF12" s="630"/>
      <c r="BG12" s="630"/>
      <c r="BH12" s="630"/>
      <c r="BI12" s="630"/>
      <c r="BJ12" s="630"/>
      <c r="BK12" s="630"/>
      <c r="BL12" s="630"/>
      <c r="BM12" s="630"/>
      <c r="BN12" s="630"/>
      <c r="BO12" s="630"/>
      <c r="BP12" s="630"/>
      <c r="BQ12" s="630"/>
      <c r="BR12" s="630"/>
      <c r="BS12" s="630"/>
      <c r="BT12" s="630"/>
      <c r="BU12" s="630"/>
      <c r="BV12" s="630"/>
      <c r="BW12" s="630"/>
      <c r="BX12" s="630"/>
      <c r="BY12" s="630"/>
      <c r="BZ12" s="630"/>
      <c r="CA12" s="630"/>
      <c r="CB12" s="630"/>
      <c r="CC12" s="630"/>
      <c r="CD12" s="630"/>
      <c r="CE12" s="630"/>
      <c r="CF12" s="630"/>
      <c r="CG12" s="630"/>
      <c r="CH12" s="630"/>
      <c r="CI12" s="630"/>
      <c r="CJ12" s="630"/>
      <c r="CK12" s="630"/>
      <c r="CL12" s="630"/>
      <c r="CM12" s="630"/>
      <c r="CN12" s="630"/>
      <c r="CO12" s="630"/>
      <c r="CP12" s="630"/>
      <c r="CQ12" s="630"/>
      <c r="CR12" s="630"/>
      <c r="CS12" s="630"/>
      <c r="CT12" s="630"/>
      <c r="CU12" s="630"/>
      <c r="CV12" s="630"/>
      <c r="CW12" s="630"/>
      <c r="CX12" s="630"/>
      <c r="CY12" s="630"/>
      <c r="CZ12" s="630"/>
      <c r="DA12" s="630"/>
      <c r="DB12" s="630"/>
      <c r="DC12" s="630"/>
      <c r="DD12" s="630"/>
      <c r="DE12" s="630"/>
      <c r="DF12" s="630"/>
    </row>
    <row r="13" spans="1:110" ht="35.25" customHeight="1">
      <c r="A13" s="486" t="s">
        <v>627</v>
      </c>
      <c r="B13" s="487"/>
      <c r="C13" s="487"/>
      <c r="D13" s="487"/>
      <c r="E13" s="502"/>
      <c r="F13" s="487"/>
      <c r="G13" s="487"/>
      <c r="H13" s="487"/>
      <c r="I13" s="487"/>
      <c r="J13" s="487"/>
      <c r="K13" s="487"/>
      <c r="L13" s="487"/>
      <c r="M13" s="487"/>
      <c r="N13" s="487"/>
      <c r="O13" s="487"/>
      <c r="P13" s="487"/>
      <c r="Q13" s="502"/>
      <c r="R13" s="487"/>
      <c r="S13" s="487"/>
      <c r="T13" s="487"/>
      <c r="U13" s="502"/>
      <c r="V13" s="107"/>
      <c r="W13" s="107"/>
      <c r="X13" s="107"/>
      <c r="Y13" s="107"/>
      <c r="Z13" s="486" t="s">
        <v>627</v>
      </c>
      <c r="AA13" s="487"/>
      <c r="AB13" s="487"/>
      <c r="AC13" s="487"/>
      <c r="AD13" s="502"/>
      <c r="AE13" s="487"/>
      <c r="AF13" s="487"/>
      <c r="AG13" s="487"/>
      <c r="AH13" s="502"/>
      <c r="AI13" s="107"/>
      <c r="AJ13" s="107"/>
      <c r="AK13" s="107"/>
      <c r="AL13" s="108"/>
      <c r="AM13" s="107"/>
      <c r="AN13" s="107"/>
      <c r="AO13" s="107"/>
      <c r="AP13" s="108"/>
      <c r="AQ13" s="107"/>
      <c r="AR13" s="107"/>
      <c r="AS13" s="107"/>
      <c r="AT13" s="108"/>
    </row>
    <row r="14" spans="1:110" ht="40.5">
      <c r="A14" s="614" t="s">
        <v>346</v>
      </c>
      <c r="B14" s="489">
        <v>1638068833</v>
      </c>
      <c r="C14" s="489">
        <v>1808615551</v>
      </c>
      <c r="D14" s="489">
        <v>1808615551</v>
      </c>
      <c r="E14" s="503">
        <f>SUM(D14/C14)</f>
        <v>1</v>
      </c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511"/>
      <c r="R14" s="496"/>
      <c r="S14" s="496"/>
      <c r="T14" s="496"/>
      <c r="U14" s="511"/>
      <c r="V14" s="111"/>
      <c r="W14" s="111"/>
      <c r="X14" s="111"/>
      <c r="Y14" s="111"/>
      <c r="Z14" s="614" t="s">
        <v>346</v>
      </c>
      <c r="AA14" s="496"/>
      <c r="AB14" s="496"/>
      <c r="AC14" s="496"/>
      <c r="AD14" s="511"/>
      <c r="AE14" s="496"/>
      <c r="AF14" s="496"/>
      <c r="AG14" s="496"/>
      <c r="AH14" s="511"/>
      <c r="AI14" s="109">
        <f t="shared" ref="AI14:AI30" si="0">SUM(B14+J14+N14+V14+AE14)</f>
        <v>1638068833</v>
      </c>
      <c r="AJ14" s="109">
        <f t="shared" ref="AJ14:AJ30" si="1">SUM(C14+K14+O14+W14+AF14)</f>
        <v>1808615551</v>
      </c>
      <c r="AK14" s="109">
        <f t="shared" ref="AK14:AK30" si="2">SUM(D14+L14+P14+X14+AG14)</f>
        <v>1808615551</v>
      </c>
      <c r="AL14" s="110">
        <f>SUM(AK14/AJ14)</f>
        <v>1</v>
      </c>
      <c r="AM14" s="109">
        <f t="shared" ref="AM14:AM30" si="3">SUM(F14+R14+AA14)</f>
        <v>0</v>
      </c>
      <c r="AN14" s="109">
        <f t="shared" ref="AN14:AN30" si="4">SUM(G14+S14+AB14)</f>
        <v>0</v>
      </c>
      <c r="AO14" s="109">
        <f t="shared" ref="AO14:AO30" si="5">SUM(H14+T14+AC14)</f>
        <v>0</v>
      </c>
      <c r="AP14" s="110">
        <v>0</v>
      </c>
      <c r="AQ14" s="111">
        <f t="shared" ref="AQ14:AQ30" si="6">SUM(B14+F14+J14+N14+R14+V14+AA14+AE14)</f>
        <v>1638068833</v>
      </c>
      <c r="AR14" s="111">
        <f t="shared" ref="AR14:AR30" si="7">SUM(C14+G14+K14+O14+S14+W14+AB14+AF14)</f>
        <v>1808615551</v>
      </c>
      <c r="AS14" s="111">
        <f t="shared" ref="AS14:AS30" si="8">SUM(D14+H14+L14+P14+T14+X14+AC14+AG14)</f>
        <v>1808615551</v>
      </c>
      <c r="AT14" s="112">
        <f>AS14/AR14</f>
        <v>1</v>
      </c>
      <c r="AU14" s="625"/>
    </row>
    <row r="15" spans="1:110" ht="27.75" customHeight="1">
      <c r="A15" s="488" t="s">
        <v>347</v>
      </c>
      <c r="B15" s="489">
        <v>7560000</v>
      </c>
      <c r="C15" s="489">
        <v>7560000</v>
      </c>
      <c r="D15" s="489">
        <v>7560000</v>
      </c>
      <c r="E15" s="503">
        <f t="shared" ref="E15:E17" si="9">SUM(D15/C15)</f>
        <v>1</v>
      </c>
      <c r="F15" s="496"/>
      <c r="G15" s="496"/>
      <c r="H15" s="496"/>
      <c r="I15" s="496"/>
      <c r="J15" s="496"/>
      <c r="K15" s="496"/>
      <c r="L15" s="496"/>
      <c r="M15" s="496"/>
      <c r="N15" s="496"/>
      <c r="O15" s="496"/>
      <c r="P15" s="496"/>
      <c r="Q15" s="511"/>
      <c r="R15" s="496"/>
      <c r="S15" s="496"/>
      <c r="T15" s="496"/>
      <c r="U15" s="511"/>
      <c r="V15" s="111"/>
      <c r="W15" s="111"/>
      <c r="X15" s="111"/>
      <c r="Y15" s="111"/>
      <c r="Z15" s="488" t="s">
        <v>347</v>
      </c>
      <c r="AA15" s="496"/>
      <c r="AB15" s="496"/>
      <c r="AC15" s="496"/>
      <c r="AD15" s="511"/>
      <c r="AE15" s="496"/>
      <c r="AF15" s="496"/>
      <c r="AG15" s="496"/>
      <c r="AH15" s="511"/>
      <c r="AI15" s="109">
        <f t="shared" si="0"/>
        <v>7560000</v>
      </c>
      <c r="AJ15" s="109">
        <f t="shared" si="1"/>
        <v>7560000</v>
      </c>
      <c r="AK15" s="109">
        <f t="shared" si="2"/>
        <v>7560000</v>
      </c>
      <c r="AL15" s="110">
        <f t="shared" ref="AL15:AL30" si="10">SUM(AK15/AJ15)</f>
        <v>1</v>
      </c>
      <c r="AM15" s="109">
        <f t="shared" si="3"/>
        <v>0</v>
      </c>
      <c r="AN15" s="109">
        <f t="shared" si="4"/>
        <v>0</v>
      </c>
      <c r="AO15" s="109">
        <f t="shared" si="5"/>
        <v>0</v>
      </c>
      <c r="AP15" s="110">
        <v>0</v>
      </c>
      <c r="AQ15" s="111">
        <f t="shared" si="6"/>
        <v>7560000</v>
      </c>
      <c r="AR15" s="111">
        <f t="shared" si="7"/>
        <v>7560000</v>
      </c>
      <c r="AS15" s="111">
        <f t="shared" si="8"/>
        <v>7560000</v>
      </c>
      <c r="AT15" s="112">
        <f t="shared" ref="AT15:AT30" si="11">AS15/AR15</f>
        <v>1</v>
      </c>
      <c r="AU15" s="625"/>
    </row>
    <row r="16" spans="1:110" ht="27.75" customHeight="1">
      <c r="A16" s="488" t="s">
        <v>348</v>
      </c>
      <c r="B16" s="490">
        <v>1000000</v>
      </c>
      <c r="C16" s="490">
        <v>1000000</v>
      </c>
      <c r="D16" s="490">
        <v>2959584</v>
      </c>
      <c r="E16" s="503">
        <f t="shared" si="9"/>
        <v>2.959584</v>
      </c>
      <c r="F16" s="496"/>
      <c r="G16" s="496"/>
      <c r="H16" s="496"/>
      <c r="I16" s="496"/>
      <c r="J16" s="496"/>
      <c r="K16" s="496"/>
      <c r="L16" s="496"/>
      <c r="M16" s="496"/>
      <c r="N16" s="489"/>
      <c r="O16" s="489"/>
      <c r="P16" s="489"/>
      <c r="Q16" s="503"/>
      <c r="R16" s="496"/>
      <c r="S16" s="496"/>
      <c r="T16" s="496"/>
      <c r="U16" s="511"/>
      <c r="V16" s="111"/>
      <c r="W16" s="111"/>
      <c r="X16" s="111"/>
      <c r="Y16" s="111"/>
      <c r="Z16" s="488" t="s">
        <v>348</v>
      </c>
      <c r="AA16" s="496"/>
      <c r="AB16" s="496"/>
      <c r="AC16" s="496"/>
      <c r="AD16" s="511"/>
      <c r="AE16" s="496"/>
      <c r="AF16" s="496"/>
      <c r="AG16" s="496"/>
      <c r="AH16" s="511"/>
      <c r="AI16" s="109">
        <f t="shared" si="0"/>
        <v>1000000</v>
      </c>
      <c r="AJ16" s="109">
        <f t="shared" si="1"/>
        <v>1000000</v>
      </c>
      <c r="AK16" s="109">
        <f t="shared" si="2"/>
        <v>2959584</v>
      </c>
      <c r="AL16" s="110">
        <f t="shared" si="10"/>
        <v>2.959584</v>
      </c>
      <c r="AM16" s="109">
        <f t="shared" si="3"/>
        <v>0</v>
      </c>
      <c r="AN16" s="109">
        <f t="shared" si="4"/>
        <v>0</v>
      </c>
      <c r="AO16" s="109">
        <f t="shared" si="5"/>
        <v>0</v>
      </c>
      <c r="AP16" s="110">
        <v>0</v>
      </c>
      <c r="AQ16" s="111">
        <f t="shared" si="6"/>
        <v>1000000</v>
      </c>
      <c r="AR16" s="111">
        <f t="shared" si="7"/>
        <v>1000000</v>
      </c>
      <c r="AS16" s="111">
        <f t="shared" si="8"/>
        <v>2959584</v>
      </c>
      <c r="AT16" s="112">
        <f t="shared" si="11"/>
        <v>2.959584</v>
      </c>
      <c r="AU16" s="625"/>
    </row>
    <row r="17" spans="1:110" ht="27.75" customHeight="1">
      <c r="A17" s="488" t="s">
        <v>793</v>
      </c>
      <c r="B17" s="490"/>
      <c r="C17" s="490">
        <v>15653500</v>
      </c>
      <c r="D17" s="490">
        <v>15653500</v>
      </c>
      <c r="E17" s="503">
        <f t="shared" si="9"/>
        <v>1</v>
      </c>
      <c r="F17" s="496"/>
      <c r="G17" s="496"/>
      <c r="H17" s="496"/>
      <c r="I17" s="496"/>
      <c r="J17" s="496"/>
      <c r="K17" s="496"/>
      <c r="L17" s="496"/>
      <c r="M17" s="496"/>
      <c r="N17" s="489"/>
      <c r="O17" s="489"/>
      <c r="P17" s="489"/>
      <c r="Q17" s="503"/>
      <c r="R17" s="496"/>
      <c r="S17" s="496"/>
      <c r="T17" s="496"/>
      <c r="U17" s="511"/>
      <c r="V17" s="111"/>
      <c r="W17" s="111"/>
      <c r="X17" s="111"/>
      <c r="Y17" s="111"/>
      <c r="Z17" s="488" t="s">
        <v>793</v>
      </c>
      <c r="AA17" s="496"/>
      <c r="AB17" s="496"/>
      <c r="AC17" s="496"/>
      <c r="AD17" s="511"/>
      <c r="AE17" s="496"/>
      <c r="AF17" s="496"/>
      <c r="AG17" s="496"/>
      <c r="AH17" s="511"/>
      <c r="AI17" s="109">
        <f t="shared" si="0"/>
        <v>0</v>
      </c>
      <c r="AJ17" s="109">
        <f t="shared" si="1"/>
        <v>15653500</v>
      </c>
      <c r="AK17" s="109">
        <f t="shared" si="2"/>
        <v>15653500</v>
      </c>
      <c r="AL17" s="110">
        <f t="shared" si="10"/>
        <v>1</v>
      </c>
      <c r="AM17" s="109">
        <f t="shared" si="3"/>
        <v>0</v>
      </c>
      <c r="AN17" s="109">
        <f t="shared" si="4"/>
        <v>0</v>
      </c>
      <c r="AO17" s="109">
        <f t="shared" si="5"/>
        <v>0</v>
      </c>
      <c r="AP17" s="110">
        <v>0</v>
      </c>
      <c r="AQ17" s="111">
        <f t="shared" si="6"/>
        <v>0</v>
      </c>
      <c r="AR17" s="111">
        <f t="shared" si="7"/>
        <v>15653500</v>
      </c>
      <c r="AS17" s="111">
        <f t="shared" si="8"/>
        <v>15653500</v>
      </c>
      <c r="AT17" s="112">
        <f t="shared" si="11"/>
        <v>1</v>
      </c>
      <c r="AU17" s="625"/>
    </row>
    <row r="18" spans="1:110" ht="27.75" customHeight="1">
      <c r="A18" s="488" t="s">
        <v>349</v>
      </c>
      <c r="B18" s="490"/>
      <c r="C18" s="490"/>
      <c r="D18" s="490"/>
      <c r="E18" s="504"/>
      <c r="F18" s="496"/>
      <c r="G18" s="489"/>
      <c r="H18" s="489"/>
      <c r="I18" s="489"/>
      <c r="J18" s="489">
        <v>10000000</v>
      </c>
      <c r="K18" s="489">
        <v>10000000</v>
      </c>
      <c r="L18" s="489">
        <v>13326927</v>
      </c>
      <c r="M18" s="503">
        <f>SUM(L18/K18)</f>
        <v>1.3326927</v>
      </c>
      <c r="N18" s="489"/>
      <c r="O18" s="489"/>
      <c r="P18" s="489"/>
      <c r="Q18" s="503"/>
      <c r="R18" s="496"/>
      <c r="S18" s="496"/>
      <c r="T18" s="496"/>
      <c r="U18" s="511"/>
      <c r="V18" s="111"/>
      <c r="W18" s="111"/>
      <c r="X18" s="111"/>
      <c r="Y18" s="111"/>
      <c r="Z18" s="488" t="s">
        <v>349</v>
      </c>
      <c r="AA18" s="496"/>
      <c r="AB18" s="496"/>
      <c r="AC18" s="496"/>
      <c r="AD18" s="511"/>
      <c r="AE18" s="496"/>
      <c r="AF18" s="496"/>
      <c r="AG18" s="496"/>
      <c r="AH18" s="511"/>
      <c r="AI18" s="109">
        <f t="shared" si="0"/>
        <v>10000000</v>
      </c>
      <c r="AJ18" s="109">
        <f t="shared" si="1"/>
        <v>10000000</v>
      </c>
      <c r="AK18" s="109">
        <f t="shared" si="2"/>
        <v>13326927</v>
      </c>
      <c r="AL18" s="110">
        <f t="shared" si="10"/>
        <v>1.3326927</v>
      </c>
      <c r="AM18" s="109">
        <f t="shared" si="3"/>
        <v>0</v>
      </c>
      <c r="AN18" s="109">
        <f t="shared" si="4"/>
        <v>0</v>
      </c>
      <c r="AO18" s="109">
        <f t="shared" si="5"/>
        <v>0</v>
      </c>
      <c r="AP18" s="110">
        <v>0</v>
      </c>
      <c r="AQ18" s="111">
        <f t="shared" si="6"/>
        <v>10000000</v>
      </c>
      <c r="AR18" s="111">
        <f t="shared" si="7"/>
        <v>10000000</v>
      </c>
      <c r="AS18" s="111">
        <f t="shared" si="8"/>
        <v>13326927</v>
      </c>
      <c r="AT18" s="112">
        <f t="shared" si="11"/>
        <v>1.3326927</v>
      </c>
      <c r="AU18" s="625"/>
    </row>
    <row r="19" spans="1:110" ht="27.75" customHeight="1">
      <c r="A19" s="488" t="s">
        <v>350</v>
      </c>
      <c r="B19" s="490"/>
      <c r="C19" s="490"/>
      <c r="D19" s="490"/>
      <c r="E19" s="504"/>
      <c r="F19" s="496"/>
      <c r="G19" s="489"/>
      <c r="H19" s="489"/>
      <c r="I19" s="489"/>
      <c r="J19" s="489"/>
      <c r="K19" s="489"/>
      <c r="L19" s="489"/>
      <c r="M19" s="489"/>
      <c r="N19" s="489">
        <v>900000</v>
      </c>
      <c r="O19" s="489">
        <v>900000</v>
      </c>
      <c r="P19" s="489">
        <v>8632945</v>
      </c>
      <c r="Q19" s="503">
        <f>SUM(P19/O19)</f>
        <v>9.5921611111111105</v>
      </c>
      <c r="R19" s="496"/>
      <c r="S19" s="496"/>
      <c r="T19" s="496"/>
      <c r="U19" s="511"/>
      <c r="V19" s="111"/>
      <c r="W19" s="111"/>
      <c r="X19" s="111"/>
      <c r="Y19" s="111"/>
      <c r="Z19" s="488" t="s">
        <v>350</v>
      </c>
      <c r="AA19" s="496"/>
      <c r="AB19" s="496"/>
      <c r="AC19" s="496"/>
      <c r="AD19" s="511"/>
      <c r="AE19" s="496"/>
      <c r="AF19" s="496"/>
      <c r="AG19" s="496"/>
      <c r="AH19" s="511"/>
      <c r="AI19" s="109">
        <f t="shared" si="0"/>
        <v>900000</v>
      </c>
      <c r="AJ19" s="109">
        <f t="shared" si="1"/>
        <v>900000</v>
      </c>
      <c r="AK19" s="109">
        <f t="shared" si="2"/>
        <v>8632945</v>
      </c>
      <c r="AL19" s="110">
        <f>SUM(AK19/AJ19)</f>
        <v>9.5921611111111105</v>
      </c>
      <c r="AM19" s="109">
        <f t="shared" si="3"/>
        <v>0</v>
      </c>
      <c r="AN19" s="109">
        <f t="shared" si="4"/>
        <v>0</v>
      </c>
      <c r="AO19" s="109">
        <f t="shared" si="5"/>
        <v>0</v>
      </c>
      <c r="AP19" s="110">
        <v>0</v>
      </c>
      <c r="AQ19" s="111">
        <f t="shared" si="6"/>
        <v>900000</v>
      </c>
      <c r="AR19" s="111">
        <f t="shared" si="7"/>
        <v>900000</v>
      </c>
      <c r="AS19" s="111">
        <f t="shared" si="8"/>
        <v>8632945</v>
      </c>
      <c r="AT19" s="112">
        <f t="shared" si="11"/>
        <v>9.5921611111111105</v>
      </c>
      <c r="AU19" s="625"/>
    </row>
    <row r="20" spans="1:110" ht="27.75" customHeight="1">
      <c r="A20" s="488" t="s">
        <v>351</v>
      </c>
      <c r="B20" s="490"/>
      <c r="C20" s="490"/>
      <c r="D20" s="490"/>
      <c r="E20" s="504"/>
      <c r="F20" s="496"/>
      <c r="G20" s="489"/>
      <c r="H20" s="489"/>
      <c r="I20" s="489"/>
      <c r="J20" s="489">
        <v>585400000</v>
      </c>
      <c r="K20" s="489">
        <v>625400000</v>
      </c>
      <c r="L20" s="489">
        <f>609195944+3365000</f>
        <v>612560944</v>
      </c>
      <c r="M20" s="503">
        <f t="shared" ref="M20:M23" si="12">SUM(L20/K20)</f>
        <v>0.97947064918452187</v>
      </c>
      <c r="N20" s="489"/>
      <c r="O20" s="489"/>
      <c r="P20" s="489"/>
      <c r="Q20" s="503"/>
      <c r="R20" s="496"/>
      <c r="S20" s="496"/>
      <c r="T20" s="496"/>
      <c r="U20" s="511"/>
      <c r="V20" s="111"/>
      <c r="W20" s="111"/>
      <c r="X20" s="111"/>
      <c r="Y20" s="111"/>
      <c r="Z20" s="488" t="s">
        <v>351</v>
      </c>
      <c r="AA20" s="496"/>
      <c r="AB20" s="496"/>
      <c r="AC20" s="496"/>
      <c r="AD20" s="511"/>
      <c r="AE20" s="496"/>
      <c r="AF20" s="496"/>
      <c r="AG20" s="496"/>
      <c r="AH20" s="511"/>
      <c r="AI20" s="109">
        <f t="shared" si="0"/>
        <v>585400000</v>
      </c>
      <c r="AJ20" s="109">
        <f t="shared" si="1"/>
        <v>625400000</v>
      </c>
      <c r="AK20" s="109">
        <f t="shared" si="2"/>
        <v>612560944</v>
      </c>
      <c r="AL20" s="110">
        <f t="shared" si="10"/>
        <v>0.97947064918452187</v>
      </c>
      <c r="AM20" s="109">
        <f t="shared" si="3"/>
        <v>0</v>
      </c>
      <c r="AN20" s="109">
        <f t="shared" si="4"/>
        <v>0</v>
      </c>
      <c r="AO20" s="109">
        <f t="shared" si="5"/>
        <v>0</v>
      </c>
      <c r="AP20" s="110">
        <v>0</v>
      </c>
      <c r="AQ20" s="111">
        <f t="shared" si="6"/>
        <v>585400000</v>
      </c>
      <c r="AR20" s="111">
        <f t="shared" si="7"/>
        <v>625400000</v>
      </c>
      <c r="AS20" s="111">
        <f t="shared" si="8"/>
        <v>612560944</v>
      </c>
      <c r="AT20" s="112">
        <f t="shared" si="11"/>
        <v>0.97947064918452187</v>
      </c>
      <c r="AU20" s="625"/>
    </row>
    <row r="21" spans="1:110" ht="27.75" customHeight="1">
      <c r="A21" s="488" t="s">
        <v>352</v>
      </c>
      <c r="B21" s="490"/>
      <c r="C21" s="490"/>
      <c r="D21" s="490"/>
      <c r="E21" s="504"/>
      <c r="F21" s="496"/>
      <c r="G21" s="489"/>
      <c r="H21" s="489"/>
      <c r="I21" s="489"/>
      <c r="J21" s="489">
        <v>5000000</v>
      </c>
      <c r="K21" s="489">
        <v>5000000</v>
      </c>
      <c r="L21" s="489">
        <v>5145360</v>
      </c>
      <c r="M21" s="503">
        <f t="shared" si="12"/>
        <v>1.029072</v>
      </c>
      <c r="N21" s="489"/>
      <c r="O21" s="489"/>
      <c r="P21" s="489"/>
      <c r="Q21" s="503"/>
      <c r="R21" s="496"/>
      <c r="S21" s="496"/>
      <c r="T21" s="496"/>
      <c r="U21" s="511"/>
      <c r="V21" s="114"/>
      <c r="W21" s="114"/>
      <c r="X21" s="114"/>
      <c r="Y21" s="114"/>
      <c r="Z21" s="488" t="s">
        <v>352</v>
      </c>
      <c r="AA21" s="496"/>
      <c r="AB21" s="496"/>
      <c r="AC21" s="496"/>
      <c r="AD21" s="511"/>
      <c r="AE21" s="496"/>
      <c r="AF21" s="496"/>
      <c r="AG21" s="496"/>
      <c r="AH21" s="511"/>
      <c r="AI21" s="109">
        <f t="shared" si="0"/>
        <v>5000000</v>
      </c>
      <c r="AJ21" s="109">
        <f t="shared" si="1"/>
        <v>5000000</v>
      </c>
      <c r="AK21" s="109">
        <f t="shared" si="2"/>
        <v>5145360</v>
      </c>
      <c r="AL21" s="110">
        <f t="shared" si="10"/>
        <v>1.029072</v>
      </c>
      <c r="AM21" s="109">
        <f t="shared" si="3"/>
        <v>0</v>
      </c>
      <c r="AN21" s="109">
        <f t="shared" si="4"/>
        <v>0</v>
      </c>
      <c r="AO21" s="109">
        <f t="shared" si="5"/>
        <v>0</v>
      </c>
      <c r="AP21" s="110">
        <v>0</v>
      </c>
      <c r="AQ21" s="111">
        <f t="shared" si="6"/>
        <v>5000000</v>
      </c>
      <c r="AR21" s="111">
        <f t="shared" si="7"/>
        <v>5000000</v>
      </c>
      <c r="AS21" s="111">
        <f t="shared" si="8"/>
        <v>5145360</v>
      </c>
      <c r="AT21" s="112">
        <f t="shared" si="11"/>
        <v>1.029072</v>
      </c>
      <c r="AU21" s="625"/>
    </row>
    <row r="22" spans="1:110" ht="27.75" customHeight="1">
      <c r="A22" s="488" t="s">
        <v>353</v>
      </c>
      <c r="B22" s="490"/>
      <c r="C22" s="490"/>
      <c r="D22" s="490"/>
      <c r="E22" s="504"/>
      <c r="F22" s="497"/>
      <c r="G22" s="497"/>
      <c r="H22" s="497"/>
      <c r="I22" s="497"/>
      <c r="J22" s="490">
        <v>42000000</v>
      </c>
      <c r="K22" s="490">
        <v>42000000</v>
      </c>
      <c r="L22" s="490">
        <v>43895860</v>
      </c>
      <c r="M22" s="503">
        <f t="shared" si="12"/>
        <v>1.0451395238095238</v>
      </c>
      <c r="N22" s="489"/>
      <c r="O22" s="489"/>
      <c r="P22" s="489"/>
      <c r="Q22" s="503"/>
      <c r="R22" s="490"/>
      <c r="S22" s="490"/>
      <c r="T22" s="490"/>
      <c r="U22" s="504"/>
      <c r="V22" s="114"/>
      <c r="W22" s="114"/>
      <c r="X22" s="114"/>
      <c r="Y22" s="114"/>
      <c r="Z22" s="488" t="s">
        <v>353</v>
      </c>
      <c r="AA22" s="490"/>
      <c r="AB22" s="490"/>
      <c r="AC22" s="490"/>
      <c r="AD22" s="504"/>
      <c r="AE22" s="490"/>
      <c r="AF22" s="490"/>
      <c r="AG22" s="490"/>
      <c r="AH22" s="504"/>
      <c r="AI22" s="109">
        <f t="shared" si="0"/>
        <v>42000000</v>
      </c>
      <c r="AJ22" s="109">
        <f t="shared" si="1"/>
        <v>42000000</v>
      </c>
      <c r="AK22" s="109">
        <f t="shared" si="2"/>
        <v>43895860</v>
      </c>
      <c r="AL22" s="110">
        <f t="shared" si="10"/>
        <v>1.0451395238095238</v>
      </c>
      <c r="AM22" s="109">
        <f t="shared" si="3"/>
        <v>0</v>
      </c>
      <c r="AN22" s="109">
        <f t="shared" si="4"/>
        <v>0</v>
      </c>
      <c r="AO22" s="109">
        <f t="shared" si="5"/>
        <v>0</v>
      </c>
      <c r="AP22" s="110">
        <v>0</v>
      </c>
      <c r="AQ22" s="111">
        <f t="shared" si="6"/>
        <v>42000000</v>
      </c>
      <c r="AR22" s="111">
        <f t="shared" si="7"/>
        <v>42000000</v>
      </c>
      <c r="AS22" s="111">
        <f t="shared" si="8"/>
        <v>43895860</v>
      </c>
      <c r="AT22" s="112">
        <f t="shared" si="11"/>
        <v>1.0451395238095238</v>
      </c>
      <c r="AU22" s="625"/>
    </row>
    <row r="23" spans="1:110" ht="27.75" customHeight="1">
      <c r="A23" s="488" t="s">
        <v>354</v>
      </c>
      <c r="B23" s="490"/>
      <c r="C23" s="490"/>
      <c r="D23" s="490"/>
      <c r="E23" s="504"/>
      <c r="F23" s="497"/>
      <c r="G23" s="497"/>
      <c r="H23" s="497"/>
      <c r="I23" s="497"/>
      <c r="J23" s="490">
        <v>30000</v>
      </c>
      <c r="K23" s="490">
        <v>30000</v>
      </c>
      <c r="L23" s="490">
        <v>518738</v>
      </c>
      <c r="M23" s="503">
        <f t="shared" si="12"/>
        <v>17.291266666666665</v>
      </c>
      <c r="N23" s="489"/>
      <c r="O23" s="489"/>
      <c r="P23" s="489"/>
      <c r="Q23" s="503"/>
      <c r="R23" s="490"/>
      <c r="S23" s="490"/>
      <c r="T23" s="490"/>
      <c r="U23" s="504"/>
      <c r="V23" s="114"/>
      <c r="W23" s="114"/>
      <c r="X23" s="114"/>
      <c r="Y23" s="114"/>
      <c r="Z23" s="488" t="s">
        <v>354</v>
      </c>
      <c r="AA23" s="490"/>
      <c r="AB23" s="490"/>
      <c r="AC23" s="490"/>
      <c r="AD23" s="504"/>
      <c r="AE23" s="490"/>
      <c r="AF23" s="490"/>
      <c r="AG23" s="490"/>
      <c r="AH23" s="504"/>
      <c r="AI23" s="109">
        <f t="shared" si="0"/>
        <v>30000</v>
      </c>
      <c r="AJ23" s="109">
        <f t="shared" si="1"/>
        <v>30000</v>
      </c>
      <c r="AK23" s="109">
        <f t="shared" si="2"/>
        <v>518738</v>
      </c>
      <c r="AL23" s="110">
        <f t="shared" si="10"/>
        <v>17.291266666666665</v>
      </c>
      <c r="AM23" s="109">
        <f t="shared" si="3"/>
        <v>0</v>
      </c>
      <c r="AN23" s="109">
        <f t="shared" si="4"/>
        <v>0</v>
      </c>
      <c r="AO23" s="109">
        <f t="shared" si="5"/>
        <v>0</v>
      </c>
      <c r="AP23" s="110">
        <v>0</v>
      </c>
      <c r="AQ23" s="111">
        <f t="shared" si="6"/>
        <v>30000</v>
      </c>
      <c r="AR23" s="111">
        <f t="shared" si="7"/>
        <v>30000</v>
      </c>
      <c r="AS23" s="111">
        <f t="shared" si="8"/>
        <v>518738</v>
      </c>
      <c r="AT23" s="112">
        <f t="shared" si="11"/>
        <v>17.291266666666665</v>
      </c>
      <c r="AU23" s="625"/>
    </row>
    <row r="24" spans="1:110" ht="27.75" customHeight="1">
      <c r="A24" s="488" t="s">
        <v>355</v>
      </c>
      <c r="B24" s="490"/>
      <c r="C24" s="490"/>
      <c r="D24" s="490"/>
      <c r="E24" s="504"/>
      <c r="F24" s="497"/>
      <c r="G24" s="497"/>
      <c r="H24" s="497"/>
      <c r="I24" s="497"/>
      <c r="J24" s="490">
        <v>1300000</v>
      </c>
      <c r="K24" s="490">
        <v>1300000</v>
      </c>
      <c r="L24" s="490">
        <v>6455277</v>
      </c>
      <c r="M24" s="503">
        <f>SUM(L24/K24)</f>
        <v>4.9655976923076919</v>
      </c>
      <c r="N24" s="489"/>
      <c r="O24" s="489"/>
      <c r="P24" s="489"/>
      <c r="Q24" s="503"/>
      <c r="R24" s="490"/>
      <c r="S24" s="490"/>
      <c r="T24" s="490"/>
      <c r="U24" s="504"/>
      <c r="V24" s="114"/>
      <c r="W24" s="114"/>
      <c r="X24" s="114"/>
      <c r="Y24" s="114"/>
      <c r="Z24" s="488" t="s">
        <v>355</v>
      </c>
      <c r="AA24" s="490"/>
      <c r="AB24" s="490"/>
      <c r="AC24" s="490"/>
      <c r="AD24" s="504"/>
      <c r="AE24" s="490"/>
      <c r="AF24" s="490"/>
      <c r="AG24" s="490"/>
      <c r="AH24" s="504"/>
      <c r="AI24" s="109">
        <f t="shared" si="0"/>
        <v>1300000</v>
      </c>
      <c r="AJ24" s="109">
        <f t="shared" si="1"/>
        <v>1300000</v>
      </c>
      <c r="AK24" s="109">
        <f t="shared" si="2"/>
        <v>6455277</v>
      </c>
      <c r="AL24" s="110">
        <f t="shared" si="10"/>
        <v>4.9655976923076919</v>
      </c>
      <c r="AM24" s="109">
        <f t="shared" si="3"/>
        <v>0</v>
      </c>
      <c r="AN24" s="109">
        <f t="shared" si="4"/>
        <v>0</v>
      </c>
      <c r="AO24" s="109">
        <f t="shared" si="5"/>
        <v>0</v>
      </c>
      <c r="AP24" s="110">
        <v>0</v>
      </c>
      <c r="AQ24" s="111">
        <f t="shared" si="6"/>
        <v>1300000</v>
      </c>
      <c r="AR24" s="111">
        <f t="shared" si="7"/>
        <v>1300000</v>
      </c>
      <c r="AS24" s="111">
        <f t="shared" si="8"/>
        <v>6455277</v>
      </c>
      <c r="AT24" s="112">
        <f t="shared" si="11"/>
        <v>4.9655976923076919</v>
      </c>
      <c r="AU24" s="625"/>
    </row>
    <row r="25" spans="1:110" ht="27.75" customHeight="1">
      <c r="A25" s="115" t="s">
        <v>819</v>
      </c>
      <c r="B25" s="490"/>
      <c r="C25" s="490"/>
      <c r="D25" s="490"/>
      <c r="E25" s="504"/>
      <c r="F25" s="497"/>
      <c r="G25" s="497"/>
      <c r="H25" s="497"/>
      <c r="I25" s="497"/>
      <c r="J25" s="490"/>
      <c r="K25" s="490"/>
      <c r="L25" s="490">
        <v>8997793</v>
      </c>
      <c r="M25" s="503">
        <v>0</v>
      </c>
      <c r="N25" s="489"/>
      <c r="O25" s="489"/>
      <c r="P25" s="489"/>
      <c r="Q25" s="503"/>
      <c r="R25" s="490"/>
      <c r="S25" s="490"/>
      <c r="T25" s="490"/>
      <c r="U25" s="504"/>
      <c r="V25" s="114"/>
      <c r="W25" s="114"/>
      <c r="X25" s="114"/>
      <c r="Y25" s="114"/>
      <c r="Z25" s="115" t="s">
        <v>819</v>
      </c>
      <c r="AA25" s="490"/>
      <c r="AB25" s="490"/>
      <c r="AC25" s="490"/>
      <c r="AD25" s="504"/>
      <c r="AE25" s="490"/>
      <c r="AF25" s="490"/>
      <c r="AG25" s="490"/>
      <c r="AH25" s="504"/>
      <c r="AI25" s="109">
        <f t="shared" si="0"/>
        <v>0</v>
      </c>
      <c r="AJ25" s="109">
        <f t="shared" si="1"/>
        <v>0</v>
      </c>
      <c r="AK25" s="109">
        <f t="shared" si="2"/>
        <v>8997793</v>
      </c>
      <c r="AL25" s="110">
        <v>0</v>
      </c>
      <c r="AM25" s="109">
        <f t="shared" si="3"/>
        <v>0</v>
      </c>
      <c r="AN25" s="109">
        <f t="shared" si="4"/>
        <v>0</v>
      </c>
      <c r="AO25" s="109">
        <f t="shared" si="5"/>
        <v>0</v>
      </c>
      <c r="AP25" s="110">
        <v>0</v>
      </c>
      <c r="AQ25" s="111">
        <f t="shared" si="6"/>
        <v>0</v>
      </c>
      <c r="AR25" s="111">
        <f t="shared" si="7"/>
        <v>0</v>
      </c>
      <c r="AS25" s="111">
        <f t="shared" si="8"/>
        <v>8997793</v>
      </c>
      <c r="AT25" s="112">
        <v>0</v>
      </c>
      <c r="AU25" s="625"/>
    </row>
    <row r="26" spans="1:110" ht="27.75" customHeight="1">
      <c r="A26" s="115" t="s">
        <v>818</v>
      </c>
      <c r="B26" s="490"/>
      <c r="C26" s="490"/>
      <c r="D26" s="490"/>
      <c r="E26" s="503"/>
      <c r="F26" s="497"/>
      <c r="G26" s="497"/>
      <c r="H26" s="497"/>
      <c r="I26" s="497"/>
      <c r="J26" s="490">
        <v>3000000</v>
      </c>
      <c r="K26" s="490">
        <v>3000000</v>
      </c>
      <c r="L26" s="490">
        <v>1472831</v>
      </c>
      <c r="M26" s="503">
        <f t="shared" ref="M26:M27" si="13">SUM(L26/K26)</f>
        <v>0.49094366666666667</v>
      </c>
      <c r="N26" s="489"/>
      <c r="O26" s="489"/>
      <c r="P26" s="489"/>
      <c r="Q26" s="503"/>
      <c r="R26" s="490"/>
      <c r="S26" s="490"/>
      <c r="T26" s="490"/>
      <c r="U26" s="504"/>
      <c r="V26" s="114"/>
      <c r="W26" s="114"/>
      <c r="X26" s="114"/>
      <c r="Y26" s="114"/>
      <c r="Z26" s="115" t="s">
        <v>818</v>
      </c>
      <c r="AA26" s="490"/>
      <c r="AB26" s="490"/>
      <c r="AC26" s="490"/>
      <c r="AD26" s="504"/>
      <c r="AE26" s="490"/>
      <c r="AF26" s="490"/>
      <c r="AG26" s="490"/>
      <c r="AH26" s="504"/>
      <c r="AI26" s="109">
        <f t="shared" si="0"/>
        <v>3000000</v>
      </c>
      <c r="AJ26" s="109">
        <f t="shared" si="1"/>
        <v>3000000</v>
      </c>
      <c r="AK26" s="109">
        <f t="shared" si="2"/>
        <v>1472831</v>
      </c>
      <c r="AL26" s="110">
        <f t="shared" si="10"/>
        <v>0.49094366666666667</v>
      </c>
      <c r="AM26" s="109">
        <f t="shared" si="3"/>
        <v>0</v>
      </c>
      <c r="AN26" s="109">
        <f t="shared" si="4"/>
        <v>0</v>
      </c>
      <c r="AO26" s="109">
        <f t="shared" si="5"/>
        <v>0</v>
      </c>
      <c r="AP26" s="110">
        <v>0</v>
      </c>
      <c r="AQ26" s="111">
        <f t="shared" si="6"/>
        <v>3000000</v>
      </c>
      <c r="AR26" s="111">
        <f t="shared" si="7"/>
        <v>3000000</v>
      </c>
      <c r="AS26" s="111">
        <f t="shared" si="8"/>
        <v>1472831</v>
      </c>
      <c r="AT26" s="112">
        <f t="shared" si="11"/>
        <v>0.49094366666666667</v>
      </c>
      <c r="AU26" s="625"/>
    </row>
    <row r="27" spans="1:110" ht="42.75" customHeight="1">
      <c r="A27" s="115" t="s">
        <v>794</v>
      </c>
      <c r="B27" s="490"/>
      <c r="C27" s="490"/>
      <c r="D27" s="490"/>
      <c r="E27" s="504"/>
      <c r="F27" s="497"/>
      <c r="G27" s="490"/>
      <c r="H27" s="490"/>
      <c r="I27" s="503"/>
      <c r="J27" s="490">
        <v>4000000</v>
      </c>
      <c r="K27" s="490">
        <v>4000000</v>
      </c>
      <c r="L27" s="490"/>
      <c r="M27" s="503">
        <f t="shared" si="13"/>
        <v>0</v>
      </c>
      <c r="N27" s="489"/>
      <c r="O27" s="489"/>
      <c r="P27" s="489"/>
      <c r="Q27" s="503"/>
      <c r="R27" s="490"/>
      <c r="S27" s="490"/>
      <c r="T27" s="490"/>
      <c r="U27" s="504"/>
      <c r="V27" s="114"/>
      <c r="W27" s="114"/>
      <c r="X27" s="114"/>
      <c r="Y27" s="114"/>
      <c r="Z27" s="115" t="s">
        <v>794</v>
      </c>
      <c r="AA27" s="490"/>
      <c r="AB27" s="490"/>
      <c r="AC27" s="490"/>
      <c r="AD27" s="504"/>
      <c r="AE27" s="490"/>
      <c r="AF27" s="490"/>
      <c r="AG27" s="490"/>
      <c r="AH27" s="504"/>
      <c r="AI27" s="109">
        <f t="shared" si="0"/>
        <v>4000000</v>
      </c>
      <c r="AJ27" s="109">
        <f t="shared" si="1"/>
        <v>4000000</v>
      </c>
      <c r="AK27" s="109">
        <f t="shared" si="2"/>
        <v>0</v>
      </c>
      <c r="AL27" s="110">
        <f t="shared" si="10"/>
        <v>0</v>
      </c>
      <c r="AM27" s="109">
        <f t="shared" si="3"/>
        <v>0</v>
      </c>
      <c r="AN27" s="109">
        <f t="shared" si="4"/>
        <v>0</v>
      </c>
      <c r="AO27" s="109">
        <f t="shared" si="5"/>
        <v>0</v>
      </c>
      <c r="AP27" s="110">
        <v>0</v>
      </c>
      <c r="AQ27" s="111">
        <f t="shared" si="6"/>
        <v>4000000</v>
      </c>
      <c r="AR27" s="111">
        <f t="shared" si="7"/>
        <v>4000000</v>
      </c>
      <c r="AS27" s="111">
        <f t="shared" si="8"/>
        <v>0</v>
      </c>
      <c r="AT27" s="112">
        <f t="shared" si="11"/>
        <v>0</v>
      </c>
      <c r="AU27" s="625"/>
    </row>
    <row r="28" spans="1:110" ht="27.75" customHeight="1">
      <c r="A28" s="488" t="s">
        <v>626</v>
      </c>
      <c r="B28" s="118"/>
      <c r="C28" s="118"/>
      <c r="D28" s="118"/>
      <c r="E28" s="505"/>
      <c r="F28" s="117"/>
      <c r="G28" s="118"/>
      <c r="H28" s="118"/>
      <c r="I28" s="503"/>
      <c r="J28" s="118"/>
      <c r="K28" s="118"/>
      <c r="L28" s="118"/>
      <c r="M28" s="118"/>
      <c r="N28" s="116">
        <v>2800000</v>
      </c>
      <c r="O28" s="116">
        <v>2800000</v>
      </c>
      <c r="P28" s="116">
        <v>2180470</v>
      </c>
      <c r="Q28" s="503">
        <f>SUM(P28/O28)</f>
        <v>0.77873928571428574</v>
      </c>
      <c r="R28" s="118"/>
      <c r="S28" s="118"/>
      <c r="T28" s="118"/>
      <c r="U28" s="505"/>
      <c r="V28" s="114"/>
      <c r="W28" s="114"/>
      <c r="X28" s="114"/>
      <c r="Y28" s="114"/>
      <c r="Z28" s="488" t="s">
        <v>626</v>
      </c>
      <c r="AA28" s="118"/>
      <c r="AB28" s="118"/>
      <c r="AC28" s="118"/>
      <c r="AD28" s="505"/>
      <c r="AE28" s="118"/>
      <c r="AF28" s="118"/>
      <c r="AG28" s="118"/>
      <c r="AH28" s="505"/>
      <c r="AI28" s="109">
        <f t="shared" si="0"/>
        <v>2800000</v>
      </c>
      <c r="AJ28" s="109">
        <f t="shared" si="1"/>
        <v>2800000</v>
      </c>
      <c r="AK28" s="109">
        <f t="shared" si="2"/>
        <v>2180470</v>
      </c>
      <c r="AL28" s="110">
        <f t="shared" si="10"/>
        <v>0.77873928571428574</v>
      </c>
      <c r="AM28" s="109">
        <f t="shared" si="3"/>
        <v>0</v>
      </c>
      <c r="AN28" s="109">
        <f t="shared" si="4"/>
        <v>0</v>
      </c>
      <c r="AO28" s="109">
        <f t="shared" si="5"/>
        <v>0</v>
      </c>
      <c r="AP28" s="110">
        <v>0</v>
      </c>
      <c r="AQ28" s="111">
        <f t="shared" si="6"/>
        <v>2800000</v>
      </c>
      <c r="AR28" s="111">
        <f t="shared" si="7"/>
        <v>2800000</v>
      </c>
      <c r="AS28" s="111">
        <f t="shared" si="8"/>
        <v>2180470</v>
      </c>
      <c r="AT28" s="112">
        <f t="shared" si="11"/>
        <v>0.77873928571428574</v>
      </c>
      <c r="AU28" s="625"/>
    </row>
    <row r="29" spans="1:110" ht="27.75" customHeight="1">
      <c r="A29" s="115" t="s">
        <v>356</v>
      </c>
      <c r="B29" s="118"/>
      <c r="C29" s="118"/>
      <c r="D29" s="118"/>
      <c r="E29" s="505"/>
      <c r="F29" s="117"/>
      <c r="G29" s="118"/>
      <c r="H29" s="118"/>
      <c r="I29" s="118"/>
      <c r="J29" s="118"/>
      <c r="K29" s="118"/>
      <c r="L29" s="118"/>
      <c r="M29" s="118"/>
      <c r="N29" s="116"/>
      <c r="O29" s="118"/>
      <c r="P29" s="118"/>
      <c r="Q29" s="503"/>
      <c r="R29" s="118"/>
      <c r="S29" s="118"/>
      <c r="T29" s="118"/>
      <c r="U29" s="505"/>
      <c r="V29" s="276"/>
      <c r="W29" s="276"/>
      <c r="X29" s="276"/>
      <c r="Y29" s="276"/>
      <c r="Z29" s="115" t="s">
        <v>356</v>
      </c>
      <c r="AA29" s="118"/>
      <c r="AB29" s="118"/>
      <c r="AC29" s="118"/>
      <c r="AD29" s="505"/>
      <c r="AE29" s="118"/>
      <c r="AF29" s="118"/>
      <c r="AG29" s="118"/>
      <c r="AH29" s="505"/>
      <c r="AI29" s="109">
        <f t="shared" si="0"/>
        <v>0</v>
      </c>
      <c r="AJ29" s="109">
        <f t="shared" si="1"/>
        <v>0</v>
      </c>
      <c r="AK29" s="109">
        <f t="shared" si="2"/>
        <v>0</v>
      </c>
      <c r="AL29" s="110">
        <v>0</v>
      </c>
      <c r="AM29" s="109">
        <f t="shared" si="3"/>
        <v>0</v>
      </c>
      <c r="AN29" s="109">
        <f t="shared" si="4"/>
        <v>0</v>
      </c>
      <c r="AO29" s="109">
        <f t="shared" si="5"/>
        <v>0</v>
      </c>
      <c r="AP29" s="110">
        <v>0</v>
      </c>
      <c r="AQ29" s="111">
        <f t="shared" si="6"/>
        <v>0</v>
      </c>
      <c r="AR29" s="111">
        <f t="shared" si="7"/>
        <v>0</v>
      </c>
      <c r="AS29" s="111">
        <f t="shared" si="8"/>
        <v>0</v>
      </c>
      <c r="AT29" s="112">
        <v>0</v>
      </c>
      <c r="AU29" s="625"/>
    </row>
    <row r="30" spans="1:110" ht="27.75" customHeight="1" thickBot="1">
      <c r="A30" s="488" t="s">
        <v>795</v>
      </c>
      <c r="B30" s="118"/>
      <c r="C30" s="118">
        <v>307517</v>
      </c>
      <c r="D30" s="118">
        <v>307517</v>
      </c>
      <c r="E30" s="503">
        <f t="shared" ref="E30" si="14">SUM(D30/C30)</f>
        <v>1</v>
      </c>
      <c r="F30" s="117"/>
      <c r="G30" s="118"/>
      <c r="H30" s="118"/>
      <c r="I30" s="118"/>
      <c r="J30" s="118"/>
      <c r="K30" s="118"/>
      <c r="L30" s="118"/>
      <c r="M30" s="118"/>
      <c r="N30" s="116"/>
      <c r="O30" s="118"/>
      <c r="P30" s="118"/>
      <c r="Q30" s="505"/>
      <c r="R30" s="118"/>
      <c r="S30" s="118"/>
      <c r="T30" s="118"/>
      <c r="U30" s="505"/>
      <c r="V30" s="276"/>
      <c r="W30" s="276"/>
      <c r="X30" s="276"/>
      <c r="Y30" s="276"/>
      <c r="Z30" s="488" t="s">
        <v>795</v>
      </c>
      <c r="AA30" s="118"/>
      <c r="AB30" s="118"/>
      <c r="AC30" s="118"/>
      <c r="AD30" s="505"/>
      <c r="AE30" s="118"/>
      <c r="AF30" s="118"/>
      <c r="AG30" s="118"/>
      <c r="AH30" s="505"/>
      <c r="AI30" s="109">
        <f t="shared" si="0"/>
        <v>0</v>
      </c>
      <c r="AJ30" s="109">
        <f t="shared" si="1"/>
        <v>307517</v>
      </c>
      <c r="AK30" s="109">
        <f t="shared" si="2"/>
        <v>307517</v>
      </c>
      <c r="AL30" s="110">
        <f t="shared" si="10"/>
        <v>1</v>
      </c>
      <c r="AM30" s="109">
        <f t="shared" si="3"/>
        <v>0</v>
      </c>
      <c r="AN30" s="109">
        <f t="shared" si="4"/>
        <v>0</v>
      </c>
      <c r="AO30" s="109">
        <f t="shared" si="5"/>
        <v>0</v>
      </c>
      <c r="AP30" s="110">
        <v>0</v>
      </c>
      <c r="AQ30" s="111">
        <f t="shared" si="6"/>
        <v>0</v>
      </c>
      <c r="AR30" s="111">
        <f t="shared" si="7"/>
        <v>307517</v>
      </c>
      <c r="AS30" s="111">
        <f t="shared" si="8"/>
        <v>307517</v>
      </c>
      <c r="AT30" s="112">
        <f t="shared" si="11"/>
        <v>1</v>
      </c>
      <c r="AU30" s="625"/>
    </row>
    <row r="31" spans="1:110" s="122" customFormat="1" ht="29.25" customHeight="1" thickBot="1">
      <c r="A31" s="491" t="s">
        <v>357</v>
      </c>
      <c r="B31" s="492">
        <f>SUM(B14:B30)</f>
        <v>1646628833</v>
      </c>
      <c r="C31" s="492">
        <f>SUM(C14:C30)</f>
        <v>1833136568</v>
      </c>
      <c r="D31" s="492">
        <f>SUM(D14:D30)</f>
        <v>1835096152</v>
      </c>
      <c r="E31" s="507">
        <f>SUM(D31/C31)</f>
        <v>1.0010689787297942</v>
      </c>
      <c r="F31" s="492">
        <f>SUM(F14:F30)</f>
        <v>0</v>
      </c>
      <c r="G31" s="492">
        <f>SUM(G14:G30)</f>
        <v>0</v>
      </c>
      <c r="H31" s="492">
        <f>SUM(H14:H30)</f>
        <v>0</v>
      </c>
      <c r="I31" s="507">
        <v>0</v>
      </c>
      <c r="J31" s="492">
        <f>SUM(J14:J30)</f>
        <v>650730000</v>
      </c>
      <c r="K31" s="492">
        <f>SUM(K14:K30)</f>
        <v>690730000</v>
      </c>
      <c r="L31" s="492">
        <f>SUM(L14:L30)</f>
        <v>692373730</v>
      </c>
      <c r="M31" s="507">
        <f>SUM(L31/K31)</f>
        <v>1.0023796997379584</v>
      </c>
      <c r="N31" s="492">
        <f>SUM(N14:N30)</f>
        <v>3700000</v>
      </c>
      <c r="O31" s="492">
        <f>SUM(O14:O30)</f>
        <v>3700000</v>
      </c>
      <c r="P31" s="492">
        <f>SUM(P14:P30)</f>
        <v>10813415</v>
      </c>
      <c r="Q31" s="507">
        <f>SUM(P31/O31)</f>
        <v>2.9225445945945947</v>
      </c>
      <c r="R31" s="492">
        <f>SUM(R14:R30)</f>
        <v>0</v>
      </c>
      <c r="S31" s="492">
        <f>SUM(S14:S30)</f>
        <v>0</v>
      </c>
      <c r="T31" s="492">
        <f>SUM(T14:T30)</f>
        <v>0</v>
      </c>
      <c r="U31" s="507">
        <f>SUM(U14:U30)</f>
        <v>0</v>
      </c>
      <c r="V31" s="120">
        <f t="shared" ref="V31:AH31" si="15">SUM(V14:V30)</f>
        <v>0</v>
      </c>
      <c r="W31" s="120">
        <f t="shared" si="15"/>
        <v>0</v>
      </c>
      <c r="X31" s="120">
        <f t="shared" si="15"/>
        <v>0</v>
      </c>
      <c r="Y31" s="120">
        <f t="shared" si="15"/>
        <v>0</v>
      </c>
      <c r="Z31" s="491" t="s">
        <v>357</v>
      </c>
      <c r="AA31" s="492">
        <f t="shared" si="15"/>
        <v>0</v>
      </c>
      <c r="AB31" s="492">
        <f t="shared" si="15"/>
        <v>0</v>
      </c>
      <c r="AC31" s="492">
        <f t="shared" si="15"/>
        <v>0</v>
      </c>
      <c r="AD31" s="507">
        <f t="shared" si="15"/>
        <v>0</v>
      </c>
      <c r="AE31" s="492">
        <f t="shared" si="15"/>
        <v>0</v>
      </c>
      <c r="AF31" s="492">
        <f t="shared" si="15"/>
        <v>0</v>
      </c>
      <c r="AG31" s="492">
        <f t="shared" si="15"/>
        <v>0</v>
      </c>
      <c r="AH31" s="507">
        <f t="shared" si="15"/>
        <v>0</v>
      </c>
      <c r="AI31" s="120">
        <f>SUM(AI14:AI30)</f>
        <v>2301058833</v>
      </c>
      <c r="AJ31" s="120">
        <f>SUM(AJ14:AJ30)</f>
        <v>2527566568</v>
      </c>
      <c r="AK31" s="120">
        <f>SUM(AK14:AK30)</f>
        <v>2538283297</v>
      </c>
      <c r="AL31" s="121">
        <f>AK31/AJ31</f>
        <v>1.004239939369225</v>
      </c>
      <c r="AM31" s="120">
        <f>SUM(AM14:AM30)</f>
        <v>0</v>
      </c>
      <c r="AN31" s="120">
        <f>SUM(AN14:AN30)</f>
        <v>0</v>
      </c>
      <c r="AO31" s="120">
        <f>SUM(AO14:AO30)</f>
        <v>0</v>
      </c>
      <c r="AP31" s="121">
        <v>0</v>
      </c>
      <c r="AQ31" s="120">
        <f>SUM(AQ14:AQ30)</f>
        <v>2301058833</v>
      </c>
      <c r="AR31" s="120">
        <f>SUM(AR14:AR30)</f>
        <v>2527566568</v>
      </c>
      <c r="AS31" s="120">
        <f>SUM(AS14:AS30)</f>
        <v>2538283297</v>
      </c>
      <c r="AT31" s="121">
        <f>AS31/AR31</f>
        <v>1.004239939369225</v>
      </c>
      <c r="AU31" s="631"/>
      <c r="AV31" s="632"/>
      <c r="AW31" s="632"/>
      <c r="AX31" s="632"/>
      <c r="AY31" s="632"/>
      <c r="AZ31" s="632"/>
      <c r="BA31" s="632"/>
      <c r="BB31" s="632"/>
      <c r="BC31" s="632"/>
      <c r="BD31" s="632"/>
      <c r="BE31" s="632"/>
      <c r="BF31" s="632"/>
      <c r="BG31" s="632"/>
      <c r="BH31" s="632"/>
      <c r="BI31" s="632"/>
      <c r="BJ31" s="632"/>
      <c r="BK31" s="632"/>
      <c r="BL31" s="632"/>
      <c r="BM31" s="632"/>
      <c r="BN31" s="632"/>
      <c r="BO31" s="632"/>
      <c r="BP31" s="632"/>
      <c r="BQ31" s="632"/>
      <c r="BR31" s="632"/>
      <c r="BS31" s="632"/>
      <c r="BT31" s="632"/>
      <c r="BU31" s="632"/>
      <c r="BV31" s="632"/>
      <c r="BW31" s="632"/>
      <c r="BX31" s="632"/>
      <c r="BY31" s="632"/>
      <c r="BZ31" s="632"/>
      <c r="CA31" s="632"/>
      <c r="CB31" s="632"/>
      <c r="CC31" s="632"/>
      <c r="CD31" s="632"/>
      <c r="CE31" s="632"/>
      <c r="CF31" s="632"/>
      <c r="CG31" s="632"/>
      <c r="CH31" s="632"/>
      <c r="CI31" s="632"/>
      <c r="CJ31" s="632"/>
      <c r="CK31" s="632"/>
      <c r="CL31" s="632"/>
      <c r="CM31" s="632"/>
      <c r="CN31" s="632"/>
      <c r="CO31" s="632"/>
      <c r="CP31" s="632"/>
      <c r="CQ31" s="632"/>
      <c r="CR31" s="632"/>
      <c r="CS31" s="632"/>
      <c r="CT31" s="632"/>
      <c r="CU31" s="632"/>
      <c r="CV31" s="632"/>
      <c r="CW31" s="632"/>
      <c r="CX31" s="632"/>
      <c r="CY31" s="632"/>
      <c r="CZ31" s="632"/>
      <c r="DA31" s="632"/>
      <c r="DB31" s="632"/>
      <c r="DC31" s="632"/>
      <c r="DD31" s="632"/>
      <c r="DE31" s="632"/>
      <c r="DF31" s="632"/>
    </row>
    <row r="32" spans="1:110" ht="29.25" customHeight="1">
      <c r="A32" s="493" t="s">
        <v>358</v>
      </c>
      <c r="B32" s="494"/>
      <c r="C32" s="494"/>
      <c r="D32" s="494"/>
      <c r="E32" s="508"/>
      <c r="F32" s="498"/>
      <c r="G32" s="498"/>
      <c r="H32" s="498"/>
      <c r="I32" s="498"/>
      <c r="J32" s="498"/>
      <c r="K32" s="498"/>
      <c r="L32" s="498"/>
      <c r="M32" s="498"/>
      <c r="N32" s="499"/>
      <c r="O32" s="499"/>
      <c r="P32" s="499"/>
      <c r="Q32" s="512"/>
      <c r="R32" s="499"/>
      <c r="S32" s="499"/>
      <c r="T32" s="499"/>
      <c r="U32" s="512"/>
      <c r="V32" s="499"/>
      <c r="W32" s="499"/>
      <c r="X32" s="499"/>
      <c r="Y32" s="499"/>
      <c r="Z32" s="493" t="s">
        <v>358</v>
      </c>
      <c r="AA32" s="499"/>
      <c r="AB32" s="499"/>
      <c r="AC32" s="499"/>
      <c r="AD32" s="512"/>
      <c r="AE32" s="499"/>
      <c r="AF32" s="499"/>
      <c r="AG32" s="499"/>
      <c r="AH32" s="512"/>
      <c r="AI32" s="123"/>
      <c r="AJ32" s="123"/>
      <c r="AK32" s="123"/>
      <c r="AL32" s="110"/>
      <c r="AM32" s="123"/>
      <c r="AN32" s="123"/>
      <c r="AO32" s="123"/>
      <c r="AP32" s="124"/>
      <c r="AQ32" s="111"/>
      <c r="AR32" s="111"/>
      <c r="AS32" s="111"/>
      <c r="AT32" s="112"/>
      <c r="AU32" s="625"/>
    </row>
    <row r="33" spans="1:47" ht="30" customHeight="1">
      <c r="A33" s="488" t="s">
        <v>359</v>
      </c>
      <c r="B33" s="490"/>
      <c r="C33" s="490"/>
      <c r="D33" s="490"/>
      <c r="E33" s="504"/>
      <c r="F33" s="497"/>
      <c r="G33" s="497"/>
      <c r="H33" s="497"/>
      <c r="I33" s="497"/>
      <c r="J33" s="490"/>
      <c r="K33" s="490"/>
      <c r="L33" s="490"/>
      <c r="M33" s="490"/>
      <c r="N33" s="489">
        <v>85000000</v>
      </c>
      <c r="O33" s="489">
        <v>85000000</v>
      </c>
      <c r="P33" s="489">
        <v>84372653</v>
      </c>
      <c r="Q33" s="503">
        <f t="shared" ref="Q33:Q39" si="16">SUM(P33/O33)</f>
        <v>0.99261944705882355</v>
      </c>
      <c r="R33" s="490"/>
      <c r="S33" s="490"/>
      <c r="T33" s="490"/>
      <c r="U33" s="504"/>
      <c r="V33" s="490"/>
      <c r="W33" s="490"/>
      <c r="X33" s="490"/>
      <c r="Y33" s="490"/>
      <c r="Z33" s="488" t="s">
        <v>359</v>
      </c>
      <c r="AA33" s="490"/>
      <c r="AB33" s="490"/>
      <c r="AC33" s="490"/>
      <c r="AD33" s="504"/>
      <c r="AE33" s="490"/>
      <c r="AF33" s="490"/>
      <c r="AG33" s="490"/>
      <c r="AH33" s="504"/>
      <c r="AI33" s="109">
        <f t="shared" ref="AI33:AI62" si="17">SUM(B33+J33+N33+V33+AE33)</f>
        <v>85000000</v>
      </c>
      <c r="AJ33" s="109">
        <f t="shared" ref="AJ33:AJ62" si="18">SUM(C33+K33+O33+W33+AF33)</f>
        <v>85000000</v>
      </c>
      <c r="AK33" s="109">
        <f t="shared" ref="AK33:AK62" si="19">SUM(D33+L33+P33+X33+AG33)</f>
        <v>84372653</v>
      </c>
      <c r="AL33" s="110">
        <f t="shared" ref="AL33:AL62" si="20">SUM(AK33/AJ33)</f>
        <v>0.99261944705882355</v>
      </c>
      <c r="AM33" s="109">
        <f t="shared" ref="AM33:AM62" si="21">SUM(F33+R33+AA33)</f>
        <v>0</v>
      </c>
      <c r="AN33" s="109">
        <f t="shared" ref="AN33:AN62" si="22">SUM(G33+S33+AB33)</f>
        <v>0</v>
      </c>
      <c r="AO33" s="109">
        <f t="shared" ref="AO33:AO62" si="23">SUM(H33+T33+AC33)</f>
        <v>0</v>
      </c>
      <c r="AP33" s="110">
        <v>0</v>
      </c>
      <c r="AQ33" s="111">
        <f t="shared" ref="AQ33:AQ62" si="24">SUM(B33+F33+J33+N33+R33+V33+AA33+AE33)</f>
        <v>85000000</v>
      </c>
      <c r="AR33" s="111">
        <f t="shared" ref="AR33:AR62" si="25">SUM(C33+G33+K33+O33+S33+W33+AB33+AF33)</f>
        <v>85000000</v>
      </c>
      <c r="AS33" s="111">
        <f t="shared" ref="AS33:AS62" si="26">SUM(D33+H33+L33+P33+T33+X33+AC33+AG33)</f>
        <v>84372653</v>
      </c>
      <c r="AT33" s="112">
        <f t="shared" ref="AT33:AT62" si="27">AS33/AR33</f>
        <v>0.99261944705882355</v>
      </c>
      <c r="AU33" s="625"/>
    </row>
    <row r="34" spans="1:47" ht="30" customHeight="1">
      <c r="A34" s="488" t="s">
        <v>360</v>
      </c>
      <c r="B34" s="490"/>
      <c r="C34" s="490"/>
      <c r="D34" s="490"/>
      <c r="E34" s="504"/>
      <c r="F34" s="497"/>
      <c r="G34" s="497"/>
      <c r="H34" s="497"/>
      <c r="I34" s="497"/>
      <c r="J34" s="490"/>
      <c r="K34" s="490"/>
      <c r="L34" s="490"/>
      <c r="M34" s="490"/>
      <c r="N34" s="489">
        <v>3000000</v>
      </c>
      <c r="O34" s="489">
        <v>3000000</v>
      </c>
      <c r="P34" s="489">
        <v>2626331</v>
      </c>
      <c r="Q34" s="503">
        <f t="shared" si="16"/>
        <v>0.87544366666666662</v>
      </c>
      <c r="R34" s="490"/>
      <c r="S34" s="490"/>
      <c r="T34" s="490"/>
      <c r="U34" s="504"/>
      <c r="V34" s="490"/>
      <c r="W34" s="490"/>
      <c r="X34" s="490"/>
      <c r="Y34" s="490"/>
      <c r="Z34" s="488" t="s">
        <v>360</v>
      </c>
      <c r="AA34" s="490"/>
      <c r="AB34" s="490"/>
      <c r="AC34" s="490"/>
      <c r="AD34" s="504"/>
      <c r="AE34" s="490"/>
      <c r="AF34" s="490"/>
      <c r="AG34" s="490"/>
      <c r="AH34" s="504"/>
      <c r="AI34" s="109">
        <f t="shared" si="17"/>
        <v>3000000</v>
      </c>
      <c r="AJ34" s="109">
        <f t="shared" si="18"/>
        <v>3000000</v>
      </c>
      <c r="AK34" s="109">
        <f t="shared" si="19"/>
        <v>2626331</v>
      </c>
      <c r="AL34" s="110">
        <f t="shared" si="20"/>
        <v>0.87544366666666662</v>
      </c>
      <c r="AM34" s="109">
        <f t="shared" si="21"/>
        <v>0</v>
      </c>
      <c r="AN34" s="109">
        <f t="shared" si="22"/>
        <v>0</v>
      </c>
      <c r="AO34" s="109">
        <f t="shared" si="23"/>
        <v>0</v>
      </c>
      <c r="AP34" s="110">
        <v>0</v>
      </c>
      <c r="AQ34" s="111">
        <f t="shared" si="24"/>
        <v>3000000</v>
      </c>
      <c r="AR34" s="111">
        <f t="shared" si="25"/>
        <v>3000000</v>
      </c>
      <c r="AS34" s="111">
        <f t="shared" si="26"/>
        <v>2626331</v>
      </c>
      <c r="AT34" s="112">
        <f t="shared" si="27"/>
        <v>0.87544366666666662</v>
      </c>
      <c r="AU34" s="625"/>
    </row>
    <row r="35" spans="1:47" ht="30" customHeight="1">
      <c r="A35" s="488" t="s">
        <v>361</v>
      </c>
      <c r="B35" s="490"/>
      <c r="C35" s="490"/>
      <c r="D35" s="490"/>
      <c r="E35" s="504"/>
      <c r="F35" s="497"/>
      <c r="G35" s="497"/>
      <c r="H35" s="497"/>
      <c r="I35" s="497"/>
      <c r="J35" s="490"/>
      <c r="K35" s="490"/>
      <c r="L35" s="490"/>
      <c r="M35" s="490"/>
      <c r="N35" s="489">
        <v>140970000</v>
      </c>
      <c r="O35" s="489">
        <v>140970000</v>
      </c>
      <c r="P35" s="489">
        <v>58737500</v>
      </c>
      <c r="Q35" s="503">
        <f t="shared" si="16"/>
        <v>0.41666666666666669</v>
      </c>
      <c r="R35" s="490"/>
      <c r="S35" s="490"/>
      <c r="T35" s="490"/>
      <c r="U35" s="504"/>
      <c r="V35" s="490"/>
      <c r="W35" s="490"/>
      <c r="X35" s="490"/>
      <c r="Y35" s="490"/>
      <c r="Z35" s="488" t="s">
        <v>361</v>
      </c>
      <c r="AA35" s="490"/>
      <c r="AB35" s="490"/>
      <c r="AC35" s="490"/>
      <c r="AD35" s="504"/>
      <c r="AE35" s="490"/>
      <c r="AF35" s="490"/>
      <c r="AG35" s="490"/>
      <c r="AH35" s="504"/>
      <c r="AI35" s="109">
        <f t="shared" si="17"/>
        <v>140970000</v>
      </c>
      <c r="AJ35" s="109">
        <f t="shared" si="18"/>
        <v>140970000</v>
      </c>
      <c r="AK35" s="109">
        <f t="shared" si="19"/>
        <v>58737500</v>
      </c>
      <c r="AL35" s="110">
        <f t="shared" si="20"/>
        <v>0.41666666666666669</v>
      </c>
      <c r="AM35" s="109">
        <f t="shared" si="21"/>
        <v>0</v>
      </c>
      <c r="AN35" s="109">
        <f t="shared" si="22"/>
        <v>0</v>
      </c>
      <c r="AO35" s="109">
        <f t="shared" si="23"/>
        <v>0</v>
      </c>
      <c r="AP35" s="110">
        <v>0</v>
      </c>
      <c r="AQ35" s="111">
        <f t="shared" si="24"/>
        <v>140970000</v>
      </c>
      <c r="AR35" s="111">
        <f t="shared" si="25"/>
        <v>140970000</v>
      </c>
      <c r="AS35" s="111">
        <f t="shared" si="26"/>
        <v>58737500</v>
      </c>
      <c r="AT35" s="112">
        <f t="shared" si="27"/>
        <v>0.41666666666666669</v>
      </c>
      <c r="AU35" s="625"/>
    </row>
    <row r="36" spans="1:47" ht="30" customHeight="1">
      <c r="A36" s="488" t="s">
        <v>796</v>
      </c>
      <c r="B36" s="490"/>
      <c r="C36" s="490"/>
      <c r="D36" s="490"/>
      <c r="E36" s="504"/>
      <c r="F36" s="497"/>
      <c r="G36" s="497"/>
      <c r="H36" s="497"/>
      <c r="I36" s="497"/>
      <c r="J36" s="490"/>
      <c r="K36" s="490"/>
      <c r="L36" s="490"/>
      <c r="M36" s="490"/>
      <c r="N36" s="489">
        <v>84359567</v>
      </c>
      <c r="O36" s="489">
        <v>84565616</v>
      </c>
      <c r="P36" s="489">
        <v>24537066</v>
      </c>
      <c r="Q36" s="503">
        <f t="shared" si="16"/>
        <v>0.29015416856893705</v>
      </c>
      <c r="R36" s="490"/>
      <c r="S36" s="490"/>
      <c r="T36" s="490"/>
      <c r="U36" s="504"/>
      <c r="V36" s="490"/>
      <c r="W36" s="490"/>
      <c r="X36" s="490"/>
      <c r="Y36" s="490"/>
      <c r="Z36" s="488" t="s">
        <v>796</v>
      </c>
      <c r="AA36" s="490"/>
      <c r="AB36" s="490"/>
      <c r="AC36" s="490"/>
      <c r="AD36" s="504"/>
      <c r="AE36" s="490"/>
      <c r="AF36" s="490"/>
      <c r="AG36" s="490"/>
      <c r="AH36" s="504"/>
      <c r="AI36" s="109">
        <f t="shared" si="17"/>
        <v>84359567</v>
      </c>
      <c r="AJ36" s="109">
        <f t="shared" si="18"/>
        <v>84565616</v>
      </c>
      <c r="AK36" s="109">
        <f t="shared" si="19"/>
        <v>24537066</v>
      </c>
      <c r="AL36" s="110">
        <f t="shared" si="20"/>
        <v>0.29015416856893705</v>
      </c>
      <c r="AM36" s="109">
        <f t="shared" si="21"/>
        <v>0</v>
      </c>
      <c r="AN36" s="109">
        <f t="shared" si="22"/>
        <v>0</v>
      </c>
      <c r="AO36" s="109">
        <f t="shared" si="23"/>
        <v>0</v>
      </c>
      <c r="AP36" s="110">
        <v>0</v>
      </c>
      <c r="AQ36" s="111">
        <f t="shared" si="24"/>
        <v>84359567</v>
      </c>
      <c r="AR36" s="111">
        <f t="shared" si="25"/>
        <v>84565616</v>
      </c>
      <c r="AS36" s="111">
        <f t="shared" si="26"/>
        <v>24537066</v>
      </c>
      <c r="AT36" s="112">
        <f t="shared" si="27"/>
        <v>0.29015416856893705</v>
      </c>
      <c r="AU36" s="625"/>
    </row>
    <row r="37" spans="1:47" ht="30" customHeight="1">
      <c r="A37" s="488" t="s">
        <v>625</v>
      </c>
      <c r="B37" s="490"/>
      <c r="C37" s="490"/>
      <c r="D37" s="490"/>
      <c r="E37" s="504"/>
      <c r="F37" s="497"/>
      <c r="G37" s="497"/>
      <c r="H37" s="497"/>
      <c r="I37" s="497"/>
      <c r="J37" s="490"/>
      <c r="K37" s="490"/>
      <c r="L37" s="490"/>
      <c r="M37" s="490"/>
      <c r="N37" s="489">
        <v>3600000</v>
      </c>
      <c r="O37" s="489">
        <v>3600000</v>
      </c>
      <c r="P37" s="489">
        <v>3900000</v>
      </c>
      <c r="Q37" s="503">
        <f t="shared" si="16"/>
        <v>1.0833333333333333</v>
      </c>
      <c r="R37" s="490"/>
      <c r="S37" s="490"/>
      <c r="T37" s="490"/>
      <c r="U37" s="504"/>
      <c r="V37" s="490"/>
      <c r="W37" s="490"/>
      <c r="X37" s="490"/>
      <c r="Y37" s="490"/>
      <c r="Z37" s="488" t="s">
        <v>625</v>
      </c>
      <c r="AA37" s="490"/>
      <c r="AB37" s="490"/>
      <c r="AC37" s="490"/>
      <c r="AD37" s="504"/>
      <c r="AE37" s="490"/>
      <c r="AF37" s="490"/>
      <c r="AG37" s="490"/>
      <c r="AH37" s="504"/>
      <c r="AI37" s="109">
        <f t="shared" si="17"/>
        <v>3600000</v>
      </c>
      <c r="AJ37" s="109">
        <f t="shared" si="18"/>
        <v>3600000</v>
      </c>
      <c r="AK37" s="109">
        <f t="shared" si="19"/>
        <v>3900000</v>
      </c>
      <c r="AL37" s="110">
        <f t="shared" si="20"/>
        <v>1.0833333333333333</v>
      </c>
      <c r="AM37" s="109">
        <f t="shared" si="21"/>
        <v>0</v>
      </c>
      <c r="AN37" s="109">
        <f t="shared" si="22"/>
        <v>0</v>
      </c>
      <c r="AO37" s="109">
        <f t="shared" si="23"/>
        <v>0</v>
      </c>
      <c r="AP37" s="110">
        <v>0</v>
      </c>
      <c r="AQ37" s="111">
        <f t="shared" si="24"/>
        <v>3600000</v>
      </c>
      <c r="AR37" s="111">
        <f t="shared" si="25"/>
        <v>3600000</v>
      </c>
      <c r="AS37" s="111">
        <f t="shared" si="26"/>
        <v>3900000</v>
      </c>
      <c r="AT37" s="112">
        <f t="shared" si="27"/>
        <v>1.0833333333333333</v>
      </c>
      <c r="AU37" s="625"/>
    </row>
    <row r="38" spans="1:47" ht="30" customHeight="1">
      <c r="A38" s="488" t="s">
        <v>362</v>
      </c>
      <c r="B38" s="489"/>
      <c r="C38" s="489"/>
      <c r="D38" s="489"/>
      <c r="E38" s="503"/>
      <c r="F38" s="489"/>
      <c r="G38" s="489"/>
      <c r="H38" s="489"/>
      <c r="I38" s="489"/>
      <c r="J38" s="497"/>
      <c r="K38" s="497"/>
      <c r="L38" s="497"/>
      <c r="M38" s="497"/>
      <c r="N38" s="490">
        <v>9525000</v>
      </c>
      <c r="O38" s="490">
        <v>10312000</v>
      </c>
      <c r="P38" s="490">
        <v>10136451</v>
      </c>
      <c r="Q38" s="503">
        <f t="shared" si="16"/>
        <v>0.9829762412723041</v>
      </c>
      <c r="R38" s="490"/>
      <c r="S38" s="490"/>
      <c r="T38" s="490"/>
      <c r="U38" s="504"/>
      <c r="V38" s="490"/>
      <c r="W38" s="490"/>
      <c r="X38" s="490"/>
      <c r="Y38" s="490"/>
      <c r="Z38" s="488" t="s">
        <v>362</v>
      </c>
      <c r="AA38" s="490"/>
      <c r="AB38" s="490"/>
      <c r="AC38" s="490"/>
      <c r="AD38" s="504"/>
      <c r="AE38" s="490"/>
      <c r="AF38" s="490"/>
      <c r="AG38" s="490"/>
      <c r="AH38" s="504"/>
      <c r="AI38" s="109">
        <f t="shared" si="17"/>
        <v>9525000</v>
      </c>
      <c r="AJ38" s="109">
        <f t="shared" si="18"/>
        <v>10312000</v>
      </c>
      <c r="AK38" s="109">
        <f t="shared" si="19"/>
        <v>10136451</v>
      </c>
      <c r="AL38" s="110">
        <f t="shared" si="20"/>
        <v>0.9829762412723041</v>
      </c>
      <c r="AM38" s="109">
        <f t="shared" si="21"/>
        <v>0</v>
      </c>
      <c r="AN38" s="109">
        <f t="shared" si="22"/>
        <v>0</v>
      </c>
      <c r="AO38" s="109">
        <f t="shared" si="23"/>
        <v>0</v>
      </c>
      <c r="AP38" s="110">
        <v>0</v>
      </c>
      <c r="AQ38" s="111">
        <f t="shared" si="24"/>
        <v>9525000</v>
      </c>
      <c r="AR38" s="111">
        <f t="shared" si="25"/>
        <v>10312000</v>
      </c>
      <c r="AS38" s="111">
        <f t="shared" si="26"/>
        <v>10136451</v>
      </c>
      <c r="AT38" s="112">
        <f t="shared" si="27"/>
        <v>0.9829762412723041</v>
      </c>
      <c r="AU38" s="625"/>
    </row>
    <row r="39" spans="1:47" ht="60.75">
      <c r="A39" s="488" t="s">
        <v>797</v>
      </c>
      <c r="B39" s="489"/>
      <c r="C39" s="489"/>
      <c r="D39" s="489"/>
      <c r="E39" s="503"/>
      <c r="F39" s="489"/>
      <c r="G39" s="489"/>
      <c r="H39" s="489"/>
      <c r="I39" s="489"/>
      <c r="J39" s="497"/>
      <c r="K39" s="497"/>
      <c r="L39" s="497"/>
      <c r="M39" s="497"/>
      <c r="N39" s="490"/>
      <c r="O39" s="490">
        <v>9969500</v>
      </c>
      <c r="P39" s="490">
        <v>9969500</v>
      </c>
      <c r="Q39" s="504">
        <f t="shared" si="16"/>
        <v>1</v>
      </c>
      <c r="R39" s="490"/>
      <c r="S39" s="490"/>
      <c r="T39" s="490"/>
      <c r="U39" s="504"/>
      <c r="V39" s="490"/>
      <c r="W39" s="490"/>
      <c r="X39" s="490"/>
      <c r="Y39" s="490"/>
      <c r="Z39" s="488" t="s">
        <v>797</v>
      </c>
      <c r="AA39" s="490"/>
      <c r="AB39" s="490"/>
      <c r="AC39" s="490"/>
      <c r="AD39" s="504"/>
      <c r="AE39" s="490"/>
      <c r="AF39" s="490"/>
      <c r="AG39" s="490"/>
      <c r="AH39" s="504"/>
      <c r="AI39" s="109">
        <f t="shared" si="17"/>
        <v>0</v>
      </c>
      <c r="AJ39" s="109">
        <f t="shared" si="18"/>
        <v>9969500</v>
      </c>
      <c r="AK39" s="109">
        <f t="shared" si="19"/>
        <v>9969500</v>
      </c>
      <c r="AL39" s="110">
        <f t="shared" si="20"/>
        <v>1</v>
      </c>
      <c r="AM39" s="109">
        <f t="shared" si="21"/>
        <v>0</v>
      </c>
      <c r="AN39" s="109">
        <f t="shared" si="22"/>
        <v>0</v>
      </c>
      <c r="AO39" s="109">
        <f t="shared" si="23"/>
        <v>0</v>
      </c>
      <c r="AP39" s="110">
        <v>0</v>
      </c>
      <c r="AQ39" s="111">
        <f t="shared" si="24"/>
        <v>0</v>
      </c>
      <c r="AR39" s="111">
        <f t="shared" si="25"/>
        <v>9969500</v>
      </c>
      <c r="AS39" s="111">
        <f t="shared" si="26"/>
        <v>9969500</v>
      </c>
      <c r="AT39" s="112">
        <f t="shared" si="27"/>
        <v>1</v>
      </c>
      <c r="AU39" s="625"/>
    </row>
    <row r="40" spans="1:47" ht="27.75" customHeight="1">
      <c r="A40" s="488" t="s">
        <v>798</v>
      </c>
      <c r="B40" s="489"/>
      <c r="C40" s="489"/>
      <c r="D40" s="489"/>
      <c r="E40" s="503"/>
      <c r="F40" s="489"/>
      <c r="G40" s="489"/>
      <c r="H40" s="489"/>
      <c r="I40" s="489"/>
      <c r="J40" s="497"/>
      <c r="K40" s="497"/>
      <c r="L40" s="497"/>
      <c r="M40" s="497"/>
      <c r="N40" s="490">
        <v>1878840</v>
      </c>
      <c r="O40" s="490">
        <v>0</v>
      </c>
      <c r="P40" s="490">
        <v>0</v>
      </c>
      <c r="Q40" s="503">
        <v>0</v>
      </c>
      <c r="R40" s="490"/>
      <c r="S40" s="490"/>
      <c r="T40" s="490"/>
      <c r="U40" s="504"/>
      <c r="V40" s="490"/>
      <c r="W40" s="490"/>
      <c r="X40" s="490"/>
      <c r="Y40" s="506"/>
      <c r="Z40" s="488" t="s">
        <v>798</v>
      </c>
      <c r="AA40" s="490"/>
      <c r="AB40" s="490">
        <v>1878840</v>
      </c>
      <c r="AC40" s="490">
        <v>1949601</v>
      </c>
      <c r="AD40" s="506">
        <f>SUM(AC40/AB40)</f>
        <v>1.0376620680845627</v>
      </c>
      <c r="AE40" s="490"/>
      <c r="AF40" s="490"/>
      <c r="AG40" s="490"/>
      <c r="AH40" s="504"/>
      <c r="AI40" s="109">
        <f t="shared" si="17"/>
        <v>1878840</v>
      </c>
      <c r="AJ40" s="109">
        <f t="shared" si="18"/>
        <v>0</v>
      </c>
      <c r="AK40" s="109">
        <f t="shared" si="19"/>
        <v>0</v>
      </c>
      <c r="AL40" s="110">
        <v>0</v>
      </c>
      <c r="AM40" s="109">
        <f t="shared" si="21"/>
        <v>0</v>
      </c>
      <c r="AN40" s="109">
        <f t="shared" si="22"/>
        <v>1878840</v>
      </c>
      <c r="AO40" s="109">
        <f t="shared" si="23"/>
        <v>1949601</v>
      </c>
      <c r="AP40" s="110">
        <f t="shared" ref="AP40" si="28">SUM(AO40/AN40)</f>
        <v>1.0376620680845627</v>
      </c>
      <c r="AQ40" s="111">
        <f t="shared" si="24"/>
        <v>1878840</v>
      </c>
      <c r="AR40" s="111">
        <f t="shared" si="25"/>
        <v>1878840</v>
      </c>
      <c r="AS40" s="111">
        <f t="shared" si="26"/>
        <v>1949601</v>
      </c>
      <c r="AT40" s="112">
        <f t="shared" si="27"/>
        <v>1.0376620680845627</v>
      </c>
      <c r="AU40" s="625"/>
    </row>
    <row r="41" spans="1:47" ht="47.25" customHeight="1">
      <c r="A41" s="488" t="s">
        <v>817</v>
      </c>
      <c r="B41" s="489"/>
      <c r="C41" s="489">
        <v>500000</v>
      </c>
      <c r="D41" s="489">
        <v>500000</v>
      </c>
      <c r="E41" s="503">
        <f t="shared" ref="E41:E44" si="29">SUM(D41/C41)</f>
        <v>1</v>
      </c>
      <c r="F41" s="489"/>
      <c r="G41" s="489"/>
      <c r="H41" s="489"/>
      <c r="I41" s="489"/>
      <c r="J41" s="497"/>
      <c r="K41" s="497"/>
      <c r="L41" s="497"/>
      <c r="M41" s="497"/>
      <c r="N41" s="490"/>
      <c r="O41" s="490"/>
      <c r="P41" s="490"/>
      <c r="Q41" s="504"/>
      <c r="R41" s="490"/>
      <c r="S41" s="490"/>
      <c r="T41" s="490"/>
      <c r="U41" s="504"/>
      <c r="V41" s="490"/>
      <c r="W41" s="490"/>
      <c r="X41" s="490"/>
      <c r="Y41" s="490"/>
      <c r="Z41" s="488" t="s">
        <v>817</v>
      </c>
      <c r="AA41" s="490"/>
      <c r="AB41" s="490"/>
      <c r="AC41" s="490"/>
      <c r="AD41" s="504"/>
      <c r="AE41" s="490"/>
      <c r="AF41" s="490"/>
      <c r="AG41" s="490"/>
      <c r="AH41" s="504"/>
      <c r="AI41" s="109">
        <f t="shared" si="17"/>
        <v>0</v>
      </c>
      <c r="AJ41" s="109">
        <f t="shared" si="18"/>
        <v>500000</v>
      </c>
      <c r="AK41" s="109">
        <f t="shared" si="19"/>
        <v>500000</v>
      </c>
      <c r="AL41" s="110">
        <f t="shared" si="20"/>
        <v>1</v>
      </c>
      <c r="AM41" s="109">
        <f t="shared" si="21"/>
        <v>0</v>
      </c>
      <c r="AN41" s="109">
        <f t="shared" si="22"/>
        <v>0</v>
      </c>
      <c r="AO41" s="109">
        <f t="shared" si="23"/>
        <v>0</v>
      </c>
      <c r="AP41" s="110">
        <v>0</v>
      </c>
      <c r="AQ41" s="111">
        <f t="shared" si="24"/>
        <v>0</v>
      </c>
      <c r="AR41" s="111">
        <f t="shared" si="25"/>
        <v>500000</v>
      </c>
      <c r="AS41" s="111">
        <f t="shared" si="26"/>
        <v>500000</v>
      </c>
      <c r="AT41" s="112">
        <f t="shared" si="27"/>
        <v>1</v>
      </c>
      <c r="AU41" s="625"/>
    </row>
    <row r="42" spans="1:47" ht="31.5" customHeight="1">
      <c r="A42" s="488" t="s">
        <v>799</v>
      </c>
      <c r="B42" s="489"/>
      <c r="C42" s="489">
        <v>370000</v>
      </c>
      <c r="D42" s="489">
        <v>370000</v>
      </c>
      <c r="E42" s="503">
        <f t="shared" si="29"/>
        <v>1</v>
      </c>
      <c r="F42" s="489"/>
      <c r="G42" s="489"/>
      <c r="H42" s="489"/>
      <c r="I42" s="489"/>
      <c r="J42" s="497"/>
      <c r="K42" s="497"/>
      <c r="L42" s="497"/>
      <c r="M42" s="497"/>
      <c r="N42" s="490"/>
      <c r="O42" s="490"/>
      <c r="P42" s="490"/>
      <c r="Q42" s="504"/>
      <c r="R42" s="490"/>
      <c r="S42" s="490"/>
      <c r="T42" s="490"/>
      <c r="U42" s="504"/>
      <c r="V42" s="490"/>
      <c r="W42" s="490"/>
      <c r="X42" s="490"/>
      <c r="Y42" s="490"/>
      <c r="Z42" s="488" t="s">
        <v>799</v>
      </c>
      <c r="AA42" s="490"/>
      <c r="AB42" s="490"/>
      <c r="AC42" s="490"/>
      <c r="AD42" s="504"/>
      <c r="AE42" s="490"/>
      <c r="AF42" s="490"/>
      <c r="AG42" s="490"/>
      <c r="AH42" s="504"/>
      <c r="AI42" s="109">
        <f t="shared" si="17"/>
        <v>0</v>
      </c>
      <c r="AJ42" s="109">
        <f t="shared" si="18"/>
        <v>370000</v>
      </c>
      <c r="AK42" s="109">
        <f t="shared" si="19"/>
        <v>370000</v>
      </c>
      <c r="AL42" s="110">
        <f t="shared" si="20"/>
        <v>1</v>
      </c>
      <c r="AM42" s="109">
        <f t="shared" si="21"/>
        <v>0</v>
      </c>
      <c r="AN42" s="109">
        <f t="shared" si="22"/>
        <v>0</v>
      </c>
      <c r="AO42" s="109">
        <f t="shared" si="23"/>
        <v>0</v>
      </c>
      <c r="AP42" s="110">
        <v>0</v>
      </c>
      <c r="AQ42" s="111">
        <f t="shared" si="24"/>
        <v>0</v>
      </c>
      <c r="AR42" s="111">
        <f t="shared" si="25"/>
        <v>370000</v>
      </c>
      <c r="AS42" s="111">
        <f t="shared" si="26"/>
        <v>370000</v>
      </c>
      <c r="AT42" s="112">
        <f t="shared" si="27"/>
        <v>1</v>
      </c>
      <c r="AU42" s="625"/>
    </row>
    <row r="43" spans="1:47" ht="31.5" customHeight="1">
      <c r="A43" s="615" t="s">
        <v>800</v>
      </c>
      <c r="B43" s="489"/>
      <c r="C43" s="489">
        <v>1200000</v>
      </c>
      <c r="D43" s="489">
        <v>1200000</v>
      </c>
      <c r="E43" s="503">
        <f t="shared" si="29"/>
        <v>1</v>
      </c>
      <c r="F43" s="489"/>
      <c r="G43" s="489"/>
      <c r="H43" s="489"/>
      <c r="I43" s="489"/>
      <c r="J43" s="497"/>
      <c r="K43" s="497"/>
      <c r="L43" s="497"/>
      <c r="M43" s="497"/>
      <c r="N43" s="490"/>
      <c r="O43" s="490"/>
      <c r="P43" s="490"/>
      <c r="Q43" s="504"/>
      <c r="R43" s="490"/>
      <c r="S43" s="490"/>
      <c r="T43" s="490"/>
      <c r="U43" s="503"/>
      <c r="V43" s="490"/>
      <c r="W43" s="490"/>
      <c r="X43" s="490"/>
      <c r="Y43" s="490"/>
      <c r="Z43" s="615" t="s">
        <v>800</v>
      </c>
      <c r="AA43" s="490"/>
      <c r="AB43" s="490"/>
      <c r="AC43" s="490"/>
      <c r="AD43" s="504"/>
      <c r="AE43" s="490"/>
      <c r="AF43" s="490"/>
      <c r="AG43" s="490"/>
      <c r="AH43" s="504"/>
      <c r="AI43" s="109">
        <f t="shared" si="17"/>
        <v>0</v>
      </c>
      <c r="AJ43" s="109">
        <f t="shared" si="18"/>
        <v>1200000</v>
      </c>
      <c r="AK43" s="109">
        <f t="shared" si="19"/>
        <v>1200000</v>
      </c>
      <c r="AL43" s="110">
        <f t="shared" si="20"/>
        <v>1</v>
      </c>
      <c r="AM43" s="109">
        <f t="shared" si="21"/>
        <v>0</v>
      </c>
      <c r="AN43" s="109">
        <f t="shared" si="22"/>
        <v>0</v>
      </c>
      <c r="AO43" s="109">
        <f t="shared" si="23"/>
        <v>0</v>
      </c>
      <c r="AP43" s="110">
        <v>0</v>
      </c>
      <c r="AQ43" s="111">
        <f t="shared" si="24"/>
        <v>0</v>
      </c>
      <c r="AR43" s="111">
        <f t="shared" si="25"/>
        <v>1200000</v>
      </c>
      <c r="AS43" s="111">
        <f t="shared" si="26"/>
        <v>1200000</v>
      </c>
      <c r="AT43" s="112">
        <f t="shared" si="27"/>
        <v>1</v>
      </c>
      <c r="AU43" s="625"/>
    </row>
    <row r="44" spans="1:47" ht="31.5" customHeight="1">
      <c r="A44" s="615" t="s">
        <v>801</v>
      </c>
      <c r="B44" s="489"/>
      <c r="C44" s="489">
        <v>50000</v>
      </c>
      <c r="D44" s="489">
        <v>50000</v>
      </c>
      <c r="E44" s="503">
        <f t="shared" si="29"/>
        <v>1</v>
      </c>
      <c r="F44" s="489"/>
      <c r="G44" s="489"/>
      <c r="H44" s="489"/>
      <c r="I44" s="489"/>
      <c r="J44" s="497"/>
      <c r="K44" s="497"/>
      <c r="L44" s="497"/>
      <c r="M44" s="497"/>
      <c r="N44" s="490"/>
      <c r="O44" s="490"/>
      <c r="P44" s="490"/>
      <c r="Q44" s="504"/>
      <c r="R44" s="490"/>
      <c r="S44" s="490"/>
      <c r="T44" s="490"/>
      <c r="U44" s="503"/>
      <c r="V44" s="490"/>
      <c r="W44" s="490"/>
      <c r="X44" s="490"/>
      <c r="Y44" s="490"/>
      <c r="Z44" s="615" t="s">
        <v>801</v>
      </c>
      <c r="AA44" s="490"/>
      <c r="AB44" s="490"/>
      <c r="AC44" s="490"/>
      <c r="AD44" s="504"/>
      <c r="AE44" s="490"/>
      <c r="AF44" s="490"/>
      <c r="AG44" s="490"/>
      <c r="AH44" s="504"/>
      <c r="AI44" s="109">
        <f t="shared" si="17"/>
        <v>0</v>
      </c>
      <c r="AJ44" s="109">
        <f t="shared" si="18"/>
        <v>50000</v>
      </c>
      <c r="AK44" s="109">
        <f t="shared" si="19"/>
        <v>50000</v>
      </c>
      <c r="AL44" s="110">
        <f t="shared" si="20"/>
        <v>1</v>
      </c>
      <c r="AM44" s="109">
        <f t="shared" si="21"/>
        <v>0</v>
      </c>
      <c r="AN44" s="109">
        <f t="shared" si="22"/>
        <v>0</v>
      </c>
      <c r="AO44" s="109">
        <f t="shared" si="23"/>
        <v>0</v>
      </c>
      <c r="AP44" s="110">
        <v>0</v>
      </c>
      <c r="AQ44" s="111">
        <f t="shared" si="24"/>
        <v>0</v>
      </c>
      <c r="AR44" s="111">
        <f t="shared" si="25"/>
        <v>50000</v>
      </c>
      <c r="AS44" s="111">
        <f t="shared" si="26"/>
        <v>50000</v>
      </c>
      <c r="AT44" s="112">
        <f t="shared" si="27"/>
        <v>1</v>
      </c>
      <c r="AU44" s="625"/>
    </row>
    <row r="45" spans="1:47" ht="40.5">
      <c r="A45" s="615" t="s">
        <v>802</v>
      </c>
      <c r="B45" s="489"/>
      <c r="C45" s="489"/>
      <c r="D45" s="489"/>
      <c r="E45" s="503"/>
      <c r="F45" s="489">
        <v>215340000</v>
      </c>
      <c r="G45" s="489">
        <v>215340000</v>
      </c>
      <c r="H45" s="489">
        <v>215340000</v>
      </c>
      <c r="I45" s="503">
        <f t="shared" ref="I45:I47" si="30">SUM(H45/G45)</f>
        <v>1</v>
      </c>
      <c r="J45" s="497"/>
      <c r="K45" s="497"/>
      <c r="L45" s="497"/>
      <c r="M45" s="497"/>
      <c r="N45" s="490"/>
      <c r="O45" s="490"/>
      <c r="P45" s="490"/>
      <c r="Q45" s="504"/>
      <c r="R45" s="490"/>
      <c r="S45" s="490"/>
      <c r="T45" s="490"/>
      <c r="U45" s="503"/>
      <c r="V45" s="490"/>
      <c r="W45" s="490"/>
      <c r="X45" s="490"/>
      <c r="Y45" s="490"/>
      <c r="Z45" s="615" t="s">
        <v>802</v>
      </c>
      <c r="AA45" s="490"/>
      <c r="AB45" s="490"/>
      <c r="AC45" s="490"/>
      <c r="AD45" s="504"/>
      <c r="AE45" s="490"/>
      <c r="AF45" s="490"/>
      <c r="AG45" s="490"/>
      <c r="AH45" s="504"/>
      <c r="AI45" s="109">
        <f t="shared" si="17"/>
        <v>0</v>
      </c>
      <c r="AJ45" s="109">
        <f t="shared" si="18"/>
        <v>0</v>
      </c>
      <c r="AK45" s="109">
        <f t="shared" si="19"/>
        <v>0</v>
      </c>
      <c r="AL45" s="110">
        <v>0</v>
      </c>
      <c r="AM45" s="109">
        <f t="shared" si="21"/>
        <v>215340000</v>
      </c>
      <c r="AN45" s="109">
        <f t="shared" si="22"/>
        <v>215340000</v>
      </c>
      <c r="AO45" s="109">
        <f t="shared" si="23"/>
        <v>215340000</v>
      </c>
      <c r="AP45" s="110">
        <f t="shared" ref="AP45:AP48" si="31">SUM(AO45/AN45)</f>
        <v>1</v>
      </c>
      <c r="AQ45" s="111">
        <f t="shared" si="24"/>
        <v>215340000</v>
      </c>
      <c r="AR45" s="111">
        <f t="shared" si="25"/>
        <v>215340000</v>
      </c>
      <c r="AS45" s="111">
        <f t="shared" si="26"/>
        <v>215340000</v>
      </c>
      <c r="AT45" s="112">
        <f t="shared" si="27"/>
        <v>1</v>
      </c>
      <c r="AU45" s="625"/>
    </row>
    <row r="46" spans="1:47" ht="40.5">
      <c r="A46" s="615" t="s">
        <v>803</v>
      </c>
      <c r="B46" s="489"/>
      <c r="C46" s="489"/>
      <c r="D46" s="489"/>
      <c r="E46" s="503"/>
      <c r="F46" s="489"/>
      <c r="G46" s="489">
        <v>29999539</v>
      </c>
      <c r="H46" s="489">
        <v>29999539</v>
      </c>
      <c r="I46" s="503">
        <f t="shared" si="30"/>
        <v>1</v>
      </c>
      <c r="J46" s="497"/>
      <c r="K46" s="497"/>
      <c r="L46" s="497"/>
      <c r="M46" s="497"/>
      <c r="N46" s="490"/>
      <c r="O46" s="490"/>
      <c r="P46" s="490"/>
      <c r="Q46" s="504"/>
      <c r="R46" s="490"/>
      <c r="S46" s="490"/>
      <c r="T46" s="490"/>
      <c r="U46" s="503"/>
      <c r="V46" s="490"/>
      <c r="W46" s="490"/>
      <c r="X46" s="490"/>
      <c r="Y46" s="490"/>
      <c r="Z46" s="615" t="s">
        <v>803</v>
      </c>
      <c r="AA46" s="490"/>
      <c r="AB46" s="490"/>
      <c r="AC46" s="490"/>
      <c r="AD46" s="504"/>
      <c r="AE46" s="490"/>
      <c r="AF46" s="490"/>
      <c r="AG46" s="490"/>
      <c r="AH46" s="504"/>
      <c r="AI46" s="109">
        <f t="shared" si="17"/>
        <v>0</v>
      </c>
      <c r="AJ46" s="109">
        <f t="shared" si="18"/>
        <v>0</v>
      </c>
      <c r="AK46" s="109">
        <f t="shared" si="19"/>
        <v>0</v>
      </c>
      <c r="AL46" s="110">
        <v>0</v>
      </c>
      <c r="AM46" s="109">
        <f t="shared" si="21"/>
        <v>0</v>
      </c>
      <c r="AN46" s="109">
        <f t="shared" si="22"/>
        <v>29999539</v>
      </c>
      <c r="AO46" s="109">
        <f t="shared" si="23"/>
        <v>29999539</v>
      </c>
      <c r="AP46" s="110">
        <f t="shared" si="31"/>
        <v>1</v>
      </c>
      <c r="AQ46" s="111">
        <f t="shared" si="24"/>
        <v>0</v>
      </c>
      <c r="AR46" s="111">
        <f t="shared" si="25"/>
        <v>29999539</v>
      </c>
      <c r="AS46" s="111">
        <f t="shared" si="26"/>
        <v>29999539</v>
      </c>
      <c r="AT46" s="112">
        <f t="shared" si="27"/>
        <v>1</v>
      </c>
      <c r="AU46" s="625"/>
    </row>
    <row r="47" spans="1:47" ht="31.5" customHeight="1">
      <c r="A47" s="615" t="s">
        <v>804</v>
      </c>
      <c r="B47" s="489"/>
      <c r="C47" s="489"/>
      <c r="D47" s="489"/>
      <c r="E47" s="503"/>
      <c r="F47" s="489"/>
      <c r="G47" s="489">
        <v>536000</v>
      </c>
      <c r="H47" s="489">
        <v>536000</v>
      </c>
      <c r="I47" s="503">
        <f t="shared" si="30"/>
        <v>1</v>
      </c>
      <c r="J47" s="497"/>
      <c r="K47" s="497"/>
      <c r="L47" s="497"/>
      <c r="M47" s="497"/>
      <c r="N47" s="490"/>
      <c r="O47" s="490"/>
      <c r="P47" s="490"/>
      <c r="Q47" s="504"/>
      <c r="R47" s="490"/>
      <c r="S47" s="490"/>
      <c r="T47" s="490"/>
      <c r="U47" s="503"/>
      <c r="V47" s="490"/>
      <c r="W47" s="490"/>
      <c r="X47" s="490"/>
      <c r="Y47" s="490"/>
      <c r="Z47" s="615" t="s">
        <v>804</v>
      </c>
      <c r="AA47" s="490"/>
      <c r="AB47" s="490"/>
      <c r="AC47" s="490"/>
      <c r="AD47" s="504"/>
      <c r="AE47" s="490"/>
      <c r="AF47" s="490"/>
      <c r="AG47" s="490"/>
      <c r="AH47" s="504"/>
      <c r="AI47" s="109">
        <f t="shared" si="17"/>
        <v>0</v>
      </c>
      <c r="AJ47" s="109">
        <f t="shared" si="18"/>
        <v>0</v>
      </c>
      <c r="AK47" s="109">
        <f t="shared" si="19"/>
        <v>0</v>
      </c>
      <c r="AL47" s="110">
        <v>0</v>
      </c>
      <c r="AM47" s="109">
        <f t="shared" si="21"/>
        <v>0</v>
      </c>
      <c r="AN47" s="109">
        <f t="shared" si="22"/>
        <v>536000</v>
      </c>
      <c r="AO47" s="109">
        <f t="shared" si="23"/>
        <v>536000</v>
      </c>
      <c r="AP47" s="110">
        <f t="shared" si="31"/>
        <v>1</v>
      </c>
      <c r="AQ47" s="111">
        <f t="shared" si="24"/>
        <v>0</v>
      </c>
      <c r="AR47" s="111">
        <f t="shared" si="25"/>
        <v>536000</v>
      </c>
      <c r="AS47" s="111">
        <f t="shared" si="26"/>
        <v>536000</v>
      </c>
      <c r="AT47" s="112">
        <f t="shared" si="27"/>
        <v>1</v>
      </c>
      <c r="AU47" s="625"/>
    </row>
    <row r="48" spans="1:47" ht="40.5">
      <c r="A48" s="615" t="s">
        <v>805</v>
      </c>
      <c r="B48" s="489"/>
      <c r="C48" s="489"/>
      <c r="D48" s="489"/>
      <c r="E48" s="503"/>
      <c r="F48" s="489"/>
      <c r="G48" s="489"/>
      <c r="H48" s="489"/>
      <c r="I48" s="489"/>
      <c r="J48" s="497"/>
      <c r="K48" s="497"/>
      <c r="L48" s="497"/>
      <c r="M48" s="497"/>
      <c r="N48" s="490"/>
      <c r="O48" s="490"/>
      <c r="P48" s="490"/>
      <c r="Q48" s="504"/>
      <c r="R48" s="490">
        <v>10525750</v>
      </c>
      <c r="S48" s="490">
        <v>10525750</v>
      </c>
      <c r="T48" s="490">
        <v>5957165</v>
      </c>
      <c r="U48" s="504">
        <f t="shared" ref="U48" si="32">SUM(T48/S48)</f>
        <v>0.56596109540887818</v>
      </c>
      <c r="V48" s="490"/>
      <c r="W48" s="490"/>
      <c r="X48" s="490"/>
      <c r="Y48" s="490"/>
      <c r="Z48" s="615" t="s">
        <v>805</v>
      </c>
      <c r="AA48" s="490"/>
      <c r="AB48" s="490"/>
      <c r="AC48" s="490"/>
      <c r="AD48" s="504"/>
      <c r="AE48" s="490"/>
      <c r="AF48" s="490"/>
      <c r="AG48" s="490"/>
      <c r="AH48" s="504"/>
      <c r="AI48" s="109">
        <f t="shared" si="17"/>
        <v>0</v>
      </c>
      <c r="AJ48" s="109">
        <f t="shared" si="18"/>
        <v>0</v>
      </c>
      <c r="AK48" s="109">
        <f t="shared" si="19"/>
        <v>0</v>
      </c>
      <c r="AL48" s="110">
        <v>0</v>
      </c>
      <c r="AM48" s="109">
        <f t="shared" si="21"/>
        <v>10525750</v>
      </c>
      <c r="AN48" s="109">
        <f t="shared" si="22"/>
        <v>10525750</v>
      </c>
      <c r="AO48" s="109">
        <f t="shared" si="23"/>
        <v>5957165</v>
      </c>
      <c r="AP48" s="110">
        <f t="shared" si="31"/>
        <v>0.56596109540887818</v>
      </c>
      <c r="AQ48" s="111">
        <f t="shared" si="24"/>
        <v>10525750</v>
      </c>
      <c r="AR48" s="111">
        <f t="shared" si="25"/>
        <v>10525750</v>
      </c>
      <c r="AS48" s="111">
        <f t="shared" si="26"/>
        <v>5957165</v>
      </c>
      <c r="AT48" s="112">
        <f t="shared" si="27"/>
        <v>0.56596109540887818</v>
      </c>
      <c r="AU48" s="625"/>
    </row>
    <row r="49" spans="1:110" ht="40.5">
      <c r="A49" s="616" t="s">
        <v>806</v>
      </c>
      <c r="B49" s="489"/>
      <c r="C49" s="489"/>
      <c r="D49" s="489"/>
      <c r="E49" s="503"/>
      <c r="F49" s="489"/>
      <c r="G49" s="489"/>
      <c r="H49" s="489"/>
      <c r="I49" s="489"/>
      <c r="J49" s="497"/>
      <c r="K49" s="497"/>
      <c r="L49" s="497"/>
      <c r="M49" s="497"/>
      <c r="N49" s="490"/>
      <c r="O49" s="490"/>
      <c r="P49" s="490"/>
      <c r="Q49" s="504"/>
      <c r="R49" s="490">
        <v>98575986</v>
      </c>
      <c r="S49" s="490">
        <v>98575986</v>
      </c>
      <c r="T49" s="490"/>
      <c r="U49" s="503"/>
      <c r="V49" s="490"/>
      <c r="W49" s="490"/>
      <c r="X49" s="490"/>
      <c r="Y49" s="490"/>
      <c r="Z49" s="616" t="s">
        <v>806</v>
      </c>
      <c r="AA49" s="490"/>
      <c r="AB49" s="490"/>
      <c r="AC49" s="490"/>
      <c r="AD49" s="504"/>
      <c r="AE49" s="490"/>
      <c r="AF49" s="490"/>
      <c r="AG49" s="490"/>
      <c r="AH49" s="504"/>
      <c r="AI49" s="109">
        <f t="shared" si="17"/>
        <v>0</v>
      </c>
      <c r="AJ49" s="109">
        <f t="shared" si="18"/>
        <v>0</v>
      </c>
      <c r="AK49" s="109">
        <f t="shared" si="19"/>
        <v>0</v>
      </c>
      <c r="AL49" s="110">
        <v>0</v>
      </c>
      <c r="AM49" s="109">
        <f t="shared" si="21"/>
        <v>98575986</v>
      </c>
      <c r="AN49" s="109">
        <f t="shared" si="22"/>
        <v>98575986</v>
      </c>
      <c r="AO49" s="109">
        <f t="shared" si="23"/>
        <v>0</v>
      </c>
      <c r="AP49" s="110">
        <v>0</v>
      </c>
      <c r="AQ49" s="111">
        <f t="shared" si="24"/>
        <v>98575986</v>
      </c>
      <c r="AR49" s="111">
        <f t="shared" si="25"/>
        <v>98575986</v>
      </c>
      <c r="AS49" s="111">
        <f t="shared" si="26"/>
        <v>0</v>
      </c>
      <c r="AT49" s="112">
        <f t="shared" si="27"/>
        <v>0</v>
      </c>
      <c r="AU49" s="625"/>
    </row>
    <row r="50" spans="1:110" ht="25.5" customHeight="1">
      <c r="A50" s="617" t="s">
        <v>807</v>
      </c>
      <c r="B50" s="489"/>
      <c r="C50" s="489"/>
      <c r="D50" s="489"/>
      <c r="E50" s="503"/>
      <c r="F50" s="489"/>
      <c r="G50" s="489"/>
      <c r="H50" s="489"/>
      <c r="I50" s="489"/>
      <c r="J50" s="497"/>
      <c r="K50" s="497"/>
      <c r="L50" s="497"/>
      <c r="M50" s="497"/>
      <c r="N50" s="490"/>
      <c r="O50" s="490"/>
      <c r="P50" s="490"/>
      <c r="Q50" s="504"/>
      <c r="R50" s="490">
        <v>20000000</v>
      </c>
      <c r="S50" s="490">
        <v>20000000</v>
      </c>
      <c r="T50" s="490"/>
      <c r="U50" s="503"/>
      <c r="V50" s="490"/>
      <c r="W50" s="490"/>
      <c r="X50" s="490"/>
      <c r="Y50" s="490"/>
      <c r="Z50" s="617" t="s">
        <v>807</v>
      </c>
      <c r="AA50" s="490"/>
      <c r="AB50" s="490"/>
      <c r="AC50" s="490"/>
      <c r="AD50" s="504"/>
      <c r="AE50" s="490"/>
      <c r="AF50" s="490"/>
      <c r="AG50" s="490"/>
      <c r="AH50" s="504"/>
      <c r="AI50" s="109">
        <f t="shared" si="17"/>
        <v>0</v>
      </c>
      <c r="AJ50" s="109">
        <f t="shared" si="18"/>
        <v>0</v>
      </c>
      <c r="AK50" s="109">
        <f t="shared" si="19"/>
        <v>0</v>
      </c>
      <c r="AL50" s="110">
        <v>0</v>
      </c>
      <c r="AM50" s="109">
        <f t="shared" si="21"/>
        <v>20000000</v>
      </c>
      <c r="AN50" s="109">
        <f t="shared" si="22"/>
        <v>20000000</v>
      </c>
      <c r="AO50" s="109">
        <f t="shared" si="23"/>
        <v>0</v>
      </c>
      <c r="AP50" s="110">
        <v>0</v>
      </c>
      <c r="AQ50" s="111">
        <f t="shared" si="24"/>
        <v>20000000</v>
      </c>
      <c r="AR50" s="111">
        <f t="shared" si="25"/>
        <v>20000000</v>
      </c>
      <c r="AS50" s="111">
        <f t="shared" si="26"/>
        <v>0</v>
      </c>
      <c r="AT50" s="112">
        <f t="shared" si="27"/>
        <v>0</v>
      </c>
      <c r="AU50" s="625"/>
    </row>
    <row r="51" spans="1:110" ht="25.5" customHeight="1">
      <c r="A51" s="618" t="s">
        <v>356</v>
      </c>
      <c r="B51" s="489"/>
      <c r="C51" s="489"/>
      <c r="D51" s="489"/>
      <c r="E51" s="503"/>
      <c r="F51" s="489"/>
      <c r="G51" s="489"/>
      <c r="H51" s="489"/>
      <c r="I51" s="489"/>
      <c r="J51" s="497"/>
      <c r="K51" s="497"/>
      <c r="L51" s="497"/>
      <c r="M51" s="497"/>
      <c r="N51" s="490"/>
      <c r="O51" s="490"/>
      <c r="P51" s="490"/>
      <c r="Q51" s="504"/>
      <c r="R51" s="490"/>
      <c r="S51" s="490"/>
      <c r="T51" s="490"/>
      <c r="U51" s="503"/>
      <c r="V51" s="490"/>
      <c r="W51" s="490"/>
      <c r="X51" s="490"/>
      <c r="Y51" s="490"/>
      <c r="Z51" s="618" t="s">
        <v>356</v>
      </c>
      <c r="AA51" s="490"/>
      <c r="AB51" s="490"/>
      <c r="AC51" s="490"/>
      <c r="AD51" s="504"/>
      <c r="AE51" s="490">
        <v>2558448382</v>
      </c>
      <c r="AF51" s="490">
        <v>2694877871</v>
      </c>
      <c r="AG51" s="490">
        <v>2694877871</v>
      </c>
      <c r="AH51" s="110">
        <f t="shared" ref="AH51" si="33">SUM(AG51/AF51)</f>
        <v>1</v>
      </c>
      <c r="AI51" s="109">
        <f t="shared" si="17"/>
        <v>2558448382</v>
      </c>
      <c r="AJ51" s="109">
        <f t="shared" si="18"/>
        <v>2694877871</v>
      </c>
      <c r="AK51" s="109">
        <f t="shared" si="19"/>
        <v>2694877871</v>
      </c>
      <c r="AL51" s="110">
        <f t="shared" si="20"/>
        <v>1</v>
      </c>
      <c r="AM51" s="109">
        <f t="shared" si="21"/>
        <v>0</v>
      </c>
      <c r="AN51" s="109">
        <f t="shared" si="22"/>
        <v>0</v>
      </c>
      <c r="AO51" s="109">
        <f t="shared" si="23"/>
        <v>0</v>
      </c>
      <c r="AP51" s="110">
        <v>0</v>
      </c>
      <c r="AQ51" s="111">
        <f t="shared" si="24"/>
        <v>2558448382</v>
      </c>
      <c r="AR51" s="111">
        <f t="shared" si="25"/>
        <v>2694877871</v>
      </c>
      <c r="AS51" s="111">
        <f t="shared" si="26"/>
        <v>2694877871</v>
      </c>
      <c r="AT51" s="112">
        <f t="shared" si="27"/>
        <v>1</v>
      </c>
      <c r="AU51" s="625"/>
    </row>
    <row r="52" spans="1:110" ht="40.5">
      <c r="A52" s="615" t="s">
        <v>808</v>
      </c>
      <c r="B52" s="489"/>
      <c r="C52" s="489">
        <v>51714618</v>
      </c>
      <c r="D52" s="489"/>
      <c r="E52" s="503"/>
      <c r="F52" s="489"/>
      <c r="G52" s="489"/>
      <c r="H52" s="489"/>
      <c r="I52" s="489"/>
      <c r="J52" s="497"/>
      <c r="K52" s="497"/>
      <c r="L52" s="497"/>
      <c r="M52" s="497"/>
      <c r="N52" s="490"/>
      <c r="O52" s="490"/>
      <c r="P52" s="490"/>
      <c r="Q52" s="504"/>
      <c r="R52" s="490"/>
      <c r="S52" s="490"/>
      <c r="T52" s="490"/>
      <c r="U52" s="503"/>
      <c r="V52" s="490"/>
      <c r="W52" s="490"/>
      <c r="X52" s="490"/>
      <c r="Y52" s="490"/>
      <c r="Z52" s="615" t="s">
        <v>808</v>
      </c>
      <c r="AA52" s="490"/>
      <c r="AB52" s="490"/>
      <c r="AC52" s="490"/>
      <c r="AD52" s="504"/>
      <c r="AE52" s="490"/>
      <c r="AF52" s="490"/>
      <c r="AG52" s="490"/>
      <c r="AH52" s="504"/>
      <c r="AI52" s="109">
        <f t="shared" si="17"/>
        <v>0</v>
      </c>
      <c r="AJ52" s="109">
        <f t="shared" si="18"/>
        <v>51714618</v>
      </c>
      <c r="AK52" s="109">
        <f t="shared" si="19"/>
        <v>0</v>
      </c>
      <c r="AL52" s="110">
        <f t="shared" si="20"/>
        <v>0</v>
      </c>
      <c r="AM52" s="109">
        <f t="shared" si="21"/>
        <v>0</v>
      </c>
      <c r="AN52" s="109">
        <f t="shared" si="22"/>
        <v>0</v>
      </c>
      <c r="AO52" s="109">
        <f t="shared" si="23"/>
        <v>0</v>
      </c>
      <c r="AP52" s="110">
        <v>0</v>
      </c>
      <c r="AQ52" s="111">
        <f t="shared" si="24"/>
        <v>0</v>
      </c>
      <c r="AR52" s="111">
        <f t="shared" si="25"/>
        <v>51714618</v>
      </c>
      <c r="AS52" s="111">
        <f t="shared" si="26"/>
        <v>0</v>
      </c>
      <c r="AT52" s="112">
        <f t="shared" si="27"/>
        <v>0</v>
      </c>
      <c r="AU52" s="625"/>
    </row>
    <row r="53" spans="1:110" ht="60.75">
      <c r="A53" s="615" t="s">
        <v>809</v>
      </c>
      <c r="B53" s="489"/>
      <c r="C53" s="489"/>
      <c r="D53" s="489"/>
      <c r="E53" s="503"/>
      <c r="F53" s="489"/>
      <c r="G53" s="489">
        <v>11000000</v>
      </c>
      <c r="H53" s="489">
        <v>11000000</v>
      </c>
      <c r="I53" s="503">
        <f t="shared" ref="I53:I59" si="34">SUM(H53/G53)</f>
        <v>1</v>
      </c>
      <c r="J53" s="497"/>
      <c r="K53" s="497"/>
      <c r="L53" s="497"/>
      <c r="M53" s="497"/>
      <c r="N53" s="490"/>
      <c r="O53" s="490"/>
      <c r="P53" s="490"/>
      <c r="Q53" s="504"/>
      <c r="R53" s="490"/>
      <c r="S53" s="490"/>
      <c r="T53" s="490"/>
      <c r="U53" s="503"/>
      <c r="V53" s="490"/>
      <c r="W53" s="490"/>
      <c r="X53" s="490"/>
      <c r="Y53" s="490"/>
      <c r="Z53" s="615" t="s">
        <v>809</v>
      </c>
      <c r="AA53" s="490"/>
      <c r="AB53" s="490"/>
      <c r="AC53" s="490"/>
      <c r="AD53" s="504"/>
      <c r="AE53" s="490"/>
      <c r="AF53" s="490"/>
      <c r="AG53" s="490"/>
      <c r="AH53" s="504"/>
      <c r="AI53" s="109">
        <f t="shared" si="17"/>
        <v>0</v>
      </c>
      <c r="AJ53" s="109">
        <f t="shared" si="18"/>
        <v>0</v>
      </c>
      <c r="AK53" s="109">
        <f t="shared" si="19"/>
        <v>0</v>
      </c>
      <c r="AL53" s="110">
        <v>0</v>
      </c>
      <c r="AM53" s="109">
        <f t="shared" si="21"/>
        <v>0</v>
      </c>
      <c r="AN53" s="109">
        <f t="shared" si="22"/>
        <v>11000000</v>
      </c>
      <c r="AO53" s="109">
        <f t="shared" si="23"/>
        <v>11000000</v>
      </c>
      <c r="AP53" s="110">
        <f t="shared" ref="AP53:AP59" si="35">SUM(AO53/AN53)</f>
        <v>1</v>
      </c>
      <c r="AQ53" s="111">
        <f t="shared" si="24"/>
        <v>0</v>
      </c>
      <c r="AR53" s="111">
        <f t="shared" si="25"/>
        <v>11000000</v>
      </c>
      <c r="AS53" s="111">
        <f t="shared" si="26"/>
        <v>11000000</v>
      </c>
      <c r="AT53" s="112">
        <f t="shared" si="27"/>
        <v>1</v>
      </c>
      <c r="AU53" s="625"/>
    </row>
    <row r="54" spans="1:110" ht="101.25">
      <c r="A54" s="615" t="s">
        <v>810</v>
      </c>
      <c r="B54" s="489"/>
      <c r="C54" s="489"/>
      <c r="D54" s="489"/>
      <c r="E54" s="503"/>
      <c r="F54" s="489"/>
      <c r="G54" s="489">
        <v>20000000</v>
      </c>
      <c r="H54" s="489">
        <v>20000000</v>
      </c>
      <c r="I54" s="503">
        <f t="shared" si="34"/>
        <v>1</v>
      </c>
      <c r="J54" s="497"/>
      <c r="K54" s="497"/>
      <c r="L54" s="497"/>
      <c r="M54" s="497"/>
      <c r="N54" s="490"/>
      <c r="O54" s="490"/>
      <c r="P54" s="490"/>
      <c r="Q54" s="504"/>
      <c r="R54" s="490"/>
      <c r="S54" s="490"/>
      <c r="T54" s="490"/>
      <c r="U54" s="503"/>
      <c r="V54" s="490"/>
      <c r="W54" s="490"/>
      <c r="X54" s="490"/>
      <c r="Y54" s="490"/>
      <c r="Z54" s="615" t="s">
        <v>810</v>
      </c>
      <c r="AA54" s="490"/>
      <c r="AB54" s="490"/>
      <c r="AC54" s="490"/>
      <c r="AD54" s="504"/>
      <c r="AE54" s="490"/>
      <c r="AF54" s="490"/>
      <c r="AG54" s="490"/>
      <c r="AH54" s="504"/>
      <c r="AI54" s="109">
        <f t="shared" si="17"/>
        <v>0</v>
      </c>
      <c r="AJ54" s="109">
        <f t="shared" si="18"/>
        <v>0</v>
      </c>
      <c r="AK54" s="109">
        <f t="shared" si="19"/>
        <v>0</v>
      </c>
      <c r="AL54" s="110">
        <v>0</v>
      </c>
      <c r="AM54" s="109">
        <f t="shared" si="21"/>
        <v>0</v>
      </c>
      <c r="AN54" s="109">
        <f t="shared" si="22"/>
        <v>20000000</v>
      </c>
      <c r="AO54" s="109">
        <f t="shared" si="23"/>
        <v>20000000</v>
      </c>
      <c r="AP54" s="110">
        <f t="shared" si="35"/>
        <v>1</v>
      </c>
      <c r="AQ54" s="111">
        <f t="shared" si="24"/>
        <v>0</v>
      </c>
      <c r="AR54" s="111">
        <f t="shared" si="25"/>
        <v>20000000</v>
      </c>
      <c r="AS54" s="111">
        <f t="shared" si="26"/>
        <v>20000000</v>
      </c>
      <c r="AT54" s="112">
        <f t="shared" si="27"/>
        <v>1</v>
      </c>
      <c r="AU54" s="625"/>
    </row>
    <row r="55" spans="1:110" ht="101.25">
      <c r="A55" s="615" t="s">
        <v>811</v>
      </c>
      <c r="B55" s="489"/>
      <c r="C55" s="489"/>
      <c r="D55" s="489"/>
      <c r="E55" s="503"/>
      <c r="F55" s="489"/>
      <c r="G55" s="489">
        <v>244000000</v>
      </c>
      <c r="H55" s="489">
        <v>244000000</v>
      </c>
      <c r="I55" s="503">
        <f t="shared" si="34"/>
        <v>1</v>
      </c>
      <c r="J55" s="497"/>
      <c r="K55" s="497"/>
      <c r="L55" s="497"/>
      <c r="M55" s="497"/>
      <c r="N55" s="490"/>
      <c r="O55" s="490"/>
      <c r="P55" s="490"/>
      <c r="Q55" s="504"/>
      <c r="R55" s="490"/>
      <c r="S55" s="490"/>
      <c r="T55" s="490"/>
      <c r="U55" s="503"/>
      <c r="V55" s="490"/>
      <c r="W55" s="490"/>
      <c r="X55" s="490"/>
      <c r="Y55" s="490"/>
      <c r="Z55" s="615" t="s">
        <v>811</v>
      </c>
      <c r="AA55" s="490"/>
      <c r="AB55" s="490"/>
      <c r="AC55" s="490"/>
      <c r="AD55" s="504"/>
      <c r="AE55" s="490"/>
      <c r="AF55" s="490"/>
      <c r="AG55" s="490"/>
      <c r="AH55" s="504"/>
      <c r="AI55" s="109">
        <f t="shared" si="17"/>
        <v>0</v>
      </c>
      <c r="AJ55" s="109">
        <f t="shared" si="18"/>
        <v>0</v>
      </c>
      <c r="AK55" s="109">
        <f t="shared" si="19"/>
        <v>0</v>
      </c>
      <c r="AL55" s="110">
        <v>0</v>
      </c>
      <c r="AM55" s="109">
        <f t="shared" si="21"/>
        <v>0</v>
      </c>
      <c r="AN55" s="109">
        <f t="shared" si="22"/>
        <v>244000000</v>
      </c>
      <c r="AO55" s="109">
        <f t="shared" si="23"/>
        <v>244000000</v>
      </c>
      <c r="AP55" s="110">
        <f t="shared" si="35"/>
        <v>1</v>
      </c>
      <c r="AQ55" s="111">
        <f t="shared" si="24"/>
        <v>0</v>
      </c>
      <c r="AR55" s="111">
        <f t="shared" si="25"/>
        <v>244000000</v>
      </c>
      <c r="AS55" s="111">
        <f t="shared" si="26"/>
        <v>244000000</v>
      </c>
      <c r="AT55" s="112">
        <f t="shared" si="27"/>
        <v>1</v>
      </c>
      <c r="AU55" s="625"/>
    </row>
    <row r="56" spans="1:110" ht="81">
      <c r="A56" s="618" t="s">
        <v>812</v>
      </c>
      <c r="B56" s="489"/>
      <c r="C56" s="489"/>
      <c r="D56" s="489"/>
      <c r="E56" s="503"/>
      <c r="F56" s="489"/>
      <c r="G56" s="489">
        <v>10000000</v>
      </c>
      <c r="H56" s="489">
        <v>7500000</v>
      </c>
      <c r="I56" s="503">
        <f t="shared" si="34"/>
        <v>0.75</v>
      </c>
      <c r="J56" s="497"/>
      <c r="K56" s="497"/>
      <c r="L56" s="497"/>
      <c r="M56" s="497"/>
      <c r="N56" s="490"/>
      <c r="O56" s="490"/>
      <c r="P56" s="490"/>
      <c r="Q56" s="504"/>
      <c r="R56" s="490"/>
      <c r="S56" s="490"/>
      <c r="T56" s="490"/>
      <c r="U56" s="503"/>
      <c r="V56" s="490"/>
      <c r="W56" s="490"/>
      <c r="X56" s="490"/>
      <c r="Y56" s="490"/>
      <c r="Z56" s="618" t="s">
        <v>812</v>
      </c>
      <c r="AA56" s="490"/>
      <c r="AB56" s="490"/>
      <c r="AC56" s="490"/>
      <c r="AD56" s="504"/>
      <c r="AE56" s="490"/>
      <c r="AF56" s="490"/>
      <c r="AG56" s="490"/>
      <c r="AH56" s="504"/>
      <c r="AI56" s="109">
        <f t="shared" si="17"/>
        <v>0</v>
      </c>
      <c r="AJ56" s="109">
        <f t="shared" si="18"/>
        <v>0</v>
      </c>
      <c r="AK56" s="109">
        <f t="shared" si="19"/>
        <v>0</v>
      </c>
      <c r="AL56" s="110">
        <v>0</v>
      </c>
      <c r="AM56" s="109">
        <f t="shared" si="21"/>
        <v>0</v>
      </c>
      <c r="AN56" s="109">
        <f t="shared" si="22"/>
        <v>10000000</v>
      </c>
      <c r="AO56" s="109">
        <f t="shared" si="23"/>
        <v>7500000</v>
      </c>
      <c r="AP56" s="110">
        <f t="shared" si="35"/>
        <v>0.75</v>
      </c>
      <c r="AQ56" s="111">
        <f t="shared" si="24"/>
        <v>0</v>
      </c>
      <c r="AR56" s="111">
        <f t="shared" si="25"/>
        <v>10000000</v>
      </c>
      <c r="AS56" s="111">
        <f t="shared" si="26"/>
        <v>7500000</v>
      </c>
      <c r="AT56" s="112">
        <f t="shared" si="27"/>
        <v>0.75</v>
      </c>
      <c r="AU56" s="625"/>
    </row>
    <row r="57" spans="1:110" ht="81">
      <c r="A57" s="618" t="s">
        <v>813</v>
      </c>
      <c r="B57" s="489"/>
      <c r="C57" s="489"/>
      <c r="D57" s="489"/>
      <c r="E57" s="503"/>
      <c r="F57" s="489"/>
      <c r="G57" s="489">
        <v>4400000</v>
      </c>
      <c r="H57" s="489">
        <v>4400000</v>
      </c>
      <c r="I57" s="503">
        <f t="shared" si="34"/>
        <v>1</v>
      </c>
      <c r="J57" s="497"/>
      <c r="K57" s="497"/>
      <c r="L57" s="497"/>
      <c r="M57" s="497"/>
      <c r="N57" s="490"/>
      <c r="O57" s="490"/>
      <c r="P57" s="490"/>
      <c r="Q57" s="504"/>
      <c r="R57" s="490"/>
      <c r="S57" s="490"/>
      <c r="T57" s="490"/>
      <c r="U57" s="503"/>
      <c r="V57" s="490"/>
      <c r="W57" s="490"/>
      <c r="X57" s="490"/>
      <c r="Y57" s="490"/>
      <c r="Z57" s="618" t="s">
        <v>813</v>
      </c>
      <c r="AA57" s="490"/>
      <c r="AB57" s="490"/>
      <c r="AC57" s="490"/>
      <c r="AD57" s="504"/>
      <c r="AE57" s="490"/>
      <c r="AF57" s="490"/>
      <c r="AG57" s="490"/>
      <c r="AH57" s="504"/>
      <c r="AI57" s="109">
        <f t="shared" si="17"/>
        <v>0</v>
      </c>
      <c r="AJ57" s="109">
        <f t="shared" si="18"/>
        <v>0</v>
      </c>
      <c r="AK57" s="109">
        <f t="shared" si="19"/>
        <v>0</v>
      </c>
      <c r="AL57" s="110">
        <v>0</v>
      </c>
      <c r="AM57" s="109">
        <f t="shared" si="21"/>
        <v>0</v>
      </c>
      <c r="AN57" s="109">
        <f t="shared" si="22"/>
        <v>4400000</v>
      </c>
      <c r="AO57" s="109">
        <f t="shared" si="23"/>
        <v>4400000</v>
      </c>
      <c r="AP57" s="110">
        <f t="shared" si="35"/>
        <v>1</v>
      </c>
      <c r="AQ57" s="111">
        <f t="shared" si="24"/>
        <v>0</v>
      </c>
      <c r="AR57" s="111">
        <f t="shared" si="25"/>
        <v>4400000</v>
      </c>
      <c r="AS57" s="111">
        <f t="shared" si="26"/>
        <v>4400000</v>
      </c>
      <c r="AT57" s="112">
        <f t="shared" si="27"/>
        <v>1</v>
      </c>
      <c r="AU57" s="625"/>
    </row>
    <row r="58" spans="1:110" ht="40.5">
      <c r="A58" s="618" t="s">
        <v>814</v>
      </c>
      <c r="B58" s="489"/>
      <c r="C58" s="489"/>
      <c r="D58" s="489"/>
      <c r="E58" s="503"/>
      <c r="F58" s="489"/>
      <c r="G58" s="489">
        <v>554050000</v>
      </c>
      <c r="H58" s="489">
        <v>554050000</v>
      </c>
      <c r="I58" s="503">
        <f t="shared" si="34"/>
        <v>1</v>
      </c>
      <c r="J58" s="497"/>
      <c r="K58" s="497"/>
      <c r="L58" s="497"/>
      <c r="M58" s="497"/>
      <c r="N58" s="490"/>
      <c r="O58" s="490"/>
      <c r="P58" s="490"/>
      <c r="Q58" s="504"/>
      <c r="R58" s="490"/>
      <c r="S58" s="490"/>
      <c r="T58" s="490"/>
      <c r="U58" s="503"/>
      <c r="V58" s="490"/>
      <c r="W58" s="490"/>
      <c r="X58" s="490"/>
      <c r="Y58" s="490"/>
      <c r="Z58" s="618" t="s">
        <v>814</v>
      </c>
      <c r="AA58" s="490"/>
      <c r="AB58" s="490"/>
      <c r="AC58" s="490"/>
      <c r="AD58" s="504"/>
      <c r="AE58" s="490"/>
      <c r="AF58" s="490"/>
      <c r="AG58" s="490"/>
      <c r="AH58" s="504"/>
      <c r="AI58" s="109">
        <f t="shared" si="17"/>
        <v>0</v>
      </c>
      <c r="AJ58" s="109">
        <f t="shared" si="18"/>
        <v>0</v>
      </c>
      <c r="AK58" s="109">
        <f t="shared" si="19"/>
        <v>0</v>
      </c>
      <c r="AL58" s="110">
        <v>0</v>
      </c>
      <c r="AM58" s="109">
        <f t="shared" si="21"/>
        <v>0</v>
      </c>
      <c r="AN58" s="109">
        <f t="shared" si="22"/>
        <v>554050000</v>
      </c>
      <c r="AO58" s="109">
        <f t="shared" si="23"/>
        <v>554050000</v>
      </c>
      <c r="AP58" s="110">
        <f t="shared" si="35"/>
        <v>1</v>
      </c>
      <c r="AQ58" s="111">
        <f t="shared" si="24"/>
        <v>0</v>
      </c>
      <c r="AR58" s="111">
        <f t="shared" si="25"/>
        <v>554050000</v>
      </c>
      <c r="AS58" s="111">
        <f t="shared" si="26"/>
        <v>554050000</v>
      </c>
      <c r="AT58" s="112">
        <f t="shared" si="27"/>
        <v>1</v>
      </c>
      <c r="AU58" s="625"/>
    </row>
    <row r="59" spans="1:110" ht="81">
      <c r="A59" s="618" t="s">
        <v>815</v>
      </c>
      <c r="B59" s="116"/>
      <c r="C59" s="116"/>
      <c r="D59" s="116"/>
      <c r="E59" s="506"/>
      <c r="F59" s="116"/>
      <c r="G59" s="116">
        <v>400000000</v>
      </c>
      <c r="H59" s="116">
        <v>400000000</v>
      </c>
      <c r="I59" s="506">
        <f t="shared" si="34"/>
        <v>1</v>
      </c>
      <c r="J59" s="117"/>
      <c r="K59" s="117"/>
      <c r="L59" s="117"/>
      <c r="M59" s="117"/>
      <c r="N59" s="118"/>
      <c r="O59" s="118"/>
      <c r="P59" s="118"/>
      <c r="Q59" s="505"/>
      <c r="R59" s="118"/>
      <c r="S59" s="118"/>
      <c r="T59" s="118"/>
      <c r="U59" s="506"/>
      <c r="V59" s="118"/>
      <c r="W59" s="118"/>
      <c r="X59" s="118"/>
      <c r="Y59" s="118"/>
      <c r="Z59" s="618" t="s">
        <v>815</v>
      </c>
      <c r="AA59" s="118"/>
      <c r="AB59" s="118"/>
      <c r="AC59" s="118"/>
      <c r="AD59" s="505"/>
      <c r="AE59" s="118"/>
      <c r="AF59" s="118"/>
      <c r="AG59" s="118"/>
      <c r="AH59" s="505"/>
      <c r="AI59" s="109">
        <f t="shared" si="17"/>
        <v>0</v>
      </c>
      <c r="AJ59" s="109">
        <f t="shared" si="18"/>
        <v>0</v>
      </c>
      <c r="AK59" s="109">
        <f t="shared" si="19"/>
        <v>0</v>
      </c>
      <c r="AL59" s="110">
        <v>0</v>
      </c>
      <c r="AM59" s="109">
        <f t="shared" si="21"/>
        <v>0</v>
      </c>
      <c r="AN59" s="109">
        <f t="shared" si="22"/>
        <v>400000000</v>
      </c>
      <c r="AO59" s="109">
        <f t="shared" si="23"/>
        <v>400000000</v>
      </c>
      <c r="AP59" s="110">
        <f t="shared" si="35"/>
        <v>1</v>
      </c>
      <c r="AQ59" s="111">
        <f t="shared" si="24"/>
        <v>0</v>
      </c>
      <c r="AR59" s="111">
        <f t="shared" si="25"/>
        <v>400000000</v>
      </c>
      <c r="AS59" s="111">
        <f t="shared" si="26"/>
        <v>400000000</v>
      </c>
      <c r="AT59" s="112">
        <f t="shared" si="27"/>
        <v>1</v>
      </c>
      <c r="AU59" s="625"/>
    </row>
    <row r="60" spans="1:110" s="624" customFormat="1" ht="27.75" customHeight="1">
      <c r="A60" s="615" t="s">
        <v>820</v>
      </c>
      <c r="B60" s="489"/>
      <c r="C60" s="489"/>
      <c r="D60" s="489"/>
      <c r="E60" s="503"/>
      <c r="F60" s="489"/>
      <c r="G60" s="489"/>
      <c r="H60" s="489"/>
      <c r="I60" s="503"/>
      <c r="J60" s="497"/>
      <c r="K60" s="497"/>
      <c r="L60" s="497"/>
      <c r="M60" s="497"/>
      <c r="N60" s="490"/>
      <c r="O60" s="490"/>
      <c r="P60" s="490"/>
      <c r="Q60" s="504"/>
      <c r="R60" s="490"/>
      <c r="S60" s="490"/>
      <c r="T60" s="490"/>
      <c r="U60" s="503"/>
      <c r="V60" s="490"/>
      <c r="W60" s="490"/>
      <c r="X60" s="490">
        <v>9600000</v>
      </c>
      <c r="Y60" s="506">
        <v>0</v>
      </c>
      <c r="Z60" s="615" t="s">
        <v>820</v>
      </c>
      <c r="AA60" s="490"/>
      <c r="AB60" s="490"/>
      <c r="AC60" s="490"/>
      <c r="AD60" s="504"/>
      <c r="AE60" s="490"/>
      <c r="AF60" s="490"/>
      <c r="AG60" s="490"/>
      <c r="AH60" s="504"/>
      <c r="AI60" s="109">
        <f t="shared" si="17"/>
        <v>0</v>
      </c>
      <c r="AJ60" s="109">
        <f t="shared" si="18"/>
        <v>0</v>
      </c>
      <c r="AK60" s="109">
        <f t="shared" si="19"/>
        <v>9600000</v>
      </c>
      <c r="AL60" s="110">
        <v>0</v>
      </c>
      <c r="AM60" s="109">
        <f t="shared" si="21"/>
        <v>0</v>
      </c>
      <c r="AN60" s="109">
        <f t="shared" si="22"/>
        <v>0</v>
      </c>
      <c r="AO60" s="109">
        <f t="shared" si="23"/>
        <v>0</v>
      </c>
      <c r="AP60" s="110">
        <v>0</v>
      </c>
      <c r="AQ60" s="111">
        <f t="shared" si="24"/>
        <v>0</v>
      </c>
      <c r="AR60" s="111">
        <f t="shared" si="25"/>
        <v>0</v>
      </c>
      <c r="AS60" s="111">
        <f t="shared" si="26"/>
        <v>9600000</v>
      </c>
      <c r="AT60" s="112">
        <v>0</v>
      </c>
      <c r="AU60" s="625"/>
      <c r="AV60" s="626"/>
      <c r="AW60" s="626"/>
      <c r="AX60" s="626"/>
      <c r="AY60" s="626"/>
      <c r="AZ60" s="626"/>
      <c r="BA60" s="626"/>
      <c r="BB60" s="626"/>
      <c r="BC60" s="626"/>
      <c r="BD60" s="626"/>
      <c r="BE60" s="626"/>
      <c r="BF60" s="626"/>
      <c r="BG60" s="626"/>
      <c r="BH60" s="626"/>
      <c r="BI60" s="626"/>
      <c r="BJ60" s="626"/>
      <c r="BK60" s="626"/>
      <c r="BL60" s="626"/>
      <c r="BM60" s="626"/>
      <c r="BN60" s="626"/>
      <c r="BO60" s="626"/>
      <c r="BP60" s="626"/>
      <c r="BQ60" s="626"/>
      <c r="BR60" s="626"/>
      <c r="BS60" s="626"/>
      <c r="BT60" s="626"/>
      <c r="BU60" s="626"/>
      <c r="BV60" s="626"/>
      <c r="BW60" s="626"/>
      <c r="BX60" s="626"/>
      <c r="BY60" s="626"/>
      <c r="BZ60" s="626"/>
      <c r="CA60" s="626"/>
      <c r="CB60" s="626"/>
      <c r="CC60" s="626"/>
      <c r="CD60" s="626"/>
      <c r="CE60" s="626"/>
      <c r="CF60" s="626"/>
      <c r="CG60" s="626"/>
      <c r="CH60" s="626"/>
      <c r="CI60" s="626"/>
      <c r="CJ60" s="626"/>
      <c r="CK60" s="626"/>
      <c r="CL60" s="626"/>
      <c r="CM60" s="626"/>
      <c r="CN60" s="626"/>
      <c r="CO60" s="626"/>
      <c r="CP60" s="626"/>
      <c r="CQ60" s="626"/>
      <c r="CR60" s="626"/>
      <c r="CS60" s="626"/>
      <c r="CT60" s="626"/>
      <c r="CU60" s="626"/>
      <c r="CV60" s="626"/>
      <c r="CW60" s="626"/>
      <c r="CX60" s="626"/>
      <c r="CY60" s="626"/>
      <c r="CZ60" s="626"/>
      <c r="DA60" s="626"/>
      <c r="DB60" s="626"/>
      <c r="DC60" s="626"/>
      <c r="DD60" s="626"/>
      <c r="DE60" s="626"/>
      <c r="DF60" s="626"/>
    </row>
    <row r="61" spans="1:110" s="624" customFormat="1" ht="27.75" customHeight="1">
      <c r="A61" s="615" t="s">
        <v>821</v>
      </c>
      <c r="B61" s="489"/>
      <c r="C61" s="489"/>
      <c r="D61" s="489"/>
      <c r="E61" s="503"/>
      <c r="F61" s="489"/>
      <c r="G61" s="489"/>
      <c r="H61" s="489"/>
      <c r="I61" s="503"/>
      <c r="J61" s="497"/>
      <c r="K61" s="497"/>
      <c r="L61" s="497"/>
      <c r="M61" s="497"/>
      <c r="N61" s="490"/>
      <c r="O61" s="490"/>
      <c r="P61" s="490"/>
      <c r="Q61" s="504"/>
      <c r="R61" s="490"/>
      <c r="S61" s="490"/>
      <c r="T61" s="490"/>
      <c r="U61" s="503"/>
      <c r="V61" s="490"/>
      <c r="W61" s="490"/>
      <c r="X61" s="490"/>
      <c r="Y61" s="503"/>
      <c r="Z61" s="615" t="s">
        <v>821</v>
      </c>
      <c r="AA61" s="490"/>
      <c r="AB61" s="490"/>
      <c r="AC61" s="490"/>
      <c r="AD61" s="504"/>
      <c r="AE61" s="490"/>
      <c r="AF61" s="490"/>
      <c r="AG61" s="490">
        <v>61201257</v>
      </c>
      <c r="AH61" s="504">
        <v>0</v>
      </c>
      <c r="AI61" s="109">
        <f t="shared" si="17"/>
        <v>0</v>
      </c>
      <c r="AJ61" s="109">
        <f t="shared" si="18"/>
        <v>0</v>
      </c>
      <c r="AK61" s="109">
        <f t="shared" si="19"/>
        <v>61201257</v>
      </c>
      <c r="AL61" s="110">
        <v>0</v>
      </c>
      <c r="AM61" s="109">
        <f t="shared" si="21"/>
        <v>0</v>
      </c>
      <c r="AN61" s="109">
        <f t="shared" si="22"/>
        <v>0</v>
      </c>
      <c r="AO61" s="109">
        <f t="shared" si="23"/>
        <v>0</v>
      </c>
      <c r="AP61" s="110">
        <v>0</v>
      </c>
      <c r="AQ61" s="111">
        <f t="shared" si="24"/>
        <v>0</v>
      </c>
      <c r="AR61" s="111">
        <f t="shared" si="25"/>
        <v>0</v>
      </c>
      <c r="AS61" s="111">
        <f t="shared" si="26"/>
        <v>61201257</v>
      </c>
      <c r="AT61" s="112">
        <v>0</v>
      </c>
      <c r="AU61" s="625"/>
      <c r="AV61" s="626"/>
      <c r="AW61" s="626"/>
      <c r="AX61" s="626"/>
      <c r="AY61" s="626"/>
      <c r="AZ61" s="626"/>
      <c r="BA61" s="626"/>
      <c r="BB61" s="626"/>
      <c r="BC61" s="626"/>
      <c r="BD61" s="626"/>
      <c r="BE61" s="626"/>
      <c r="BF61" s="626"/>
      <c r="BG61" s="626"/>
      <c r="BH61" s="626"/>
      <c r="BI61" s="626"/>
      <c r="BJ61" s="626"/>
      <c r="BK61" s="626"/>
      <c r="BL61" s="626"/>
      <c r="BM61" s="626"/>
      <c r="BN61" s="626"/>
      <c r="BO61" s="626"/>
      <c r="BP61" s="626"/>
      <c r="BQ61" s="626"/>
      <c r="BR61" s="626"/>
      <c r="BS61" s="626"/>
      <c r="BT61" s="626"/>
      <c r="BU61" s="626"/>
      <c r="BV61" s="626"/>
      <c r="BW61" s="626"/>
      <c r="BX61" s="626"/>
      <c r="BY61" s="626"/>
      <c r="BZ61" s="626"/>
      <c r="CA61" s="626"/>
      <c r="CB61" s="626"/>
      <c r="CC61" s="626"/>
      <c r="CD61" s="626"/>
      <c r="CE61" s="626"/>
      <c r="CF61" s="626"/>
      <c r="CG61" s="626"/>
      <c r="CH61" s="626"/>
      <c r="CI61" s="626"/>
      <c r="CJ61" s="626"/>
      <c r="CK61" s="626"/>
      <c r="CL61" s="626"/>
      <c r="CM61" s="626"/>
      <c r="CN61" s="626"/>
      <c r="CO61" s="626"/>
      <c r="CP61" s="626"/>
      <c r="CQ61" s="626"/>
      <c r="CR61" s="626"/>
      <c r="CS61" s="626"/>
      <c r="CT61" s="626"/>
      <c r="CU61" s="626"/>
      <c r="CV61" s="626"/>
      <c r="CW61" s="626"/>
      <c r="CX61" s="626"/>
      <c r="CY61" s="626"/>
      <c r="CZ61" s="626"/>
      <c r="DA61" s="626"/>
      <c r="DB61" s="626"/>
      <c r="DC61" s="626"/>
      <c r="DD61" s="626"/>
      <c r="DE61" s="626"/>
      <c r="DF61" s="626"/>
    </row>
    <row r="62" spans="1:110" ht="27.75" customHeight="1" thickBot="1">
      <c r="A62" s="621" t="s">
        <v>816</v>
      </c>
      <c r="B62" s="495"/>
      <c r="C62" s="495"/>
      <c r="D62" s="495"/>
      <c r="E62" s="509"/>
      <c r="F62" s="495"/>
      <c r="G62" s="495"/>
      <c r="H62" s="495"/>
      <c r="I62" s="495"/>
      <c r="J62" s="500"/>
      <c r="K62" s="500"/>
      <c r="L62" s="500"/>
      <c r="M62" s="500"/>
      <c r="N62" s="501"/>
      <c r="O62" s="501"/>
      <c r="P62" s="501"/>
      <c r="Q62" s="513"/>
      <c r="R62" s="501"/>
      <c r="S62" s="501"/>
      <c r="T62" s="501"/>
      <c r="U62" s="509"/>
      <c r="V62" s="501"/>
      <c r="W62" s="501"/>
      <c r="X62" s="501"/>
      <c r="Y62" s="627"/>
      <c r="Z62" s="621" t="s">
        <v>816</v>
      </c>
      <c r="AA62" s="501"/>
      <c r="AB62" s="501"/>
      <c r="AC62" s="501"/>
      <c r="AD62" s="513"/>
      <c r="AE62" s="501"/>
      <c r="AF62" s="501">
        <v>158351238</v>
      </c>
      <c r="AG62" s="501">
        <v>158351238</v>
      </c>
      <c r="AH62" s="124">
        <f t="shared" ref="AH62" si="36">SUM(AG62/AF62)</f>
        <v>1</v>
      </c>
      <c r="AI62" s="123">
        <f t="shared" si="17"/>
        <v>0</v>
      </c>
      <c r="AJ62" s="123">
        <f t="shared" si="18"/>
        <v>158351238</v>
      </c>
      <c r="AK62" s="123">
        <f t="shared" si="19"/>
        <v>158351238</v>
      </c>
      <c r="AL62" s="124">
        <f t="shared" si="20"/>
        <v>1</v>
      </c>
      <c r="AM62" s="123">
        <f t="shared" si="21"/>
        <v>0</v>
      </c>
      <c r="AN62" s="123">
        <f t="shared" si="22"/>
        <v>0</v>
      </c>
      <c r="AO62" s="123">
        <f t="shared" si="23"/>
        <v>0</v>
      </c>
      <c r="AP62" s="124">
        <v>0</v>
      </c>
      <c r="AQ62" s="622">
        <f t="shared" si="24"/>
        <v>0</v>
      </c>
      <c r="AR62" s="622">
        <f t="shared" si="25"/>
        <v>158351238</v>
      </c>
      <c r="AS62" s="622">
        <f t="shared" si="26"/>
        <v>158351238</v>
      </c>
      <c r="AT62" s="623">
        <f t="shared" si="27"/>
        <v>1</v>
      </c>
      <c r="AU62" s="625"/>
    </row>
    <row r="63" spans="1:110" ht="30" customHeight="1" thickBot="1">
      <c r="A63" s="619" t="s">
        <v>363</v>
      </c>
      <c r="B63" s="492">
        <f t="shared" ref="B63:H63" si="37">SUM(B33:B62)</f>
        <v>0</v>
      </c>
      <c r="C63" s="492">
        <f t="shared" si="37"/>
        <v>53834618</v>
      </c>
      <c r="D63" s="492">
        <f t="shared" si="37"/>
        <v>2120000</v>
      </c>
      <c r="E63" s="492">
        <f t="shared" si="37"/>
        <v>4</v>
      </c>
      <c r="F63" s="492">
        <f t="shared" si="37"/>
        <v>215340000</v>
      </c>
      <c r="G63" s="492">
        <f t="shared" si="37"/>
        <v>1489325539</v>
      </c>
      <c r="H63" s="492">
        <f t="shared" si="37"/>
        <v>1486825539</v>
      </c>
      <c r="I63" s="507">
        <f>SUM(H63/G63)</f>
        <v>0.99832138781311797</v>
      </c>
      <c r="J63" s="492">
        <f>SUM(J33:J62)</f>
        <v>0</v>
      </c>
      <c r="K63" s="492">
        <f>SUM(K33:K62)</f>
        <v>0</v>
      </c>
      <c r="L63" s="492">
        <f>SUM(L33:L62)</f>
        <v>0</v>
      </c>
      <c r="M63" s="507">
        <v>0</v>
      </c>
      <c r="N63" s="492">
        <f>SUM(N33:N62)</f>
        <v>328333407</v>
      </c>
      <c r="O63" s="492">
        <f>SUM(O33:O62)</f>
        <v>337417116</v>
      </c>
      <c r="P63" s="492">
        <f>SUM(P33:P62)</f>
        <v>194279501</v>
      </c>
      <c r="Q63" s="507">
        <f>SUM(P63/O63)</f>
        <v>0.57578436833062141</v>
      </c>
      <c r="R63" s="492">
        <f>SUM(R33:R62)</f>
        <v>129101736</v>
      </c>
      <c r="S63" s="492">
        <f>SUM(S33:S62)</f>
        <v>129101736</v>
      </c>
      <c r="T63" s="492">
        <f>SUM(T33:T62)</f>
        <v>5957165</v>
      </c>
      <c r="U63" s="507">
        <f>SUM(T63/S63)</f>
        <v>4.6143182768665483E-2</v>
      </c>
      <c r="V63" s="492">
        <f>SUM(V33:V62)</f>
        <v>0</v>
      </c>
      <c r="W63" s="492">
        <f>SUM(W33:W62)</f>
        <v>0</v>
      </c>
      <c r="X63" s="492">
        <f>SUM(X33:X62)</f>
        <v>9600000</v>
      </c>
      <c r="Y63" s="507">
        <v>0</v>
      </c>
      <c r="Z63" s="619" t="s">
        <v>363</v>
      </c>
      <c r="AA63" s="492">
        <f>SUM(AA33:AA62)</f>
        <v>0</v>
      </c>
      <c r="AB63" s="492">
        <f>SUM(AB33:AB62)</f>
        <v>1878840</v>
      </c>
      <c r="AC63" s="492">
        <f>SUM(AC33:AC62)</f>
        <v>1949601</v>
      </c>
      <c r="AD63" s="507">
        <f>SUM(AC63/AB63)</f>
        <v>1.0376620680845627</v>
      </c>
      <c r="AE63" s="492">
        <f>SUM(AE33:AE62)</f>
        <v>2558448382</v>
      </c>
      <c r="AF63" s="492">
        <f>SUM(AF33:AF62)</f>
        <v>2853229109</v>
      </c>
      <c r="AG63" s="492">
        <f>SUM(AG33:AG62)</f>
        <v>2914430366</v>
      </c>
      <c r="AH63" s="507">
        <f>SUM(AG63/AF63)</f>
        <v>1.0214498221705897</v>
      </c>
      <c r="AI63" s="492">
        <f>SUM(AI33:AI62)</f>
        <v>2886781789</v>
      </c>
      <c r="AJ63" s="492">
        <f>SUM(AJ33:AJ62)</f>
        <v>3244480843</v>
      </c>
      <c r="AK63" s="492">
        <f>SUM(AK33:AK62)</f>
        <v>3120429867</v>
      </c>
      <c r="AL63" s="507">
        <f t="shared" ref="AL63:AL64" si="38">SUM(AK63/AJ63)</f>
        <v>0.96176553907919005</v>
      </c>
      <c r="AM63" s="492">
        <f>SUM(AM33:AM62)</f>
        <v>344441736</v>
      </c>
      <c r="AN63" s="492">
        <f>SUM(AN33:AN62)</f>
        <v>1620306115</v>
      </c>
      <c r="AO63" s="492">
        <f>SUM(AO33:AO62)</f>
        <v>1494732305</v>
      </c>
      <c r="AP63" s="507">
        <f t="shared" ref="AP63:AP64" si="39">SUM(AO63/AN63)</f>
        <v>0.92249994686960746</v>
      </c>
      <c r="AQ63" s="492">
        <f>SUM(AQ33:AQ62)</f>
        <v>3231223525</v>
      </c>
      <c r="AR63" s="492">
        <f>SUM(AR33:AR62)</f>
        <v>4864786958</v>
      </c>
      <c r="AS63" s="492">
        <f>SUM(AS33:AS62)</f>
        <v>4615162172</v>
      </c>
      <c r="AT63" s="507">
        <f t="shared" ref="AT63:AT64" si="40">SUM(AS63/AR63)</f>
        <v>0.94868741670393208</v>
      </c>
    </row>
    <row r="64" spans="1:110" ht="30" customHeight="1" thickBot="1">
      <c r="A64" s="620" t="s">
        <v>364</v>
      </c>
      <c r="B64" s="492">
        <f>SUM(B31+B63)</f>
        <v>1646628833</v>
      </c>
      <c r="C64" s="492">
        <f>SUM(C31+C63)</f>
        <v>1886971186</v>
      </c>
      <c r="D64" s="492">
        <f>SUM(D31+D63)</f>
        <v>1837216152</v>
      </c>
      <c r="E64" s="507">
        <f t="shared" ref="E64" si="41">SUM(D64/C64)</f>
        <v>0.97363232975196046</v>
      </c>
      <c r="F64" s="492">
        <f>SUM(F31+F63)</f>
        <v>215340000</v>
      </c>
      <c r="G64" s="492">
        <f>SUM(G31+G63)</f>
        <v>1489325539</v>
      </c>
      <c r="H64" s="492">
        <f>SUM(H31+H63)</f>
        <v>1486825539</v>
      </c>
      <c r="I64" s="507">
        <f t="shared" ref="I64" si="42">SUM(H64/G64)</f>
        <v>0.99832138781311797</v>
      </c>
      <c r="J64" s="492">
        <f>SUM(J31+J63)</f>
        <v>650730000</v>
      </c>
      <c r="K64" s="492">
        <f>SUM(K31+K63)</f>
        <v>690730000</v>
      </c>
      <c r="L64" s="492">
        <f>SUM(L31+L63)</f>
        <v>692373730</v>
      </c>
      <c r="M64" s="507">
        <f t="shared" ref="M64" si="43">SUM(L64/K64)</f>
        <v>1.0023796997379584</v>
      </c>
      <c r="N64" s="492">
        <f>SUM(N31+N63)</f>
        <v>332033407</v>
      </c>
      <c r="O64" s="492">
        <f>SUM(O31+O63)</f>
        <v>341117116</v>
      </c>
      <c r="P64" s="492">
        <f>SUM(P31+P63)</f>
        <v>205092916</v>
      </c>
      <c r="Q64" s="507">
        <f t="shared" ref="Q64" si="44">SUM(P64/O64)</f>
        <v>0.60123900672284059</v>
      </c>
      <c r="R64" s="492">
        <f>SUM(R31+R63)</f>
        <v>129101736</v>
      </c>
      <c r="S64" s="492">
        <f>SUM(S31+S63)</f>
        <v>129101736</v>
      </c>
      <c r="T64" s="492">
        <f>SUM(T31+T63)</f>
        <v>5957165</v>
      </c>
      <c r="U64" s="507">
        <f t="shared" ref="U64" si="45">SUM(T64/S64)</f>
        <v>4.6143182768665483E-2</v>
      </c>
      <c r="V64" s="492">
        <f>SUM(V31+V63)</f>
        <v>0</v>
      </c>
      <c r="W64" s="492">
        <f>SUM(W31+W63)</f>
        <v>0</v>
      </c>
      <c r="X64" s="492">
        <f>SUM(X31+X63)</f>
        <v>9600000</v>
      </c>
      <c r="Y64" s="507">
        <v>0</v>
      </c>
      <c r="Z64" s="620" t="s">
        <v>364</v>
      </c>
      <c r="AA64" s="492">
        <f>SUM(AA31+AA63)</f>
        <v>0</v>
      </c>
      <c r="AB64" s="492">
        <f>SUM(AB31+AB63)</f>
        <v>1878840</v>
      </c>
      <c r="AC64" s="492">
        <f>SUM(AC31+AC63)</f>
        <v>1949601</v>
      </c>
      <c r="AD64" s="507">
        <f>SUM(AC64/AB64)</f>
        <v>1.0376620680845627</v>
      </c>
      <c r="AE64" s="492">
        <f>SUM(AE31+AE63)</f>
        <v>2558448382</v>
      </c>
      <c r="AF64" s="492">
        <f>SUM(AF31+AF63)</f>
        <v>2853229109</v>
      </c>
      <c r="AG64" s="492">
        <f>SUM(AG31+AG63)</f>
        <v>2914430366</v>
      </c>
      <c r="AH64" s="507">
        <f>SUM(AG64/AF64)</f>
        <v>1.0214498221705897</v>
      </c>
      <c r="AI64" s="492">
        <f>SUM(AI31+AI63)</f>
        <v>5187840622</v>
      </c>
      <c r="AJ64" s="492">
        <f>SUM(AJ31+AJ63)</f>
        <v>5772047411</v>
      </c>
      <c r="AK64" s="492">
        <f>SUM(AK31+AK63)</f>
        <v>5658713164</v>
      </c>
      <c r="AL64" s="507">
        <f t="shared" si="38"/>
        <v>0.98036498335339128</v>
      </c>
      <c r="AM64" s="492">
        <f>SUM(AM31+AM63)</f>
        <v>344441736</v>
      </c>
      <c r="AN64" s="492">
        <f>SUM(AN31+AN63)</f>
        <v>1620306115</v>
      </c>
      <c r="AO64" s="492">
        <f>SUM(AO31+AO63)</f>
        <v>1494732305</v>
      </c>
      <c r="AP64" s="507">
        <f t="shared" si="39"/>
        <v>0.92249994686960746</v>
      </c>
      <c r="AQ64" s="492">
        <f>SUM(AQ31+AQ63)</f>
        <v>5532282358</v>
      </c>
      <c r="AR64" s="492">
        <f>SUM(AR31+AR63)</f>
        <v>7392353526</v>
      </c>
      <c r="AS64" s="492">
        <f>SUM(AS31+AS63)</f>
        <v>7153445469</v>
      </c>
      <c r="AT64" s="507">
        <f t="shared" si="40"/>
        <v>0.96768173273102742</v>
      </c>
    </row>
    <row r="65" spans="18:44">
      <c r="X65" s="89"/>
      <c r="Y65" s="89"/>
      <c r="AA65" s="119"/>
      <c r="AB65" s="119"/>
      <c r="AR65" s="113"/>
    </row>
    <row r="66" spans="18:44">
      <c r="R66" s="113"/>
      <c r="S66" s="113"/>
    </row>
  </sheetData>
  <mergeCells count="28">
    <mergeCell ref="A5:U5"/>
    <mergeCell ref="A6:U6"/>
    <mergeCell ref="AM8:AQ8"/>
    <mergeCell ref="Z5:AT5"/>
    <mergeCell ref="Z6:AT6"/>
    <mergeCell ref="AA9:AD9"/>
    <mergeCell ref="AE9:AH9"/>
    <mergeCell ref="A9:A12"/>
    <mergeCell ref="B9:E9"/>
    <mergeCell ref="F9:I9"/>
    <mergeCell ref="J9:M9"/>
    <mergeCell ref="N9:Q9"/>
    <mergeCell ref="AI9:AT9"/>
    <mergeCell ref="B10:E11"/>
    <mergeCell ref="F10:I11"/>
    <mergeCell ref="J10:M11"/>
    <mergeCell ref="N10:Q11"/>
    <mergeCell ref="R10:U11"/>
    <mergeCell ref="V10:Y11"/>
    <mergeCell ref="AA10:AD11"/>
    <mergeCell ref="AE10:AH11"/>
    <mergeCell ref="AI10:AT10"/>
    <mergeCell ref="AI11:AL11"/>
    <mergeCell ref="AM11:AP11"/>
    <mergeCell ref="AQ11:AT11"/>
    <mergeCell ref="R9:U9"/>
    <mergeCell ref="Z9:Z12"/>
    <mergeCell ref="V9:Y9"/>
  </mergeCells>
  <pageMargins left="0.70866141732283472" right="0.70866141732283472" top="0.74803149606299213" bottom="0.74803149606299213" header="0.31496062992125984" footer="0.31496062992125984"/>
  <pageSetup paperSize="9" scale="22" orientation="landscape" horizontalDpi="300" verticalDpi="300" r:id="rId1"/>
  <colBreaks count="1" manualBreakCount="1">
    <brk id="2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A42"/>
  <sheetViews>
    <sheetView view="pageBreakPreview" zoomScale="106" zoomScaleSheetLayoutView="106" workbookViewId="0">
      <selection sqref="A1:BA1"/>
    </sheetView>
  </sheetViews>
  <sheetFormatPr defaultRowHeight="15"/>
  <cols>
    <col min="1" max="1" width="55.7109375" customWidth="1"/>
    <col min="2" max="4" width="13.5703125" style="191" customWidth="1"/>
    <col min="5" max="5" width="11.28515625" style="191" customWidth="1"/>
    <col min="6" max="8" width="13.28515625" style="191" customWidth="1"/>
    <col min="9" max="13" width="11.28515625" style="191" customWidth="1"/>
    <col min="14" max="16" width="14.28515625" style="191" customWidth="1"/>
    <col min="17" max="21" width="11.28515625" style="191" customWidth="1"/>
    <col min="22" max="22" width="55.7109375" customWidth="1"/>
    <col min="23" max="30" width="11.28515625" style="191" customWidth="1"/>
    <col min="31" max="32" width="13.28515625" style="191" customWidth="1"/>
    <col min="33" max="33" width="15.85546875" style="191" customWidth="1"/>
    <col min="34" max="34" width="13.28515625" style="191" customWidth="1"/>
    <col min="35" max="36" width="15.85546875" style="191" customWidth="1"/>
    <col min="37" max="37" width="14.7109375" style="191" customWidth="1"/>
    <col min="38" max="38" width="13.28515625" style="191" customWidth="1"/>
    <col min="39" max="39" width="55.7109375" customWidth="1"/>
    <col min="40" max="41" width="16.42578125" style="191" customWidth="1"/>
    <col min="42" max="42" width="16.85546875" style="191" customWidth="1"/>
    <col min="43" max="47" width="13.28515625" style="191" customWidth="1"/>
    <col min="48" max="49" width="16" style="192" customWidth="1"/>
    <col min="50" max="50" width="14.7109375" style="191" customWidth="1"/>
    <col min="51" max="51" width="13.28515625" style="191" customWidth="1"/>
    <col min="52" max="52" width="16.140625" style="191" customWidth="1"/>
    <col min="53" max="53" width="14.140625" style="191" customWidth="1"/>
    <col min="54" max="54" width="13.5703125" customWidth="1"/>
    <col min="55" max="55" width="11.5703125" customWidth="1"/>
    <col min="56" max="57" width="13" customWidth="1"/>
    <col min="58" max="58" width="15.140625" customWidth="1"/>
  </cols>
  <sheetData>
    <row r="1" spans="1:79" s="64" customFormat="1" ht="15.75">
      <c r="A1" s="860" t="s">
        <v>1035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860"/>
      <c r="AM1" s="860"/>
      <c r="AN1" s="860"/>
      <c r="AO1" s="860"/>
      <c r="AP1" s="860"/>
      <c r="AQ1" s="860"/>
      <c r="AR1" s="860"/>
      <c r="AS1" s="860"/>
      <c r="AT1" s="860"/>
      <c r="AU1" s="860"/>
      <c r="AV1" s="860"/>
      <c r="AW1" s="860"/>
      <c r="AX1" s="860"/>
      <c r="AY1" s="860"/>
      <c r="AZ1" s="860"/>
      <c r="BA1" s="860"/>
      <c r="BB1" s="125"/>
      <c r="BC1" s="125"/>
      <c r="BD1" s="125"/>
      <c r="BE1" s="125"/>
      <c r="BF1" s="125"/>
    </row>
    <row r="2" spans="1:79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7" t="s">
        <v>319</v>
      </c>
      <c r="V2" s="126"/>
      <c r="W2" s="126"/>
      <c r="X2" s="126"/>
      <c r="Y2" s="126"/>
      <c r="Z2" s="126"/>
      <c r="AA2" s="126"/>
      <c r="AB2" s="127"/>
      <c r="AC2" s="126"/>
      <c r="AD2" s="126"/>
      <c r="AE2" s="126"/>
      <c r="AF2" s="126"/>
      <c r="AG2" s="126"/>
      <c r="AH2" s="126"/>
      <c r="AI2" s="126"/>
      <c r="AJ2" s="126"/>
      <c r="AK2" s="126"/>
      <c r="AL2" s="127" t="s">
        <v>320</v>
      </c>
      <c r="AM2" s="126"/>
      <c r="AN2" s="126"/>
      <c r="AO2" s="126"/>
      <c r="AP2" s="126"/>
      <c r="AQ2" s="126"/>
      <c r="AR2" s="126"/>
      <c r="AS2" s="126"/>
      <c r="AT2" s="126"/>
      <c r="AU2" s="126"/>
      <c r="AV2" s="128"/>
      <c r="AW2" s="127"/>
      <c r="AX2" s="126"/>
      <c r="AY2" s="127" t="s">
        <v>321</v>
      </c>
      <c r="AZ2" s="126"/>
      <c r="BA2" s="126"/>
      <c r="BB2" s="20"/>
      <c r="BC2" s="20"/>
      <c r="BD2" s="20"/>
      <c r="BE2" s="20"/>
      <c r="BF2" s="20"/>
    </row>
    <row r="3" spans="1:79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8"/>
      <c r="AW3" s="128"/>
      <c r="AX3" s="126"/>
      <c r="AY3" s="126"/>
      <c r="AZ3" s="126"/>
      <c r="BA3" s="126"/>
      <c r="BB3" s="20"/>
      <c r="BC3" s="20"/>
      <c r="BD3" s="20"/>
      <c r="BE3" s="20"/>
      <c r="BF3" s="20"/>
    </row>
    <row r="4" spans="1:79">
      <c r="A4" s="126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6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6"/>
      <c r="AN4" s="129"/>
      <c r="AO4" s="129"/>
      <c r="AP4" s="129"/>
      <c r="AQ4" s="129"/>
      <c r="AR4" s="129"/>
      <c r="AS4" s="129"/>
      <c r="AT4" s="129"/>
      <c r="AU4" s="129"/>
      <c r="AV4" s="130"/>
      <c r="AW4" s="130"/>
      <c r="AX4" s="129"/>
      <c r="AY4" s="129"/>
      <c r="AZ4" s="129"/>
      <c r="BA4" s="129"/>
      <c r="BB4" s="20"/>
      <c r="BC4" s="20"/>
      <c r="BD4" s="20"/>
      <c r="BE4" s="20"/>
      <c r="BF4" s="20"/>
    </row>
    <row r="5" spans="1:79" s="132" customFormat="1" ht="44.25" customHeight="1">
      <c r="A5" s="905" t="s">
        <v>822</v>
      </c>
      <c r="B5" s="905"/>
      <c r="C5" s="905"/>
      <c r="D5" s="905"/>
      <c r="E5" s="905"/>
      <c r="F5" s="905"/>
      <c r="G5" s="905"/>
      <c r="H5" s="905"/>
      <c r="I5" s="905"/>
      <c r="J5" s="905"/>
      <c r="K5" s="905"/>
      <c r="L5" s="905"/>
      <c r="M5" s="905"/>
      <c r="N5" s="905"/>
      <c r="O5" s="905"/>
      <c r="P5" s="905"/>
      <c r="Q5" s="905"/>
      <c r="R5" s="905"/>
      <c r="S5" s="905"/>
      <c r="T5" s="905"/>
      <c r="U5" s="905"/>
      <c r="V5" s="905" t="s">
        <v>822</v>
      </c>
      <c r="W5" s="905"/>
      <c r="X5" s="905"/>
      <c r="Y5" s="905"/>
      <c r="Z5" s="905"/>
      <c r="AA5" s="905"/>
      <c r="AB5" s="905"/>
      <c r="AC5" s="905"/>
      <c r="AD5" s="905"/>
      <c r="AE5" s="905"/>
      <c r="AF5" s="905"/>
      <c r="AG5" s="905"/>
      <c r="AH5" s="905"/>
      <c r="AI5" s="905"/>
      <c r="AJ5" s="905"/>
      <c r="AK5" s="905"/>
      <c r="AL5" s="905"/>
      <c r="AM5" s="905" t="s">
        <v>822</v>
      </c>
      <c r="AN5" s="905"/>
      <c r="AO5" s="905"/>
      <c r="AP5" s="905"/>
      <c r="AQ5" s="905"/>
      <c r="AR5" s="905"/>
      <c r="AS5" s="905"/>
      <c r="AT5" s="905"/>
      <c r="AU5" s="905"/>
      <c r="AV5" s="905"/>
      <c r="AW5" s="905"/>
      <c r="AX5" s="905"/>
      <c r="AY5" s="905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</row>
    <row r="6" spans="1:79" ht="15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</row>
    <row r="7" spans="1:79" ht="16.5" thickBo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906"/>
      <c r="AS7" s="906"/>
      <c r="AT7" s="906"/>
      <c r="AU7" s="906"/>
      <c r="AV7" s="906"/>
      <c r="AW7" s="135"/>
      <c r="AX7" s="135"/>
      <c r="AY7" s="135" t="s">
        <v>7</v>
      </c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</row>
    <row r="8" spans="1:79" s="137" customFormat="1" ht="13.5" thickBot="1">
      <c r="A8" s="902" t="s">
        <v>365</v>
      </c>
      <c r="B8" s="899" t="s">
        <v>323</v>
      </c>
      <c r="C8" s="900"/>
      <c r="D8" s="900"/>
      <c r="E8" s="901"/>
      <c r="F8" s="899" t="s">
        <v>324</v>
      </c>
      <c r="G8" s="900"/>
      <c r="H8" s="900"/>
      <c r="I8" s="901"/>
      <c r="J8" s="899" t="s">
        <v>325</v>
      </c>
      <c r="K8" s="900"/>
      <c r="L8" s="900"/>
      <c r="M8" s="901"/>
      <c r="N8" s="899" t="s">
        <v>326</v>
      </c>
      <c r="O8" s="900"/>
      <c r="P8" s="900"/>
      <c r="Q8" s="901"/>
      <c r="R8" s="899" t="s">
        <v>327</v>
      </c>
      <c r="S8" s="900"/>
      <c r="T8" s="900"/>
      <c r="U8" s="901"/>
      <c r="V8" s="902" t="s">
        <v>365</v>
      </c>
      <c r="W8" s="899" t="s">
        <v>328</v>
      </c>
      <c r="X8" s="900"/>
      <c r="Y8" s="900"/>
      <c r="Z8" s="901"/>
      <c r="AA8" s="899" t="s">
        <v>329</v>
      </c>
      <c r="AB8" s="900"/>
      <c r="AC8" s="900"/>
      <c r="AD8" s="901"/>
      <c r="AE8" s="899" t="s">
        <v>366</v>
      </c>
      <c r="AF8" s="900"/>
      <c r="AG8" s="900"/>
      <c r="AH8" s="900"/>
      <c r="AI8" s="900"/>
      <c r="AJ8" s="900"/>
      <c r="AK8" s="900"/>
      <c r="AL8" s="901"/>
      <c r="AM8" s="902" t="s">
        <v>365</v>
      </c>
      <c r="AN8" s="889" t="s">
        <v>367</v>
      </c>
      <c r="AO8" s="889"/>
      <c r="AP8" s="889"/>
      <c r="AQ8" s="889"/>
      <c r="AR8" s="889"/>
      <c r="AS8" s="889"/>
      <c r="AT8" s="889"/>
      <c r="AU8" s="889"/>
      <c r="AV8" s="889"/>
      <c r="AW8" s="889"/>
      <c r="AX8" s="889"/>
      <c r="AY8" s="889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</row>
    <row r="9" spans="1:79" s="139" customFormat="1" ht="15.75" thickBot="1">
      <c r="A9" s="903"/>
      <c r="B9" s="890" t="s">
        <v>332</v>
      </c>
      <c r="C9" s="891"/>
      <c r="D9" s="891"/>
      <c r="E9" s="892"/>
      <c r="F9" s="890" t="s">
        <v>333</v>
      </c>
      <c r="G9" s="891"/>
      <c r="H9" s="891"/>
      <c r="I9" s="892"/>
      <c r="J9" s="890" t="s">
        <v>334</v>
      </c>
      <c r="K9" s="891"/>
      <c r="L9" s="891"/>
      <c r="M9" s="892"/>
      <c r="N9" s="890" t="s">
        <v>335</v>
      </c>
      <c r="O9" s="891"/>
      <c r="P9" s="891"/>
      <c r="Q9" s="892"/>
      <c r="R9" s="890" t="s">
        <v>336</v>
      </c>
      <c r="S9" s="891"/>
      <c r="T9" s="891"/>
      <c r="U9" s="892"/>
      <c r="V9" s="903"/>
      <c r="W9" s="890" t="s">
        <v>337</v>
      </c>
      <c r="X9" s="891"/>
      <c r="Y9" s="891"/>
      <c r="Z9" s="892"/>
      <c r="AA9" s="890" t="s">
        <v>338</v>
      </c>
      <c r="AB9" s="891"/>
      <c r="AC9" s="891"/>
      <c r="AD9" s="892"/>
      <c r="AE9" s="896" t="s">
        <v>339</v>
      </c>
      <c r="AF9" s="897"/>
      <c r="AG9" s="897"/>
      <c r="AH9" s="897"/>
      <c r="AI9" s="897"/>
      <c r="AJ9" s="897"/>
      <c r="AK9" s="897"/>
      <c r="AL9" s="898"/>
      <c r="AM9" s="903"/>
      <c r="AN9" s="888" t="s">
        <v>340</v>
      </c>
      <c r="AO9" s="888"/>
      <c r="AP9" s="888"/>
      <c r="AQ9" s="888"/>
      <c r="AR9" s="888"/>
      <c r="AS9" s="888"/>
      <c r="AT9" s="888"/>
      <c r="AU9" s="888"/>
      <c r="AV9" s="888"/>
      <c r="AW9" s="888"/>
      <c r="AX9" s="888"/>
      <c r="AY9" s="88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</row>
    <row r="10" spans="1:79" s="139" customFormat="1" ht="15.75" thickBot="1">
      <c r="A10" s="903"/>
      <c r="B10" s="893"/>
      <c r="C10" s="894"/>
      <c r="D10" s="894"/>
      <c r="E10" s="895"/>
      <c r="F10" s="893"/>
      <c r="G10" s="894"/>
      <c r="H10" s="894"/>
      <c r="I10" s="895"/>
      <c r="J10" s="893"/>
      <c r="K10" s="894"/>
      <c r="L10" s="894"/>
      <c r="M10" s="895"/>
      <c r="N10" s="893"/>
      <c r="O10" s="894"/>
      <c r="P10" s="894"/>
      <c r="Q10" s="895"/>
      <c r="R10" s="893"/>
      <c r="S10" s="894"/>
      <c r="T10" s="894"/>
      <c r="U10" s="895"/>
      <c r="V10" s="903"/>
      <c r="W10" s="893"/>
      <c r="X10" s="894"/>
      <c r="Y10" s="894"/>
      <c r="Z10" s="895"/>
      <c r="AA10" s="893"/>
      <c r="AB10" s="894"/>
      <c r="AC10" s="894"/>
      <c r="AD10" s="895"/>
      <c r="AE10" s="896" t="s">
        <v>368</v>
      </c>
      <c r="AF10" s="897"/>
      <c r="AG10" s="897"/>
      <c r="AH10" s="898"/>
      <c r="AI10" s="896" t="s">
        <v>369</v>
      </c>
      <c r="AJ10" s="897"/>
      <c r="AK10" s="897"/>
      <c r="AL10" s="898"/>
      <c r="AM10" s="903"/>
      <c r="AN10" s="888" t="s">
        <v>341</v>
      </c>
      <c r="AO10" s="888"/>
      <c r="AP10" s="888"/>
      <c r="AQ10" s="888"/>
      <c r="AR10" s="888" t="s">
        <v>342</v>
      </c>
      <c r="AS10" s="888"/>
      <c r="AT10" s="888"/>
      <c r="AU10" s="888"/>
      <c r="AV10" s="888" t="s">
        <v>340</v>
      </c>
      <c r="AW10" s="888"/>
      <c r="AX10" s="888"/>
      <c r="AY10" s="88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</row>
    <row r="11" spans="1:79" s="138" customFormat="1" ht="26.25" thickBot="1">
      <c r="A11" s="904"/>
      <c r="B11" s="140" t="s">
        <v>343</v>
      </c>
      <c r="C11" s="140" t="s">
        <v>344</v>
      </c>
      <c r="D11" s="140" t="s">
        <v>285</v>
      </c>
      <c r="E11" s="140" t="s">
        <v>286</v>
      </c>
      <c r="F11" s="140" t="s">
        <v>343</v>
      </c>
      <c r="G11" s="140" t="s">
        <v>344</v>
      </c>
      <c r="H11" s="140" t="s">
        <v>285</v>
      </c>
      <c r="I11" s="140" t="s">
        <v>286</v>
      </c>
      <c r="J11" s="140" t="s">
        <v>343</v>
      </c>
      <c r="K11" s="140" t="s">
        <v>344</v>
      </c>
      <c r="L11" s="140" t="s">
        <v>285</v>
      </c>
      <c r="M11" s="140" t="s">
        <v>286</v>
      </c>
      <c r="N11" s="140" t="s">
        <v>343</v>
      </c>
      <c r="O11" s="140" t="s">
        <v>344</v>
      </c>
      <c r="P11" s="140" t="s">
        <v>285</v>
      </c>
      <c r="Q11" s="140" t="s">
        <v>286</v>
      </c>
      <c r="R11" s="140" t="s">
        <v>343</v>
      </c>
      <c r="S11" s="140" t="s">
        <v>344</v>
      </c>
      <c r="T11" s="140" t="s">
        <v>285</v>
      </c>
      <c r="U11" s="140" t="s">
        <v>286</v>
      </c>
      <c r="V11" s="904"/>
      <c r="W11" s="140" t="s">
        <v>343</v>
      </c>
      <c r="X11" s="140" t="s">
        <v>344</v>
      </c>
      <c r="Y11" s="140" t="s">
        <v>285</v>
      </c>
      <c r="Z11" s="140" t="s">
        <v>286</v>
      </c>
      <c r="AA11" s="140" t="s">
        <v>343</v>
      </c>
      <c r="AB11" s="140" t="s">
        <v>344</v>
      </c>
      <c r="AC11" s="140" t="s">
        <v>285</v>
      </c>
      <c r="AD11" s="140" t="s">
        <v>286</v>
      </c>
      <c r="AE11" s="140" t="s">
        <v>343</v>
      </c>
      <c r="AF11" s="140" t="s">
        <v>344</v>
      </c>
      <c r="AG11" s="140" t="s">
        <v>285</v>
      </c>
      <c r="AH11" s="140" t="s">
        <v>286</v>
      </c>
      <c r="AI11" s="140" t="s">
        <v>343</v>
      </c>
      <c r="AJ11" s="140" t="s">
        <v>344</v>
      </c>
      <c r="AK11" s="140" t="s">
        <v>285</v>
      </c>
      <c r="AL11" s="140" t="s">
        <v>286</v>
      </c>
      <c r="AM11" s="904"/>
      <c r="AN11" s="140" t="s">
        <v>343</v>
      </c>
      <c r="AO11" s="140" t="s">
        <v>344</v>
      </c>
      <c r="AP11" s="140" t="s">
        <v>285</v>
      </c>
      <c r="AQ11" s="140" t="s">
        <v>286</v>
      </c>
      <c r="AR11" s="140" t="s">
        <v>343</v>
      </c>
      <c r="AS11" s="140" t="s">
        <v>344</v>
      </c>
      <c r="AT11" s="140" t="s">
        <v>285</v>
      </c>
      <c r="AU11" s="140" t="s">
        <v>286</v>
      </c>
      <c r="AV11" s="140" t="s">
        <v>343</v>
      </c>
      <c r="AW11" s="140" t="s">
        <v>344</v>
      </c>
      <c r="AX11" s="140" t="s">
        <v>285</v>
      </c>
      <c r="AY11" s="140" t="s">
        <v>286</v>
      </c>
    </row>
    <row r="12" spans="1:79" s="145" customFormat="1" ht="15.75">
      <c r="A12" s="141" t="s">
        <v>370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1" t="s">
        <v>370</v>
      </c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1" t="s">
        <v>370</v>
      </c>
      <c r="AN12" s="142"/>
      <c r="AO12" s="142"/>
      <c r="AP12" s="142"/>
      <c r="AQ12" s="142"/>
      <c r="AR12" s="142"/>
      <c r="AS12" s="142"/>
      <c r="AT12" s="142"/>
      <c r="AU12" s="142"/>
      <c r="AV12" s="143"/>
      <c r="AW12" s="143"/>
      <c r="AX12" s="142"/>
      <c r="AY12" s="142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</row>
    <row r="13" spans="1:79" s="145" customFormat="1" ht="15.75">
      <c r="A13" s="146" t="s">
        <v>371</v>
      </c>
      <c r="B13" s="147"/>
      <c r="C13" s="147">
        <v>28908152</v>
      </c>
      <c r="D13" s="147">
        <v>28904352</v>
      </c>
      <c r="E13" s="148">
        <f>D13/C13</f>
        <v>0.99986854918986179</v>
      </c>
      <c r="F13" s="147"/>
      <c r="G13" s="147"/>
      <c r="H13" s="147"/>
      <c r="I13" s="148"/>
      <c r="J13" s="147"/>
      <c r="K13" s="147"/>
      <c r="L13" s="147"/>
      <c r="M13" s="148"/>
      <c r="N13" s="147">
        <v>5689000</v>
      </c>
      <c r="O13" s="147">
        <v>5689000</v>
      </c>
      <c r="P13" s="147">
        <v>5400841</v>
      </c>
      <c r="Q13" s="148">
        <f>P13/O13</f>
        <v>0.94934804007734219</v>
      </c>
      <c r="R13" s="147"/>
      <c r="S13" s="147"/>
      <c r="T13" s="147"/>
      <c r="U13" s="148"/>
      <c r="V13" s="146" t="s">
        <v>371</v>
      </c>
      <c r="W13" s="147"/>
      <c r="X13" s="147"/>
      <c r="Y13" s="147"/>
      <c r="Z13" s="148"/>
      <c r="AA13" s="147"/>
      <c r="AB13" s="147"/>
      <c r="AC13" s="147"/>
      <c r="AD13" s="148"/>
      <c r="AE13" s="147"/>
      <c r="AF13" s="147">
        <v>3678426</v>
      </c>
      <c r="AG13" s="147">
        <v>3678426</v>
      </c>
      <c r="AH13" s="148">
        <f>AG13/AF13</f>
        <v>1</v>
      </c>
      <c r="AI13" s="147">
        <v>635946000</v>
      </c>
      <c r="AJ13" s="147">
        <v>613675301</v>
      </c>
      <c r="AK13" s="147">
        <v>613675301</v>
      </c>
      <c r="AL13" s="148">
        <f>AK13/AJ13</f>
        <v>1</v>
      </c>
      <c r="AM13" s="146" t="s">
        <v>371</v>
      </c>
      <c r="AN13" s="147">
        <f>SUM(B13+J13+N13+W13+AI13)</f>
        <v>641635000</v>
      </c>
      <c r="AO13" s="147">
        <f>SUM(C13+K13+O13+X13+AJ13+AF13)</f>
        <v>651950879</v>
      </c>
      <c r="AP13" s="147">
        <f>SUM(D13+L13+P13+Y13+AK13+AG13)</f>
        <v>651658920</v>
      </c>
      <c r="AQ13" s="148">
        <f>AP13/AO13</f>
        <v>0.99955217638413518</v>
      </c>
      <c r="AR13" s="147">
        <f t="shared" ref="AR13:AT14" si="0">SUM(F13+R13+AA13)</f>
        <v>0</v>
      </c>
      <c r="AS13" s="147">
        <f t="shared" si="0"/>
        <v>0</v>
      </c>
      <c r="AT13" s="147">
        <f t="shared" si="0"/>
        <v>0</v>
      </c>
      <c r="AU13" s="148">
        <v>0</v>
      </c>
      <c r="AV13" s="149">
        <f t="shared" ref="AV13:AX14" si="1">SUM(AN13+AR13)</f>
        <v>641635000</v>
      </c>
      <c r="AW13" s="149">
        <f t="shared" si="1"/>
        <v>651950879</v>
      </c>
      <c r="AX13" s="149">
        <f t="shared" si="1"/>
        <v>651658920</v>
      </c>
      <c r="AY13" s="148">
        <f>AX13/AW13</f>
        <v>0.99955217638413518</v>
      </c>
      <c r="AZ13" s="150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</row>
    <row r="14" spans="1:79" s="145" customFormat="1" ht="16.5" thickBot="1">
      <c r="A14" s="151" t="s">
        <v>372</v>
      </c>
      <c r="B14" s="152"/>
      <c r="C14" s="152"/>
      <c r="D14" s="152"/>
      <c r="E14" s="148"/>
      <c r="F14" s="152"/>
      <c r="G14" s="152"/>
      <c r="H14" s="152"/>
      <c r="I14" s="148"/>
      <c r="J14" s="152"/>
      <c r="K14" s="152"/>
      <c r="L14" s="152"/>
      <c r="M14" s="148"/>
      <c r="N14" s="152"/>
      <c r="O14" s="152"/>
      <c r="P14" s="152"/>
      <c r="Q14" s="148"/>
      <c r="R14" s="152"/>
      <c r="S14" s="152"/>
      <c r="T14" s="152"/>
      <c r="U14" s="148"/>
      <c r="V14" s="151" t="s">
        <v>372</v>
      </c>
      <c r="W14" s="152"/>
      <c r="X14" s="152"/>
      <c r="Y14" s="152"/>
      <c r="Z14" s="148"/>
      <c r="AA14" s="152"/>
      <c r="AB14" s="152"/>
      <c r="AC14" s="152"/>
      <c r="AD14" s="148"/>
      <c r="AE14" s="152"/>
      <c r="AF14" s="152"/>
      <c r="AG14" s="152"/>
      <c r="AH14" s="148"/>
      <c r="AI14" s="152"/>
      <c r="AJ14" s="152"/>
      <c r="AK14" s="152"/>
      <c r="AL14" s="148"/>
      <c r="AM14" s="151" t="s">
        <v>372</v>
      </c>
      <c r="AN14" s="153">
        <f>SUM(B14+J14+N14+W14+AI14)</f>
        <v>0</v>
      </c>
      <c r="AO14" s="153">
        <f>SUM(C14+K14+O14+X14+AJ14)</f>
        <v>0</v>
      </c>
      <c r="AP14" s="153">
        <f>SUM(D14+L14+P14+Y14+AK14)</f>
        <v>0</v>
      </c>
      <c r="AQ14" s="148"/>
      <c r="AR14" s="153">
        <f t="shared" si="0"/>
        <v>0</v>
      </c>
      <c r="AS14" s="153">
        <f t="shared" si="0"/>
        <v>0</v>
      </c>
      <c r="AT14" s="153">
        <f t="shared" si="0"/>
        <v>0</v>
      </c>
      <c r="AU14" s="148">
        <v>0</v>
      </c>
      <c r="AV14" s="149">
        <f t="shared" si="1"/>
        <v>0</v>
      </c>
      <c r="AW14" s="149">
        <f t="shared" si="1"/>
        <v>0</v>
      </c>
      <c r="AX14" s="149">
        <f t="shared" si="1"/>
        <v>0</v>
      </c>
      <c r="AY14" s="148">
        <v>0</v>
      </c>
      <c r="AZ14" s="150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</row>
    <row r="15" spans="1:79" s="159" customFormat="1" ht="16.5" thickBot="1">
      <c r="A15" s="154" t="s">
        <v>373</v>
      </c>
      <c r="B15" s="155">
        <f>B13+B14</f>
        <v>0</v>
      </c>
      <c r="C15" s="155">
        <f>C13+C14</f>
        <v>28908152</v>
      </c>
      <c r="D15" s="155">
        <f t="shared" ref="D15" si="2">D13+D14</f>
        <v>28904352</v>
      </c>
      <c r="E15" s="156">
        <f>D15/C15</f>
        <v>0.99986854918986179</v>
      </c>
      <c r="F15" s="155">
        <f t="shared" ref="F15:AI15" si="3">F13+F14</f>
        <v>0</v>
      </c>
      <c r="G15" s="155">
        <f t="shared" si="3"/>
        <v>0</v>
      </c>
      <c r="H15" s="155">
        <f t="shared" si="3"/>
        <v>0</v>
      </c>
      <c r="I15" s="156">
        <v>0</v>
      </c>
      <c r="J15" s="155">
        <f t="shared" si="3"/>
        <v>0</v>
      </c>
      <c r="K15" s="155">
        <f t="shared" si="3"/>
        <v>0</v>
      </c>
      <c r="L15" s="155">
        <f t="shared" si="3"/>
        <v>0</v>
      </c>
      <c r="M15" s="156">
        <v>0</v>
      </c>
      <c r="N15" s="155">
        <f t="shared" si="3"/>
        <v>5689000</v>
      </c>
      <c r="O15" s="155">
        <f t="shared" si="3"/>
        <v>5689000</v>
      </c>
      <c r="P15" s="155">
        <f t="shared" si="3"/>
        <v>5400841</v>
      </c>
      <c r="Q15" s="156">
        <f>P15/O15</f>
        <v>0.94934804007734219</v>
      </c>
      <c r="R15" s="155">
        <f t="shared" si="3"/>
        <v>0</v>
      </c>
      <c r="S15" s="155">
        <f t="shared" si="3"/>
        <v>0</v>
      </c>
      <c r="T15" s="155">
        <f t="shared" si="3"/>
        <v>0</v>
      </c>
      <c r="U15" s="156">
        <v>0</v>
      </c>
      <c r="V15" s="154" t="s">
        <v>373</v>
      </c>
      <c r="W15" s="155">
        <f t="shared" si="3"/>
        <v>0</v>
      </c>
      <c r="X15" s="155">
        <f t="shared" si="3"/>
        <v>0</v>
      </c>
      <c r="Y15" s="155">
        <f t="shared" si="3"/>
        <v>0</v>
      </c>
      <c r="Z15" s="156">
        <v>0</v>
      </c>
      <c r="AA15" s="155">
        <f t="shared" si="3"/>
        <v>0</v>
      </c>
      <c r="AB15" s="155">
        <f t="shared" si="3"/>
        <v>0</v>
      </c>
      <c r="AC15" s="155">
        <f t="shared" si="3"/>
        <v>0</v>
      </c>
      <c r="AD15" s="156">
        <v>0</v>
      </c>
      <c r="AE15" s="155">
        <f>AE13+AE14</f>
        <v>0</v>
      </c>
      <c r="AF15" s="155">
        <f>AF13+AF14</f>
        <v>3678426</v>
      </c>
      <c r="AG15" s="155">
        <f t="shared" ref="AG15" si="4">AG13+AG14</f>
        <v>3678426</v>
      </c>
      <c r="AH15" s="156">
        <f>AG15/AF15</f>
        <v>1</v>
      </c>
      <c r="AI15" s="155">
        <f t="shared" si="3"/>
        <v>635946000</v>
      </c>
      <c r="AJ15" s="155">
        <f>AJ13+AJ14</f>
        <v>613675301</v>
      </c>
      <c r="AK15" s="155">
        <f t="shared" ref="AK15" si="5">AK13+AK14</f>
        <v>613675301</v>
      </c>
      <c r="AL15" s="156">
        <f>AK15/AJ15</f>
        <v>1</v>
      </c>
      <c r="AM15" s="154" t="s">
        <v>373</v>
      </c>
      <c r="AN15" s="155">
        <f t="shared" ref="AN15:AX15" si="6">AN13+AN14</f>
        <v>641635000</v>
      </c>
      <c r="AO15" s="155">
        <f t="shared" si="6"/>
        <v>651950879</v>
      </c>
      <c r="AP15" s="155">
        <f t="shared" si="6"/>
        <v>651658920</v>
      </c>
      <c r="AQ15" s="156">
        <f>AP15/AO15</f>
        <v>0.99955217638413518</v>
      </c>
      <c r="AR15" s="155">
        <f t="shared" si="6"/>
        <v>0</v>
      </c>
      <c r="AS15" s="155">
        <f t="shared" si="6"/>
        <v>0</v>
      </c>
      <c r="AT15" s="155">
        <f t="shared" si="6"/>
        <v>0</v>
      </c>
      <c r="AU15" s="156">
        <v>0</v>
      </c>
      <c r="AV15" s="155">
        <f t="shared" si="6"/>
        <v>641635000</v>
      </c>
      <c r="AW15" s="155">
        <f t="shared" si="6"/>
        <v>651950879</v>
      </c>
      <c r="AX15" s="155">
        <f t="shared" si="6"/>
        <v>651658920</v>
      </c>
      <c r="AY15" s="156">
        <f>AX15/AW15</f>
        <v>0.99955217638413518</v>
      </c>
      <c r="AZ15" s="157">
        <f>SUM(AG15+AK15)</f>
        <v>617353727</v>
      </c>
      <c r="BA15" s="157">
        <f>SUM(AX15-AZ15)</f>
        <v>34305193</v>
      </c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</row>
    <row r="16" spans="1:79" s="145" customFormat="1" ht="31.5">
      <c r="A16" s="141" t="s">
        <v>374</v>
      </c>
      <c r="B16" s="153"/>
      <c r="C16" s="153"/>
      <c r="D16" s="153"/>
      <c r="E16" s="160"/>
      <c r="F16" s="153"/>
      <c r="G16" s="153"/>
      <c r="H16" s="153"/>
      <c r="I16" s="160"/>
      <c r="J16" s="153"/>
      <c r="K16" s="153"/>
      <c r="L16" s="153"/>
      <c r="M16" s="160"/>
      <c r="N16" s="153"/>
      <c r="O16" s="153"/>
      <c r="P16" s="153"/>
      <c r="Q16" s="160"/>
      <c r="R16" s="153"/>
      <c r="S16" s="153"/>
      <c r="T16" s="153"/>
      <c r="U16" s="160"/>
      <c r="V16" s="141" t="s">
        <v>374</v>
      </c>
      <c r="W16" s="153"/>
      <c r="X16" s="153"/>
      <c r="Y16" s="153"/>
      <c r="Z16" s="160"/>
      <c r="AA16" s="153"/>
      <c r="AB16" s="153"/>
      <c r="AC16" s="153"/>
      <c r="AD16" s="160"/>
      <c r="AE16" s="153"/>
      <c r="AF16" s="153"/>
      <c r="AG16" s="153"/>
      <c r="AH16" s="160"/>
      <c r="AI16" s="153"/>
      <c r="AJ16" s="153"/>
      <c r="AK16" s="153"/>
      <c r="AL16" s="160"/>
      <c r="AM16" s="141" t="s">
        <v>374</v>
      </c>
      <c r="AN16" s="153"/>
      <c r="AO16" s="153"/>
      <c r="AP16" s="153"/>
      <c r="AQ16" s="160"/>
      <c r="AR16" s="153"/>
      <c r="AS16" s="153"/>
      <c r="AT16" s="153"/>
      <c r="AU16" s="160">
        <v>0</v>
      </c>
      <c r="AV16" s="161"/>
      <c r="AW16" s="161"/>
      <c r="AX16" s="161"/>
      <c r="AY16" s="160"/>
      <c r="AZ16" s="150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</row>
    <row r="17" spans="1:79" s="145" customFormat="1" ht="15.75">
      <c r="A17" s="146" t="s">
        <v>371</v>
      </c>
      <c r="B17" s="147">
        <v>15500000</v>
      </c>
      <c r="C17" s="147">
        <v>78522034</v>
      </c>
      <c r="D17" s="147">
        <v>75222034</v>
      </c>
      <c r="E17" s="148">
        <f>D17/C17</f>
        <v>0.95797357974705544</v>
      </c>
      <c r="F17" s="147"/>
      <c r="G17" s="147"/>
      <c r="H17" s="147">
        <v>0</v>
      </c>
      <c r="I17" s="148">
        <v>0</v>
      </c>
      <c r="J17" s="147"/>
      <c r="K17" s="147"/>
      <c r="L17" s="147"/>
      <c r="M17" s="148"/>
      <c r="N17" s="147">
        <v>48029080</v>
      </c>
      <c r="O17" s="147">
        <v>50819119</v>
      </c>
      <c r="P17" s="147">
        <v>48876894</v>
      </c>
      <c r="Q17" s="148">
        <f>P17/O17</f>
        <v>0.96178160821717507</v>
      </c>
      <c r="R17" s="147"/>
      <c r="S17" s="147"/>
      <c r="T17" s="147"/>
      <c r="U17" s="148"/>
      <c r="V17" s="146" t="s">
        <v>371</v>
      </c>
      <c r="W17" s="147"/>
      <c r="X17" s="147"/>
      <c r="Y17" s="147"/>
      <c r="Z17" s="148"/>
      <c r="AA17" s="147"/>
      <c r="AB17" s="147"/>
      <c r="AC17" s="147"/>
      <c r="AD17" s="148"/>
      <c r="AE17" s="147"/>
      <c r="AF17" s="147">
        <v>4112193</v>
      </c>
      <c r="AG17" s="147">
        <v>4112193</v>
      </c>
      <c r="AH17" s="148">
        <f>AG17/AF17</f>
        <v>1</v>
      </c>
      <c r="AI17" s="147">
        <v>99875666</v>
      </c>
      <c r="AJ17" s="147">
        <v>128088409</v>
      </c>
      <c r="AK17" s="147">
        <v>128088409</v>
      </c>
      <c r="AL17" s="148">
        <f>AK17/AJ17</f>
        <v>1</v>
      </c>
      <c r="AM17" s="146" t="s">
        <v>371</v>
      </c>
      <c r="AN17" s="147">
        <f>SUM(B17+J17+N17+W17+AI17)</f>
        <v>163404746</v>
      </c>
      <c r="AO17" s="147">
        <f>SUM(C17+K17+O17+X17+AJ17+AF17)</f>
        <v>261541755</v>
      </c>
      <c r="AP17" s="147">
        <f>SUM(D17+L17+P17+Y17+AK17+AG17)</f>
        <v>256299530</v>
      </c>
      <c r="AQ17" s="148">
        <f>AP17/AO17</f>
        <v>0.97995645093075101</v>
      </c>
      <c r="AR17" s="147">
        <f>SUM(AE17)</f>
        <v>0</v>
      </c>
      <c r="AS17" s="147">
        <f>SUM(G17+S17+AB17)</f>
        <v>0</v>
      </c>
      <c r="AT17" s="147">
        <f t="shared" ref="AR17:AT18" si="7">SUM(H17+T17+AC17)</f>
        <v>0</v>
      </c>
      <c r="AU17" s="148">
        <v>0</v>
      </c>
      <c r="AV17" s="149">
        <f t="shared" ref="AV17:AV18" si="8">SUM(AN17+AR17)</f>
        <v>163404746</v>
      </c>
      <c r="AW17" s="149">
        <f>SUM(AO17+AS17)</f>
        <v>261541755</v>
      </c>
      <c r="AX17" s="149">
        <f>SUM(AP17+AT17)</f>
        <v>256299530</v>
      </c>
      <c r="AY17" s="148">
        <f>AX17/AW17</f>
        <v>0.97995645093075101</v>
      </c>
      <c r="AZ17" s="150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</row>
    <row r="18" spans="1:79" s="145" customFormat="1" ht="16.5" thickBot="1">
      <c r="A18" s="151" t="s">
        <v>372</v>
      </c>
      <c r="B18" s="152"/>
      <c r="C18" s="152"/>
      <c r="D18" s="152"/>
      <c r="E18" s="148"/>
      <c r="F18" s="152"/>
      <c r="G18" s="152"/>
      <c r="H18" s="152"/>
      <c r="I18" s="148"/>
      <c r="J18" s="152"/>
      <c r="K18" s="152"/>
      <c r="L18" s="152"/>
      <c r="M18" s="148"/>
      <c r="N18" s="152"/>
      <c r="O18" s="152"/>
      <c r="P18" s="152"/>
      <c r="Q18" s="148"/>
      <c r="R18" s="152"/>
      <c r="S18" s="152"/>
      <c r="T18" s="152"/>
      <c r="U18" s="148"/>
      <c r="V18" s="151" t="s">
        <v>372</v>
      </c>
      <c r="W18" s="152"/>
      <c r="X18" s="152"/>
      <c r="Y18" s="152"/>
      <c r="Z18" s="148"/>
      <c r="AA18" s="152"/>
      <c r="AB18" s="152"/>
      <c r="AC18" s="152"/>
      <c r="AD18" s="148"/>
      <c r="AE18" s="152"/>
      <c r="AF18" s="152"/>
      <c r="AG18" s="152"/>
      <c r="AH18" s="148"/>
      <c r="AI18" s="152"/>
      <c r="AJ18" s="152"/>
      <c r="AK18" s="152"/>
      <c r="AL18" s="148"/>
      <c r="AM18" s="151" t="s">
        <v>372</v>
      </c>
      <c r="AN18" s="153">
        <f>SUM(B18+J18+N18+W18+AI18)</f>
        <v>0</v>
      </c>
      <c r="AO18" s="153">
        <f>SUM(C18+K18+O18+X18+AJ18)</f>
        <v>0</v>
      </c>
      <c r="AP18" s="153">
        <f>SUM(D18+L18+P18+Y18+AK18)</f>
        <v>0</v>
      </c>
      <c r="AQ18" s="148"/>
      <c r="AR18" s="153">
        <f t="shared" si="7"/>
        <v>0</v>
      </c>
      <c r="AS18" s="153">
        <f t="shared" si="7"/>
        <v>0</v>
      </c>
      <c r="AT18" s="153">
        <f t="shared" si="7"/>
        <v>0</v>
      </c>
      <c r="AU18" s="148">
        <v>0</v>
      </c>
      <c r="AV18" s="149">
        <f t="shared" si="8"/>
        <v>0</v>
      </c>
      <c r="AW18" s="149">
        <f>SUM(AO18+AS18)</f>
        <v>0</v>
      </c>
      <c r="AX18" s="149">
        <f>SUM(AP18+AT18)</f>
        <v>0</v>
      </c>
      <c r="AY18" s="148">
        <v>0</v>
      </c>
      <c r="AZ18" s="150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</row>
    <row r="19" spans="1:79" s="145" customFormat="1" ht="32.25" thickBot="1">
      <c r="A19" s="154" t="s">
        <v>375</v>
      </c>
      <c r="B19" s="155">
        <f>B17+B18</f>
        <v>15500000</v>
      </c>
      <c r="C19" s="155">
        <f>C17+C18</f>
        <v>78522034</v>
      </c>
      <c r="D19" s="155">
        <f t="shared" ref="D19" si="9">D17+D18</f>
        <v>75222034</v>
      </c>
      <c r="E19" s="156">
        <f>D19/C19</f>
        <v>0.95797357974705544</v>
      </c>
      <c r="F19" s="155">
        <f t="shared" ref="F19:AP19" si="10">F17+F18</f>
        <v>0</v>
      </c>
      <c r="G19" s="155">
        <f t="shared" si="10"/>
        <v>0</v>
      </c>
      <c r="H19" s="155">
        <f t="shared" si="10"/>
        <v>0</v>
      </c>
      <c r="I19" s="156">
        <v>0</v>
      </c>
      <c r="J19" s="155">
        <f t="shared" si="10"/>
        <v>0</v>
      </c>
      <c r="K19" s="155">
        <f t="shared" si="10"/>
        <v>0</v>
      </c>
      <c r="L19" s="155">
        <f t="shared" si="10"/>
        <v>0</v>
      </c>
      <c r="M19" s="156">
        <v>0</v>
      </c>
      <c r="N19" s="155">
        <f t="shared" si="10"/>
        <v>48029080</v>
      </c>
      <c r="O19" s="155">
        <f t="shared" si="10"/>
        <v>50819119</v>
      </c>
      <c r="P19" s="155">
        <f t="shared" si="10"/>
        <v>48876894</v>
      </c>
      <c r="Q19" s="156">
        <f>P19/O19</f>
        <v>0.96178160821717507</v>
      </c>
      <c r="R19" s="155">
        <f t="shared" si="10"/>
        <v>0</v>
      </c>
      <c r="S19" s="155">
        <f t="shared" si="10"/>
        <v>0</v>
      </c>
      <c r="T19" s="155">
        <f t="shared" si="10"/>
        <v>0</v>
      </c>
      <c r="U19" s="156">
        <v>0</v>
      </c>
      <c r="V19" s="154" t="s">
        <v>375</v>
      </c>
      <c r="W19" s="155">
        <f t="shared" si="10"/>
        <v>0</v>
      </c>
      <c r="X19" s="155">
        <f t="shared" si="10"/>
        <v>0</v>
      </c>
      <c r="Y19" s="155">
        <f t="shared" si="10"/>
        <v>0</v>
      </c>
      <c r="Z19" s="156">
        <v>0</v>
      </c>
      <c r="AA19" s="155">
        <f t="shared" si="10"/>
        <v>0</v>
      </c>
      <c r="AB19" s="155">
        <f t="shared" si="10"/>
        <v>0</v>
      </c>
      <c r="AC19" s="155">
        <f t="shared" si="10"/>
        <v>0</v>
      </c>
      <c r="AD19" s="156">
        <v>0</v>
      </c>
      <c r="AE19" s="155">
        <f>AE17+AE18</f>
        <v>0</v>
      </c>
      <c r="AF19" s="155">
        <f>AF17+AF18</f>
        <v>4112193</v>
      </c>
      <c r="AG19" s="155">
        <f t="shared" ref="AG19" si="11">AG17+AG18</f>
        <v>4112193</v>
      </c>
      <c r="AH19" s="156">
        <f>AG19/AF19</f>
        <v>1</v>
      </c>
      <c r="AI19" s="155">
        <f t="shared" si="10"/>
        <v>99875666</v>
      </c>
      <c r="AJ19" s="155">
        <f t="shared" si="10"/>
        <v>128088409</v>
      </c>
      <c r="AK19" s="155">
        <f t="shared" si="10"/>
        <v>128088409</v>
      </c>
      <c r="AL19" s="156">
        <f>AK19/AJ19</f>
        <v>1</v>
      </c>
      <c r="AM19" s="154" t="s">
        <v>375</v>
      </c>
      <c r="AN19" s="155">
        <f>AN17+AN18</f>
        <v>163404746</v>
      </c>
      <c r="AO19" s="155">
        <f t="shared" si="10"/>
        <v>261541755</v>
      </c>
      <c r="AP19" s="155">
        <f t="shared" si="10"/>
        <v>256299530</v>
      </c>
      <c r="AQ19" s="156">
        <f>AP19/AO19</f>
        <v>0.97995645093075101</v>
      </c>
      <c r="AR19" s="155">
        <f>AR17+AR18</f>
        <v>0</v>
      </c>
      <c r="AS19" s="155">
        <f>AS17+AS18</f>
        <v>0</v>
      </c>
      <c r="AT19" s="155">
        <f>AT17+AT18</f>
        <v>0</v>
      </c>
      <c r="AU19" s="156">
        <v>0</v>
      </c>
      <c r="AV19" s="155">
        <f>AV17+AV18</f>
        <v>163404746</v>
      </c>
      <c r="AW19" s="155">
        <f>AW17+AW18</f>
        <v>261541755</v>
      </c>
      <c r="AX19" s="155">
        <f>AX17+AX18</f>
        <v>256299530</v>
      </c>
      <c r="AY19" s="156">
        <f>AX19/AW19</f>
        <v>0.97995645093075101</v>
      </c>
      <c r="AZ19" s="157">
        <f>SUM(AG19+AK19)</f>
        <v>132200602</v>
      </c>
      <c r="BA19" s="157">
        <f>SUM(AX19-AZ19)</f>
        <v>124098928</v>
      </c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1:79" s="145" customFormat="1" ht="15.75">
      <c r="A20" s="141" t="s">
        <v>376</v>
      </c>
      <c r="B20" s="153"/>
      <c r="C20" s="153"/>
      <c r="D20" s="153"/>
      <c r="E20" s="160"/>
      <c r="F20" s="153"/>
      <c r="G20" s="153"/>
      <c r="H20" s="153"/>
      <c r="I20" s="160"/>
      <c r="J20" s="153"/>
      <c r="K20" s="153"/>
      <c r="L20" s="153"/>
      <c r="M20" s="160"/>
      <c r="N20" s="153"/>
      <c r="O20" s="153"/>
      <c r="P20" s="153"/>
      <c r="Q20" s="160"/>
      <c r="R20" s="153"/>
      <c r="S20" s="153"/>
      <c r="T20" s="153"/>
      <c r="U20" s="160"/>
      <c r="V20" s="141" t="s">
        <v>376</v>
      </c>
      <c r="W20" s="153"/>
      <c r="X20" s="153"/>
      <c r="Y20" s="153"/>
      <c r="Z20" s="160"/>
      <c r="AA20" s="153"/>
      <c r="AB20" s="153"/>
      <c r="AC20" s="153"/>
      <c r="AD20" s="160"/>
      <c r="AE20" s="153"/>
      <c r="AF20" s="153"/>
      <c r="AG20" s="153"/>
      <c r="AH20" s="160"/>
      <c r="AI20" s="153"/>
      <c r="AJ20" s="153"/>
      <c r="AK20" s="153"/>
      <c r="AL20" s="160"/>
      <c r="AM20" s="141" t="s">
        <v>376</v>
      </c>
      <c r="AN20" s="153"/>
      <c r="AO20" s="153"/>
      <c r="AP20" s="153"/>
      <c r="AQ20" s="160"/>
      <c r="AR20" s="153"/>
      <c r="AS20" s="153"/>
      <c r="AT20" s="153"/>
      <c r="AU20" s="160">
        <v>0</v>
      </c>
      <c r="AV20" s="161"/>
      <c r="AW20" s="161"/>
      <c r="AX20" s="161"/>
      <c r="AY20" s="160"/>
      <c r="AZ20" s="150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</row>
    <row r="21" spans="1:79" s="145" customFormat="1" ht="22.5" customHeight="1">
      <c r="A21" s="146" t="s">
        <v>371</v>
      </c>
      <c r="B21" s="147"/>
      <c r="C21" s="147"/>
      <c r="D21" s="147"/>
      <c r="E21" s="148"/>
      <c r="F21" s="147"/>
      <c r="G21" s="147"/>
      <c r="H21" s="147"/>
      <c r="I21" s="148"/>
      <c r="J21" s="147"/>
      <c r="K21" s="147"/>
      <c r="L21" s="147"/>
      <c r="M21" s="148"/>
      <c r="N21" s="147">
        <v>101253198</v>
      </c>
      <c r="O21" s="147">
        <v>58704258</v>
      </c>
      <c r="P21" s="147">
        <v>55274105</v>
      </c>
      <c r="Q21" s="148">
        <f>P21/O21</f>
        <v>0.94156892333091069</v>
      </c>
      <c r="R21" s="147"/>
      <c r="S21" s="147"/>
      <c r="T21" s="147"/>
      <c r="U21" s="148"/>
      <c r="V21" s="146" t="s">
        <v>371</v>
      </c>
      <c r="W21" s="147"/>
      <c r="X21" s="147"/>
      <c r="Y21" s="147"/>
      <c r="Z21" s="148"/>
      <c r="AA21" s="147"/>
      <c r="AB21" s="147"/>
      <c r="AC21" s="147">
        <v>324015</v>
      </c>
      <c r="AD21" s="148">
        <v>0</v>
      </c>
      <c r="AE21" s="147">
        <v>114167900</v>
      </c>
      <c r="AF21" s="147">
        <v>2842684</v>
      </c>
      <c r="AG21" s="147">
        <v>2842684</v>
      </c>
      <c r="AH21" s="148">
        <f>AG21/AF21</f>
        <v>1</v>
      </c>
      <c r="AI21" s="147">
        <v>220336045</v>
      </c>
      <c r="AJ21" s="147">
        <v>288805013</v>
      </c>
      <c r="AK21" s="147">
        <v>288805013</v>
      </c>
      <c r="AL21" s="148">
        <f>AK21/AJ21</f>
        <v>1</v>
      </c>
      <c r="AM21" s="146" t="s">
        <v>371</v>
      </c>
      <c r="AN21" s="147">
        <f t="shared" ref="AN21:AO22" si="12">SUM(B21+J21+N21+W21+AI21+AE21)</f>
        <v>435757143</v>
      </c>
      <c r="AO21" s="147">
        <f t="shared" si="12"/>
        <v>350351955</v>
      </c>
      <c r="AP21" s="147">
        <f>SUM(D21+L21+P21+Y21+AK21+AG21)</f>
        <v>346921802</v>
      </c>
      <c r="AQ21" s="148">
        <f>AP21/AO21</f>
        <v>0.99020940813645519</v>
      </c>
      <c r="AR21" s="147">
        <v>0</v>
      </c>
      <c r="AS21" s="147">
        <f>G21+S21+AB21</f>
        <v>0</v>
      </c>
      <c r="AT21" s="147">
        <f>H21+T21+AC21</f>
        <v>324015</v>
      </c>
      <c r="AU21" s="148">
        <v>0</v>
      </c>
      <c r="AV21" s="149">
        <f t="shared" ref="AV21:AX24" si="13">SUM(AN21+AR21)</f>
        <v>435757143</v>
      </c>
      <c r="AW21" s="149">
        <f>SUM(AO21+AS21)</f>
        <v>350351955</v>
      </c>
      <c r="AX21" s="149">
        <f>SUM(AP21+AT21)</f>
        <v>347245817</v>
      </c>
      <c r="AY21" s="148">
        <f>AX21/AW21</f>
        <v>0.99113423528634226</v>
      </c>
      <c r="AZ21" s="150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</row>
    <row r="22" spans="1:79" s="635" customFormat="1" ht="23.25" customHeight="1">
      <c r="A22" s="172" t="s">
        <v>823</v>
      </c>
      <c r="B22" s="166"/>
      <c r="C22" s="166"/>
      <c r="D22" s="166"/>
      <c r="E22" s="167"/>
      <c r="F22" s="166"/>
      <c r="G22" s="166"/>
      <c r="H22" s="166"/>
      <c r="I22" s="167"/>
      <c r="J22" s="166"/>
      <c r="K22" s="166"/>
      <c r="L22" s="166"/>
      <c r="M22" s="167"/>
      <c r="N22" s="166"/>
      <c r="O22" s="166"/>
      <c r="P22" s="166"/>
      <c r="Q22" s="167"/>
      <c r="R22" s="166"/>
      <c r="S22" s="166"/>
      <c r="T22" s="166"/>
      <c r="U22" s="167"/>
      <c r="V22" s="172" t="s">
        <v>823</v>
      </c>
      <c r="W22" s="166"/>
      <c r="X22" s="166"/>
      <c r="Y22" s="166"/>
      <c r="Z22" s="167"/>
      <c r="AA22" s="166"/>
      <c r="AB22" s="166"/>
      <c r="AC22" s="166"/>
      <c r="AD22" s="167"/>
      <c r="AE22" s="166"/>
      <c r="AF22" s="166">
        <v>114167900</v>
      </c>
      <c r="AG22" s="166">
        <v>114167900</v>
      </c>
      <c r="AH22" s="167">
        <f>AG22/AF22</f>
        <v>1</v>
      </c>
      <c r="AI22" s="166"/>
      <c r="AJ22" s="166"/>
      <c r="AK22" s="166"/>
      <c r="AL22" s="167"/>
      <c r="AM22" s="172" t="s">
        <v>823</v>
      </c>
      <c r="AN22" s="166">
        <f t="shared" si="12"/>
        <v>0</v>
      </c>
      <c r="AO22" s="166">
        <v>0</v>
      </c>
      <c r="AP22" s="166">
        <v>0</v>
      </c>
      <c r="AQ22" s="167">
        <v>0</v>
      </c>
      <c r="AR22" s="166">
        <f>F22+R22+AA22</f>
        <v>0</v>
      </c>
      <c r="AS22" s="166">
        <f>SUM(AF22)</f>
        <v>114167900</v>
      </c>
      <c r="AT22" s="166">
        <f>SUM(AG22)</f>
        <v>114167900</v>
      </c>
      <c r="AU22" s="167">
        <v>0</v>
      </c>
      <c r="AV22" s="168">
        <f t="shared" si="13"/>
        <v>0</v>
      </c>
      <c r="AW22" s="168">
        <f>SUM(AO22+AS22)</f>
        <v>114167900</v>
      </c>
      <c r="AX22" s="168">
        <f t="shared" si="13"/>
        <v>114167900</v>
      </c>
      <c r="AY22" s="167">
        <f>AX22/AW22</f>
        <v>1</v>
      </c>
      <c r="AZ22" s="633"/>
      <c r="BA22" s="634"/>
      <c r="BB22" s="634"/>
      <c r="BC22" s="634"/>
      <c r="BD22" s="634"/>
      <c r="BE22" s="634"/>
      <c r="BF22" s="634"/>
      <c r="BG22" s="634"/>
      <c r="BH22" s="634"/>
      <c r="BI22" s="634"/>
      <c r="BJ22" s="634"/>
      <c r="BK22" s="634"/>
      <c r="BL22" s="634"/>
      <c r="BM22" s="634"/>
      <c r="BN22" s="634"/>
      <c r="BO22" s="634"/>
      <c r="BP22" s="634"/>
      <c r="BQ22" s="634"/>
      <c r="BR22" s="634"/>
      <c r="BS22" s="634"/>
      <c r="BT22" s="634"/>
      <c r="BU22" s="634"/>
      <c r="BV22" s="634"/>
      <c r="BW22" s="634"/>
      <c r="BX22" s="634"/>
      <c r="BY22" s="634"/>
      <c r="BZ22" s="634"/>
      <c r="CA22" s="634"/>
    </row>
    <row r="23" spans="1:79" s="635" customFormat="1" ht="23.25" customHeight="1">
      <c r="A23" s="172" t="s">
        <v>825</v>
      </c>
      <c r="B23" s="165"/>
      <c r="C23" s="165">
        <v>2681600</v>
      </c>
      <c r="D23" s="165">
        <v>2650382</v>
      </c>
      <c r="E23" s="167">
        <f>D23/C23</f>
        <v>0.98835844272076367</v>
      </c>
      <c r="F23" s="165"/>
      <c r="G23" s="165"/>
      <c r="H23" s="165"/>
      <c r="I23" s="167"/>
      <c r="J23" s="165"/>
      <c r="K23" s="165"/>
      <c r="L23" s="165"/>
      <c r="M23" s="167"/>
      <c r="N23" s="165"/>
      <c r="O23" s="165"/>
      <c r="P23" s="165"/>
      <c r="Q23" s="167"/>
      <c r="R23" s="165"/>
      <c r="S23" s="165"/>
      <c r="T23" s="165"/>
      <c r="U23" s="167"/>
      <c r="V23" s="172" t="s">
        <v>825</v>
      </c>
      <c r="W23" s="165"/>
      <c r="X23" s="165"/>
      <c r="Y23" s="165"/>
      <c r="Z23" s="167"/>
      <c r="AA23" s="165"/>
      <c r="AB23" s="165"/>
      <c r="AC23" s="165"/>
      <c r="AD23" s="167"/>
      <c r="AE23" s="165"/>
      <c r="AF23" s="165"/>
      <c r="AG23" s="165"/>
      <c r="AH23" s="167"/>
      <c r="AI23" s="165"/>
      <c r="AJ23" s="165"/>
      <c r="AK23" s="165"/>
      <c r="AL23" s="167"/>
      <c r="AM23" s="172" t="s">
        <v>825</v>
      </c>
      <c r="AN23" s="166">
        <f>SUM(B23+J23+N23+W23+AI23+AE23)</f>
        <v>0</v>
      </c>
      <c r="AO23" s="166">
        <f>SUM(C23+K23+O23+X23+AJ23)</f>
        <v>2681600</v>
      </c>
      <c r="AP23" s="166">
        <f>SUM(D23+L23+P23+Y23+AK23)</f>
        <v>2650382</v>
      </c>
      <c r="AQ23" s="167">
        <v>0</v>
      </c>
      <c r="AR23" s="166">
        <f>F23+R23+AA23</f>
        <v>0</v>
      </c>
      <c r="AS23" s="166">
        <f>AF23</f>
        <v>0</v>
      </c>
      <c r="AT23" s="166">
        <f>AG23</f>
        <v>0</v>
      </c>
      <c r="AU23" s="167">
        <v>1</v>
      </c>
      <c r="AV23" s="168">
        <f t="shared" si="13"/>
        <v>0</v>
      </c>
      <c r="AW23" s="168">
        <f t="shared" si="13"/>
        <v>2681600</v>
      </c>
      <c r="AX23" s="168">
        <f t="shared" si="13"/>
        <v>2650382</v>
      </c>
      <c r="AY23" s="167">
        <f>AX23/AW23</f>
        <v>0.98835844272076367</v>
      </c>
      <c r="AZ23" s="633"/>
      <c r="BA23" s="634"/>
      <c r="BB23" s="634"/>
      <c r="BC23" s="634"/>
      <c r="BD23" s="634"/>
      <c r="BE23" s="634"/>
      <c r="BF23" s="634"/>
      <c r="BG23" s="634"/>
      <c r="BH23" s="634"/>
      <c r="BI23" s="634"/>
      <c r="BJ23" s="634"/>
      <c r="BK23" s="634"/>
      <c r="BL23" s="634"/>
      <c r="BM23" s="634"/>
      <c r="BN23" s="634"/>
      <c r="BO23" s="634"/>
      <c r="BP23" s="634"/>
      <c r="BQ23" s="634"/>
      <c r="BR23" s="634"/>
      <c r="BS23" s="634"/>
      <c r="BT23" s="634"/>
      <c r="BU23" s="634"/>
      <c r="BV23" s="634"/>
      <c r="BW23" s="634"/>
      <c r="BX23" s="634"/>
      <c r="BY23" s="634"/>
      <c r="BZ23" s="634"/>
      <c r="CA23" s="634"/>
    </row>
    <row r="24" spans="1:79" s="635" customFormat="1" ht="23.25" customHeight="1" thickBot="1">
      <c r="A24" s="172" t="s">
        <v>824</v>
      </c>
      <c r="B24" s="173"/>
      <c r="C24" s="173">
        <v>349407945</v>
      </c>
      <c r="D24" s="173">
        <v>349407945</v>
      </c>
      <c r="E24" s="167">
        <f>D24/C24</f>
        <v>1</v>
      </c>
      <c r="F24" s="173"/>
      <c r="G24" s="173"/>
      <c r="H24" s="173"/>
      <c r="I24" s="167"/>
      <c r="J24" s="173"/>
      <c r="K24" s="173"/>
      <c r="L24" s="173"/>
      <c r="M24" s="167"/>
      <c r="N24" s="173"/>
      <c r="O24" s="173">
        <v>1473812</v>
      </c>
      <c r="P24" s="173">
        <v>1463292</v>
      </c>
      <c r="Q24" s="167">
        <f>P24/O24</f>
        <v>0.99286204753387819</v>
      </c>
      <c r="R24" s="173"/>
      <c r="S24" s="173"/>
      <c r="T24" s="173"/>
      <c r="U24" s="167"/>
      <c r="V24" s="172" t="s">
        <v>824</v>
      </c>
      <c r="W24" s="173"/>
      <c r="X24" s="173"/>
      <c r="Y24" s="173"/>
      <c r="Z24" s="167"/>
      <c r="AA24" s="173"/>
      <c r="AB24" s="173"/>
      <c r="AC24" s="173"/>
      <c r="AD24" s="167"/>
      <c r="AE24" s="173"/>
      <c r="AF24" s="173">
        <v>42227104</v>
      </c>
      <c r="AG24" s="173">
        <v>42227104</v>
      </c>
      <c r="AH24" s="167">
        <f t="shared" ref="AH24" si="14">AG24/AF24</f>
        <v>1</v>
      </c>
      <c r="AI24" s="173"/>
      <c r="AJ24" s="173"/>
      <c r="AK24" s="173"/>
      <c r="AL24" s="167"/>
      <c r="AM24" s="172" t="s">
        <v>824</v>
      </c>
      <c r="AN24" s="165">
        <f>SUM(B24+J24+N24+W24+AI24)</f>
        <v>0</v>
      </c>
      <c r="AO24" s="166">
        <f>SUM(C24+K24+O24+X24+AJ24+AF24)</f>
        <v>393108861</v>
      </c>
      <c r="AP24" s="166">
        <f>SUM(D24+L24+P24+Y24+AK24+AG24)</f>
        <v>393098341</v>
      </c>
      <c r="AQ24" s="167"/>
      <c r="AR24" s="165">
        <f>SUM(F24+R24+AA24)</f>
        <v>0</v>
      </c>
      <c r="AS24" s="165">
        <f>SUM(G24+S24+AB24)</f>
        <v>0</v>
      </c>
      <c r="AT24" s="166">
        <f>H24+T24+AC24</f>
        <v>0</v>
      </c>
      <c r="AU24" s="167">
        <v>0</v>
      </c>
      <c r="AV24" s="168">
        <f t="shared" si="13"/>
        <v>0</v>
      </c>
      <c r="AW24" s="168">
        <f t="shared" si="13"/>
        <v>393108861</v>
      </c>
      <c r="AX24" s="168">
        <f t="shared" si="13"/>
        <v>393098341</v>
      </c>
      <c r="AY24" s="167">
        <v>0</v>
      </c>
      <c r="AZ24" s="633"/>
      <c r="BA24" s="634"/>
      <c r="BB24" s="634"/>
      <c r="BC24" s="634"/>
      <c r="BD24" s="634"/>
      <c r="BE24" s="634"/>
      <c r="BF24" s="634"/>
      <c r="BG24" s="634"/>
      <c r="BH24" s="634"/>
      <c r="BI24" s="634"/>
      <c r="BJ24" s="634"/>
      <c r="BK24" s="634"/>
      <c r="BL24" s="634"/>
      <c r="BM24" s="634"/>
      <c r="BN24" s="634"/>
      <c r="BO24" s="634"/>
      <c r="BP24" s="634"/>
      <c r="BQ24" s="634"/>
      <c r="BR24" s="634"/>
      <c r="BS24" s="634"/>
      <c r="BT24" s="634"/>
      <c r="BU24" s="634"/>
      <c r="BV24" s="634"/>
      <c r="BW24" s="634"/>
      <c r="BX24" s="634"/>
      <c r="BY24" s="634"/>
      <c r="BZ24" s="634"/>
      <c r="CA24" s="634"/>
    </row>
    <row r="25" spans="1:79" s="163" customFormat="1" ht="16.5" thickBot="1">
      <c r="A25" s="154" t="s">
        <v>377</v>
      </c>
      <c r="B25" s="155">
        <f>SUM(B21:B24)</f>
        <v>0</v>
      </c>
      <c r="C25" s="155">
        <f>SUM(C21:C24)</f>
        <v>352089545</v>
      </c>
      <c r="D25" s="155">
        <f t="shared" ref="D25" si="15">SUM(D21:D24)</f>
        <v>352058327</v>
      </c>
      <c r="E25" s="156">
        <f>D25/C25</f>
        <v>0.99991133505540475</v>
      </c>
      <c r="F25" s="155">
        <f>SUM(F21:F24)</f>
        <v>0</v>
      </c>
      <c r="G25" s="155">
        <f>SUM(G21:G24)</f>
        <v>0</v>
      </c>
      <c r="H25" s="155">
        <f t="shared" ref="H25" si="16">SUM(H21:H24)</f>
        <v>0</v>
      </c>
      <c r="I25" s="156">
        <v>0</v>
      </c>
      <c r="J25" s="155">
        <f>SUM(J21:J24)</f>
        <v>0</v>
      </c>
      <c r="K25" s="155">
        <f>SUM(K21:K24)</f>
        <v>0</v>
      </c>
      <c r="L25" s="155">
        <f t="shared" ref="L25" si="17">SUM(L21:L24)</f>
        <v>0</v>
      </c>
      <c r="M25" s="156">
        <v>0</v>
      </c>
      <c r="N25" s="155">
        <f>SUM(N21:N24)</f>
        <v>101253198</v>
      </c>
      <c r="O25" s="155">
        <f>SUM(O21:O24)</f>
        <v>60178070</v>
      </c>
      <c r="P25" s="155">
        <f t="shared" ref="P25" si="18">SUM(P21:P24)</f>
        <v>56737397</v>
      </c>
      <c r="Q25" s="156">
        <f>P25/O25</f>
        <v>0.94282513546878455</v>
      </c>
      <c r="R25" s="155">
        <f>SUM(R21:R24)</f>
        <v>0</v>
      </c>
      <c r="S25" s="155">
        <f>SUM(S21:S24)</f>
        <v>0</v>
      </c>
      <c r="T25" s="155">
        <f t="shared" ref="T25" si="19">SUM(T21:T24)</f>
        <v>0</v>
      </c>
      <c r="U25" s="156" t="e">
        <f>T25/S25</f>
        <v>#DIV/0!</v>
      </c>
      <c r="V25" s="154" t="s">
        <v>377</v>
      </c>
      <c r="W25" s="155">
        <f>SUM(W21:W24)</f>
        <v>0</v>
      </c>
      <c r="X25" s="155">
        <f>SUM(X21:X24)</f>
        <v>0</v>
      </c>
      <c r="Y25" s="155">
        <f t="shared" ref="Y25" si="20">SUM(Y21:Y24)</f>
        <v>0</v>
      </c>
      <c r="Z25" s="156">
        <v>0</v>
      </c>
      <c r="AA25" s="155">
        <f>SUM(AA21:AA24)</f>
        <v>0</v>
      </c>
      <c r="AB25" s="155">
        <f>SUM(AB21:AB24)</f>
        <v>0</v>
      </c>
      <c r="AC25" s="155">
        <f t="shared" ref="AC25" si="21">SUM(AC21:AC24)</f>
        <v>324015</v>
      </c>
      <c r="AD25" s="156">
        <v>0</v>
      </c>
      <c r="AE25" s="155">
        <f>SUM(AE21:AE24)</f>
        <v>114167900</v>
      </c>
      <c r="AF25" s="155">
        <f>SUM(AF21:AF24)</f>
        <v>159237688</v>
      </c>
      <c r="AG25" s="155">
        <f t="shared" ref="AG25" si="22">SUM(AG21:AG24)</f>
        <v>159237688</v>
      </c>
      <c r="AH25" s="156">
        <f>AG25/AF25</f>
        <v>1</v>
      </c>
      <c r="AI25" s="155">
        <f>SUM(AI21:AI24)</f>
        <v>220336045</v>
      </c>
      <c r="AJ25" s="155">
        <f>SUM(AJ21:AJ24)</f>
        <v>288805013</v>
      </c>
      <c r="AK25" s="155">
        <f t="shared" ref="AK25" si="23">SUM(AK21:AK24)</f>
        <v>288805013</v>
      </c>
      <c r="AL25" s="156">
        <f>AK25/AJ25</f>
        <v>1</v>
      </c>
      <c r="AM25" s="154" t="s">
        <v>377</v>
      </c>
      <c r="AN25" s="155">
        <f>SUM(AN21:AN24)</f>
        <v>435757143</v>
      </c>
      <c r="AO25" s="155">
        <f>SUM(AO21:AO24)</f>
        <v>746142416</v>
      </c>
      <c r="AP25" s="155">
        <f t="shared" ref="AP25" si="24">SUM(AP21:AP24)</f>
        <v>742670525</v>
      </c>
      <c r="AQ25" s="156">
        <f>AP25/AO25</f>
        <v>0.99534687892612717</v>
      </c>
      <c r="AR25" s="155">
        <f>SUM(AR21:AR24)</f>
        <v>0</v>
      </c>
      <c r="AS25" s="155">
        <f>SUM(AS21:AS24)</f>
        <v>114167900</v>
      </c>
      <c r="AT25" s="155">
        <f t="shared" ref="AT25" si="25">SUM(AT21:AT24)</f>
        <v>114491915</v>
      </c>
      <c r="AU25" s="156">
        <f>AT25/AS25</f>
        <v>1.0028380569319397</v>
      </c>
      <c r="AV25" s="155">
        <f>SUM(AV21:AV24)</f>
        <v>435757143</v>
      </c>
      <c r="AW25" s="155">
        <f>SUM(AW21:AW24)</f>
        <v>860310316</v>
      </c>
      <c r="AX25" s="155">
        <f t="shared" ref="AX25" si="26">SUM(AX21:AX24)</f>
        <v>857162440</v>
      </c>
      <c r="AY25" s="156">
        <f>AX25/AW25</f>
        <v>0.99634099935632991</v>
      </c>
      <c r="AZ25" s="157">
        <f>SUM(AG25+AK25)</f>
        <v>448042701</v>
      </c>
      <c r="BA25" s="157">
        <f>SUM(AX25-AZ25)</f>
        <v>409119739</v>
      </c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</row>
    <row r="26" spans="1:79" s="171" customFormat="1" ht="15.75">
      <c r="A26" s="193" t="s">
        <v>378</v>
      </c>
      <c r="B26" s="165"/>
      <c r="C26" s="165"/>
      <c r="D26" s="165"/>
      <c r="E26" s="194"/>
      <c r="F26" s="165"/>
      <c r="G26" s="165"/>
      <c r="H26" s="165"/>
      <c r="I26" s="194"/>
      <c r="J26" s="165"/>
      <c r="K26" s="165"/>
      <c r="L26" s="165"/>
      <c r="M26" s="194"/>
      <c r="N26" s="165"/>
      <c r="O26" s="165"/>
      <c r="P26" s="165"/>
      <c r="Q26" s="194"/>
      <c r="R26" s="165"/>
      <c r="S26" s="165"/>
      <c r="T26" s="165"/>
      <c r="U26" s="194"/>
      <c r="V26" s="193" t="s">
        <v>378</v>
      </c>
      <c r="W26" s="165"/>
      <c r="X26" s="165"/>
      <c r="Y26" s="165"/>
      <c r="Z26" s="194"/>
      <c r="AA26" s="165"/>
      <c r="AB26" s="165"/>
      <c r="AC26" s="165"/>
      <c r="AD26" s="194"/>
      <c r="AE26" s="165"/>
      <c r="AF26" s="165"/>
      <c r="AG26" s="165"/>
      <c r="AH26" s="194"/>
      <c r="AI26" s="165"/>
      <c r="AJ26" s="165"/>
      <c r="AK26" s="165"/>
      <c r="AL26" s="194"/>
      <c r="AM26" s="193" t="s">
        <v>378</v>
      </c>
      <c r="AN26" s="165"/>
      <c r="AO26" s="165"/>
      <c r="AP26" s="165"/>
      <c r="AQ26" s="194"/>
      <c r="AR26" s="165"/>
      <c r="AS26" s="165"/>
      <c r="AT26" s="165"/>
      <c r="AU26" s="194"/>
      <c r="AV26" s="195"/>
      <c r="AW26" s="195"/>
      <c r="AX26" s="195"/>
      <c r="AY26" s="194"/>
      <c r="AZ26" s="169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</row>
    <row r="27" spans="1:79" s="171" customFormat="1" ht="15.75">
      <c r="A27" s="164" t="s">
        <v>371</v>
      </c>
      <c r="B27" s="165"/>
      <c r="C27" s="165">
        <v>6341435</v>
      </c>
      <c r="D27" s="166">
        <v>6341434</v>
      </c>
      <c r="E27" s="167">
        <f>D27/C27</f>
        <v>0.99999984230698569</v>
      </c>
      <c r="F27" s="165"/>
      <c r="G27" s="165"/>
      <c r="H27" s="165"/>
      <c r="I27" s="167"/>
      <c r="J27" s="165"/>
      <c r="K27" s="165"/>
      <c r="L27" s="165"/>
      <c r="M27" s="167"/>
      <c r="N27" s="165">
        <v>1579268</v>
      </c>
      <c r="O27" s="165">
        <v>829500</v>
      </c>
      <c r="P27" s="165">
        <v>870159</v>
      </c>
      <c r="Q27" s="167">
        <f t="shared" ref="Q27:Q32" si="27">P27/O27</f>
        <v>1.0490162748643761</v>
      </c>
      <c r="R27" s="165"/>
      <c r="S27" s="165"/>
      <c r="T27" s="165"/>
      <c r="U27" s="167"/>
      <c r="V27" s="164" t="s">
        <v>371</v>
      </c>
      <c r="W27" s="165"/>
      <c r="X27" s="165"/>
      <c r="Y27" s="165"/>
      <c r="Z27" s="148"/>
      <c r="AA27" s="165"/>
      <c r="AB27" s="165"/>
      <c r="AC27" s="165"/>
      <c r="AD27" s="167"/>
      <c r="AE27" s="165"/>
      <c r="AF27" s="165">
        <v>547261</v>
      </c>
      <c r="AG27" s="165">
        <v>547261</v>
      </c>
      <c r="AH27" s="167">
        <f>AG27/AF27</f>
        <v>1</v>
      </c>
      <c r="AI27" s="165">
        <v>42185414</v>
      </c>
      <c r="AJ27" s="165">
        <v>27752776</v>
      </c>
      <c r="AK27" s="165">
        <v>27752776</v>
      </c>
      <c r="AL27" s="167">
        <f t="shared" ref="AL27:AL32" si="28">AK27/AJ27</f>
        <v>1</v>
      </c>
      <c r="AM27" s="164" t="s">
        <v>371</v>
      </c>
      <c r="AN27" s="166">
        <f>SUM(B27+J27+N27+W27+AI27)</f>
        <v>43764682</v>
      </c>
      <c r="AO27" s="166">
        <f>SUM(C27+K27+O27+X27+AJ27+AF27)</f>
        <v>35470972</v>
      </c>
      <c r="AP27" s="166">
        <f>SUM(D27+L27+P27+Y27+AK27+AG27)</f>
        <v>35511630</v>
      </c>
      <c r="AQ27" s="167">
        <f>AP27/AO27</f>
        <v>1.0011462330381022</v>
      </c>
      <c r="AR27" s="147">
        <f>SUM(AE27)</f>
        <v>0</v>
      </c>
      <c r="AS27" s="166">
        <f t="shared" ref="AS27:AT28" si="29">SUM(G27+S27+AB27)</f>
        <v>0</v>
      </c>
      <c r="AT27" s="166">
        <f t="shared" si="29"/>
        <v>0</v>
      </c>
      <c r="AU27" s="167">
        <v>0</v>
      </c>
      <c r="AV27" s="168">
        <f t="shared" ref="AV27:AV28" si="30">SUM(AN27+AR27)</f>
        <v>43764682</v>
      </c>
      <c r="AW27" s="168">
        <f>SUM(AO27+AS27)</f>
        <v>35470972</v>
      </c>
      <c r="AX27" s="168">
        <f>SUM(AP27+AT27)</f>
        <v>35511630</v>
      </c>
      <c r="AY27" s="167">
        <f t="shared" ref="AY27:AY32" si="31">AX27/AW27</f>
        <v>1.0011462330381022</v>
      </c>
      <c r="AZ27" s="169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</row>
    <row r="28" spans="1:79" s="171" customFormat="1" ht="16.5" thickBot="1">
      <c r="A28" s="172" t="s">
        <v>372</v>
      </c>
      <c r="B28" s="173"/>
      <c r="C28" s="173"/>
      <c r="D28" s="173"/>
      <c r="E28" s="167"/>
      <c r="F28" s="173"/>
      <c r="G28" s="173"/>
      <c r="H28" s="173"/>
      <c r="I28" s="167"/>
      <c r="J28" s="173"/>
      <c r="K28" s="173"/>
      <c r="L28" s="173"/>
      <c r="M28" s="167"/>
      <c r="N28" s="173"/>
      <c r="O28" s="173">
        <v>2009768</v>
      </c>
      <c r="P28" s="173">
        <v>1769882</v>
      </c>
      <c r="Q28" s="167">
        <f t="shared" si="27"/>
        <v>0.88063995446240562</v>
      </c>
      <c r="R28" s="173"/>
      <c r="S28" s="173"/>
      <c r="T28" s="173"/>
      <c r="U28" s="167"/>
      <c r="V28" s="172" t="s">
        <v>372</v>
      </c>
      <c r="W28" s="173"/>
      <c r="X28" s="173"/>
      <c r="Y28" s="173"/>
      <c r="Z28" s="167"/>
      <c r="AA28" s="173"/>
      <c r="AB28" s="173"/>
      <c r="AC28" s="173"/>
      <c r="AD28" s="167"/>
      <c r="AE28" s="173"/>
      <c r="AF28" s="173">
        <v>166523</v>
      </c>
      <c r="AG28" s="173">
        <v>166523</v>
      </c>
      <c r="AH28" s="167">
        <f>AG28/AF28</f>
        <v>1</v>
      </c>
      <c r="AI28" s="173"/>
      <c r="AJ28" s="173">
        <v>19350104</v>
      </c>
      <c r="AK28" s="173">
        <v>19350104</v>
      </c>
      <c r="AL28" s="167">
        <f t="shared" si="28"/>
        <v>1</v>
      </c>
      <c r="AM28" s="172" t="s">
        <v>372</v>
      </c>
      <c r="AN28" s="165">
        <f>SUM(B28+J28+N28+W28+AI28)</f>
        <v>0</v>
      </c>
      <c r="AO28" s="166">
        <f>SUM(C28+K28+O28+X28+AJ28+AF28)</f>
        <v>21526395</v>
      </c>
      <c r="AP28" s="166">
        <f>SUM(D28+L28+P28+Y28+AK28+AG28)</f>
        <v>21286509</v>
      </c>
      <c r="AQ28" s="167">
        <f>AP28/AO28</f>
        <v>0.98885619259518376</v>
      </c>
      <c r="AR28" s="147">
        <f>SUM(AE28)</f>
        <v>0</v>
      </c>
      <c r="AS28" s="165">
        <f t="shared" si="29"/>
        <v>0</v>
      </c>
      <c r="AT28" s="165">
        <f t="shared" si="29"/>
        <v>0</v>
      </c>
      <c r="AU28" s="167">
        <v>0</v>
      </c>
      <c r="AV28" s="168">
        <f t="shared" si="30"/>
        <v>0</v>
      </c>
      <c r="AW28" s="168">
        <f>SUM(AO28+AS28)</f>
        <v>21526395</v>
      </c>
      <c r="AX28" s="168">
        <f>SUM(AP28+AT28)</f>
        <v>21286509</v>
      </c>
      <c r="AY28" s="167">
        <f t="shared" si="31"/>
        <v>0.98885619259518376</v>
      </c>
      <c r="AZ28" s="169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</row>
    <row r="29" spans="1:79" s="145" customFormat="1" ht="16.5" thickBot="1">
      <c r="A29" s="154" t="s">
        <v>379</v>
      </c>
      <c r="B29" s="155">
        <f>B27+B28</f>
        <v>0</v>
      </c>
      <c r="C29" s="155">
        <f>C27+C28</f>
        <v>6341435</v>
      </c>
      <c r="D29" s="155">
        <f t="shared" ref="D29" si="32">D27+D28</f>
        <v>6341434</v>
      </c>
      <c r="E29" s="156">
        <f>D29/C29</f>
        <v>0.99999984230698569</v>
      </c>
      <c r="F29" s="155">
        <f t="shared" ref="F29:AP29" si="33">F27+F28</f>
        <v>0</v>
      </c>
      <c r="G29" s="155">
        <f t="shared" si="33"/>
        <v>0</v>
      </c>
      <c r="H29" s="155">
        <f t="shared" si="33"/>
        <v>0</v>
      </c>
      <c r="I29" s="156">
        <v>0</v>
      </c>
      <c r="J29" s="155">
        <f t="shared" si="33"/>
        <v>0</v>
      </c>
      <c r="K29" s="155">
        <f t="shared" si="33"/>
        <v>0</v>
      </c>
      <c r="L29" s="155">
        <f t="shared" si="33"/>
        <v>0</v>
      </c>
      <c r="M29" s="156">
        <v>0</v>
      </c>
      <c r="N29" s="155">
        <f t="shared" si="33"/>
        <v>1579268</v>
      </c>
      <c r="O29" s="155">
        <f t="shared" si="33"/>
        <v>2839268</v>
      </c>
      <c r="P29" s="155">
        <f t="shared" si="33"/>
        <v>2640041</v>
      </c>
      <c r="Q29" s="156">
        <f t="shared" si="27"/>
        <v>0.92983156221955798</v>
      </c>
      <c r="R29" s="155">
        <f t="shared" si="33"/>
        <v>0</v>
      </c>
      <c r="S29" s="155">
        <f t="shared" si="33"/>
        <v>0</v>
      </c>
      <c r="T29" s="155">
        <f t="shared" si="33"/>
        <v>0</v>
      </c>
      <c r="U29" s="156">
        <v>0</v>
      </c>
      <c r="V29" s="154" t="s">
        <v>379</v>
      </c>
      <c r="W29" s="155">
        <f t="shared" si="33"/>
        <v>0</v>
      </c>
      <c r="X29" s="155">
        <f t="shared" si="33"/>
        <v>0</v>
      </c>
      <c r="Y29" s="155">
        <f t="shared" si="33"/>
        <v>0</v>
      </c>
      <c r="Z29" s="156">
        <v>0</v>
      </c>
      <c r="AA29" s="155">
        <f t="shared" si="33"/>
        <v>0</v>
      </c>
      <c r="AB29" s="155">
        <f t="shared" si="33"/>
        <v>0</v>
      </c>
      <c r="AC29" s="155">
        <f t="shared" si="33"/>
        <v>0</v>
      </c>
      <c r="AD29" s="156">
        <v>0</v>
      </c>
      <c r="AE29" s="155">
        <f>AE27+AE28</f>
        <v>0</v>
      </c>
      <c r="AF29" s="155">
        <f>AF27+AF28</f>
        <v>713784</v>
      </c>
      <c r="AG29" s="155">
        <f t="shared" ref="AG29" si="34">AG27+AG28</f>
        <v>713784</v>
      </c>
      <c r="AH29" s="156">
        <f>AG29/AF29</f>
        <v>1</v>
      </c>
      <c r="AI29" s="155">
        <f t="shared" si="33"/>
        <v>42185414</v>
      </c>
      <c r="AJ29" s="155">
        <f t="shared" si="33"/>
        <v>47102880</v>
      </c>
      <c r="AK29" s="155">
        <f t="shared" si="33"/>
        <v>47102880</v>
      </c>
      <c r="AL29" s="156">
        <f t="shared" si="28"/>
        <v>1</v>
      </c>
      <c r="AM29" s="154" t="s">
        <v>379</v>
      </c>
      <c r="AN29" s="155">
        <f t="shared" si="33"/>
        <v>43764682</v>
      </c>
      <c r="AO29" s="155">
        <f t="shared" si="33"/>
        <v>56997367</v>
      </c>
      <c r="AP29" s="155">
        <f t="shared" si="33"/>
        <v>56798139</v>
      </c>
      <c r="AQ29" s="156">
        <f>AP29/AO29</f>
        <v>0.99650461046735717</v>
      </c>
      <c r="AR29" s="155">
        <f>AR27+AR28</f>
        <v>0</v>
      </c>
      <c r="AS29" s="155">
        <f>AS27+AS28</f>
        <v>0</v>
      </c>
      <c r="AT29" s="155">
        <f>AT27+AT28</f>
        <v>0</v>
      </c>
      <c r="AU29" s="156">
        <v>0</v>
      </c>
      <c r="AV29" s="155">
        <f>AV27+AV28</f>
        <v>43764682</v>
      </c>
      <c r="AW29" s="155">
        <f>AW27+AW28</f>
        <v>56997367</v>
      </c>
      <c r="AX29" s="155">
        <f>AX27+AX28</f>
        <v>56798139</v>
      </c>
      <c r="AY29" s="156">
        <f t="shared" si="31"/>
        <v>0.99650461046735717</v>
      </c>
      <c r="AZ29" s="157">
        <f>SUM(AG29+AK29)</f>
        <v>47816664</v>
      </c>
      <c r="BA29" s="157">
        <f>SUM(AX29-AZ29)</f>
        <v>8981475</v>
      </c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</row>
    <row r="30" spans="1:79" s="145" customFormat="1" ht="32.25" thickBot="1">
      <c r="A30" s="174" t="s">
        <v>380</v>
      </c>
      <c r="B30" s="175">
        <f>B13+B17+B21+B27</f>
        <v>15500000</v>
      </c>
      <c r="C30" s="175">
        <f>C13+C17+C21+C27</f>
        <v>113771621</v>
      </c>
      <c r="D30" s="175">
        <f>D13+D17+D21+D27</f>
        <v>110467820</v>
      </c>
      <c r="E30" s="176">
        <f>D30/C30</f>
        <v>0.97096111516245343</v>
      </c>
      <c r="F30" s="175">
        <f>F13+F17+F21+F27</f>
        <v>0</v>
      </c>
      <c r="G30" s="175">
        <f>G13+G17+G21+G27</f>
        <v>0</v>
      </c>
      <c r="H30" s="175">
        <f>H13+H17+H21+H27</f>
        <v>0</v>
      </c>
      <c r="I30" s="176">
        <v>0</v>
      </c>
      <c r="J30" s="175">
        <f>J13+J17+J21+J27</f>
        <v>0</v>
      </c>
      <c r="K30" s="175">
        <f>K13+K17+K21+K27</f>
        <v>0</v>
      </c>
      <c r="L30" s="175">
        <f>L13+L17+L21+L27</f>
        <v>0</v>
      </c>
      <c r="M30" s="176">
        <v>0</v>
      </c>
      <c r="N30" s="175">
        <f>N13+N17+N21+N27</f>
        <v>156550546</v>
      </c>
      <c r="O30" s="175">
        <f>O13+O17+O21+O27</f>
        <v>116041877</v>
      </c>
      <c r="P30" s="175">
        <f>P13+P17+P21+P27</f>
        <v>110421999</v>
      </c>
      <c r="Q30" s="176">
        <f t="shared" si="27"/>
        <v>0.95157025941591755</v>
      </c>
      <c r="R30" s="175">
        <f>R13+R17+R21+R27</f>
        <v>0</v>
      </c>
      <c r="S30" s="175">
        <f>S13+S17+S21+S27</f>
        <v>0</v>
      </c>
      <c r="T30" s="175">
        <f>T13+T17+T21+T27</f>
        <v>0</v>
      </c>
      <c r="U30" s="176">
        <v>0</v>
      </c>
      <c r="V30" s="174" t="s">
        <v>380</v>
      </c>
      <c r="W30" s="175">
        <f>W13+W17+W21+W27</f>
        <v>0</v>
      </c>
      <c r="X30" s="175">
        <f>X13+X17+X21+X27</f>
        <v>0</v>
      </c>
      <c r="Y30" s="175">
        <f>Y13+Y17+Y21+Y27</f>
        <v>0</v>
      </c>
      <c r="Z30" s="176">
        <v>0</v>
      </c>
      <c r="AA30" s="175">
        <f>AA13+AA17+AA21+AA27</f>
        <v>0</v>
      </c>
      <c r="AB30" s="175">
        <f>AB13+AB17+AB21+AB27</f>
        <v>0</v>
      </c>
      <c r="AC30" s="175">
        <f>AC13+AC17+AC21+AC27</f>
        <v>324015</v>
      </c>
      <c r="AD30" s="176">
        <v>0</v>
      </c>
      <c r="AE30" s="175">
        <f>AE13+AE17+AE21+AE27</f>
        <v>114167900</v>
      </c>
      <c r="AF30" s="175">
        <f>AF13+AF17+AF21+AF27</f>
        <v>11180564</v>
      </c>
      <c r="AG30" s="175">
        <f>AG13+AG17+AG21+AG27</f>
        <v>11180564</v>
      </c>
      <c r="AH30" s="176">
        <f>AG30/AF30</f>
        <v>1</v>
      </c>
      <c r="AI30" s="153">
        <f>AI13+AI17+AI21+AI27</f>
        <v>998343125</v>
      </c>
      <c r="AJ30" s="175">
        <f>AJ13+AJ17+AJ21+AJ27</f>
        <v>1058321499</v>
      </c>
      <c r="AK30" s="175">
        <f>AK13+AK17+AK21+AK27</f>
        <v>1058321499</v>
      </c>
      <c r="AL30" s="176">
        <f t="shared" si="28"/>
        <v>1</v>
      </c>
      <c r="AM30" s="174" t="s">
        <v>380</v>
      </c>
      <c r="AN30" s="175">
        <f>AN13+AN17+AN21+AN27</f>
        <v>1284561571</v>
      </c>
      <c r="AO30" s="175">
        <f>AO13+AO17+AO21+AO27</f>
        <v>1299315561</v>
      </c>
      <c r="AP30" s="175">
        <f>AP13+AP17+AP21+AP27</f>
        <v>1290391882</v>
      </c>
      <c r="AQ30" s="176">
        <f>AP30/AO30</f>
        <v>0.99313201560279007</v>
      </c>
      <c r="AR30" s="175">
        <f>AR13+AR17+AR21+AR27</f>
        <v>0</v>
      </c>
      <c r="AS30" s="175">
        <f>AS13+AS17+AS21+AS27</f>
        <v>0</v>
      </c>
      <c r="AT30" s="175">
        <f>AT13+AT17+AT21+AT27</f>
        <v>324015</v>
      </c>
      <c r="AU30" s="176">
        <v>0</v>
      </c>
      <c r="AV30" s="177">
        <f>AV13+AV17+AV21+AV27</f>
        <v>1284561571</v>
      </c>
      <c r="AW30" s="177">
        <f>AW13+AW17+AW21+AW27</f>
        <v>1299315561</v>
      </c>
      <c r="AX30" s="177">
        <f>AX13+AX17+AX21+AX27</f>
        <v>1290715897</v>
      </c>
      <c r="AY30" s="178">
        <f t="shared" si="31"/>
        <v>0.99338138920357311</v>
      </c>
      <c r="AZ30" s="150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</row>
    <row r="31" spans="1:79" s="145" customFormat="1" ht="48" thickBot="1">
      <c r="A31" s="179" t="s">
        <v>381</v>
      </c>
      <c r="B31" s="153">
        <f>SUM(B14+B18+B22+B23+B24+B28)</f>
        <v>0</v>
      </c>
      <c r="C31" s="153">
        <f>SUM(C14+C18+C22+C23+C24+C28)</f>
        <v>352089545</v>
      </c>
      <c r="D31" s="153">
        <f t="shared" ref="D31" si="35">SUM(D14+D18+D22+D23+D24+D28)</f>
        <v>352058327</v>
      </c>
      <c r="E31" s="148">
        <v>0</v>
      </c>
      <c r="F31" s="153">
        <f>SUM(F14+F18+F22+F23+F24+F28)</f>
        <v>0</v>
      </c>
      <c r="G31" s="153">
        <f>SUM(G14+G18+G22+G23+G24+G28)</f>
        <v>0</v>
      </c>
      <c r="H31" s="153">
        <f t="shared" ref="H31" si="36">SUM(H14+H18+H22+H23+H24+H28)</f>
        <v>0</v>
      </c>
      <c r="I31" s="148">
        <v>0</v>
      </c>
      <c r="J31" s="153">
        <f>SUM(J14+J18+J22+J23+J24+J28)</f>
        <v>0</v>
      </c>
      <c r="K31" s="153">
        <f>SUM(K14+K18+K22+K23+K24+K28)</f>
        <v>0</v>
      </c>
      <c r="L31" s="153">
        <f t="shared" ref="L31" si="37">SUM(L14+L18+L22+L23+L24+L28)</f>
        <v>0</v>
      </c>
      <c r="M31" s="148">
        <v>0</v>
      </c>
      <c r="N31" s="153">
        <f>SUM(N14+N18+N22+N23+N24+N28)</f>
        <v>0</v>
      </c>
      <c r="O31" s="153">
        <f>SUM(O14+O18+O22+O23+O24+O28)</f>
        <v>3483580</v>
      </c>
      <c r="P31" s="153">
        <f t="shared" ref="P31" si="38">SUM(P14+P18+P22+P23+P24+P28)</f>
        <v>3233174</v>
      </c>
      <c r="Q31" s="148">
        <v>0</v>
      </c>
      <c r="R31" s="153">
        <f>SUM(R14+R18+R22+R23+R24+R28)</f>
        <v>0</v>
      </c>
      <c r="S31" s="153">
        <f>SUM(S14+S18+S22+S23+S24+S28)</f>
        <v>0</v>
      </c>
      <c r="T31" s="153">
        <f t="shared" ref="T31" si="39">SUM(T14+T18+T22+T23+T24+T28)</f>
        <v>0</v>
      </c>
      <c r="U31" s="148">
        <v>0</v>
      </c>
      <c r="V31" s="179" t="s">
        <v>381</v>
      </c>
      <c r="W31" s="153">
        <f>SUM(W14+W18+W22+W23+W24+W28)</f>
        <v>0</v>
      </c>
      <c r="X31" s="153">
        <f>SUM(X14+X18+X22+X23+X24+X28)</f>
        <v>0</v>
      </c>
      <c r="Y31" s="153">
        <f t="shared" ref="Y31" si="40">SUM(Y14+Y18+Y22+Y23+Y24+Y28)</f>
        <v>0</v>
      </c>
      <c r="Z31" s="148">
        <v>0</v>
      </c>
      <c r="AA31" s="153">
        <f>SUM(AA14+AA18+AA22+AA23+AA24+AA28)</f>
        <v>0</v>
      </c>
      <c r="AB31" s="153">
        <f>SUM(AB14+AB18+AB22+AB23+AB24+AB28)</f>
        <v>0</v>
      </c>
      <c r="AC31" s="153">
        <f t="shared" ref="AC31" si="41">SUM(AC14+AC18+AC22+AC23+AC24+AC28)</f>
        <v>0</v>
      </c>
      <c r="AD31" s="148">
        <v>0</v>
      </c>
      <c r="AE31" s="153">
        <f>SUM(AE14+AE18+AE22+AE23+AE24+AE28)</f>
        <v>0</v>
      </c>
      <c r="AF31" s="153">
        <f>SUM(AF14+AF18+AF22+AF23+AF24+AF28)</f>
        <v>156561527</v>
      </c>
      <c r="AG31" s="153">
        <f t="shared" ref="AG31" si="42">SUM(AG14+AG18+AG22+AG23+AG24+AG28)</f>
        <v>156561527</v>
      </c>
      <c r="AH31" s="148">
        <v>0</v>
      </c>
      <c r="AI31" s="228">
        <f>SUM(AI14+AI18+AI22+AI23+AI24+AI28)</f>
        <v>0</v>
      </c>
      <c r="AJ31" s="153">
        <f>SUM(AJ14+AJ18+AJ22+AJ23+AJ24+AJ28)</f>
        <v>19350104</v>
      </c>
      <c r="AK31" s="153">
        <f t="shared" ref="AK31" si="43">SUM(AK14+AK18+AK22+AK23+AK24+AK28)</f>
        <v>19350104</v>
      </c>
      <c r="AL31" s="148">
        <v>0</v>
      </c>
      <c r="AM31" s="179" t="s">
        <v>381</v>
      </c>
      <c r="AN31" s="153">
        <f>SUM(AN14+AN18+AN22+AN23+AN24+AN28)</f>
        <v>0</v>
      </c>
      <c r="AO31" s="153">
        <f>SUM(AO14+AO18+AO22+AO23+AO24+AO28)</f>
        <v>417316856</v>
      </c>
      <c r="AP31" s="153">
        <f t="shared" ref="AP31" si="44">SUM(AP14+AP18+AP22+AP23+AP24+AP28)</f>
        <v>417035232</v>
      </c>
      <c r="AQ31" s="148">
        <v>0</v>
      </c>
      <c r="AR31" s="153">
        <f>SUM(AR14+AR18+AR22+AR23+AR24+AR28)</f>
        <v>0</v>
      </c>
      <c r="AS31" s="153">
        <f>SUM(AS14+AS18+AS22+AS23+AS24+AS28)</f>
        <v>114167900</v>
      </c>
      <c r="AT31" s="153">
        <f t="shared" ref="AT31" si="45">SUM(AT14+AT18+AT22+AT23+AT24+AT28)</f>
        <v>114167900</v>
      </c>
      <c r="AU31" s="148">
        <v>0</v>
      </c>
      <c r="AV31" s="153">
        <f>SUM(AV14+AV18+AV22+AV23+AV24+AV28)</f>
        <v>0</v>
      </c>
      <c r="AW31" s="153">
        <f>SUM(AW14+AW18+AW22+AW23+AW24+AW28)</f>
        <v>531484756</v>
      </c>
      <c r="AX31" s="153">
        <f t="shared" ref="AX31" si="46">SUM(AX14+AX18+AX22+AX23+AX24+AX28)</f>
        <v>531203132</v>
      </c>
      <c r="AY31" s="148">
        <v>0</v>
      </c>
      <c r="AZ31" s="150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</row>
    <row r="32" spans="1:79" s="145" customFormat="1" ht="32.25" thickBot="1">
      <c r="A32" s="154" t="s">
        <v>382</v>
      </c>
      <c r="B32" s="155">
        <f>B30+B31</f>
        <v>15500000</v>
      </c>
      <c r="C32" s="155">
        <f>C30+C31</f>
        <v>465861166</v>
      </c>
      <c r="D32" s="155">
        <f>D30+D31</f>
        <v>462526147</v>
      </c>
      <c r="E32" s="156">
        <f>D32/C32</f>
        <v>0.99284117405914019</v>
      </c>
      <c r="F32" s="155">
        <f>F30+F31</f>
        <v>0</v>
      </c>
      <c r="G32" s="155">
        <f>G30+G31</f>
        <v>0</v>
      </c>
      <c r="H32" s="155">
        <f>H30+H31</f>
        <v>0</v>
      </c>
      <c r="I32" s="156">
        <v>0</v>
      </c>
      <c r="J32" s="155">
        <f t="shared" ref="J32:L32" si="47">J30+J31</f>
        <v>0</v>
      </c>
      <c r="K32" s="155">
        <f t="shared" si="47"/>
        <v>0</v>
      </c>
      <c r="L32" s="155">
        <f t="shared" si="47"/>
        <v>0</v>
      </c>
      <c r="M32" s="156">
        <v>0</v>
      </c>
      <c r="N32" s="155">
        <f t="shared" ref="N32:P32" si="48">N30+N31</f>
        <v>156550546</v>
      </c>
      <c r="O32" s="155">
        <f t="shared" si="48"/>
        <v>119525457</v>
      </c>
      <c r="P32" s="155">
        <f t="shared" si="48"/>
        <v>113655173</v>
      </c>
      <c r="Q32" s="156">
        <f t="shared" si="27"/>
        <v>0.95088674708016385</v>
      </c>
      <c r="R32" s="155">
        <f t="shared" ref="R32:T32" si="49">R30+R31</f>
        <v>0</v>
      </c>
      <c r="S32" s="155">
        <f t="shared" si="49"/>
        <v>0</v>
      </c>
      <c r="T32" s="155">
        <f t="shared" si="49"/>
        <v>0</v>
      </c>
      <c r="U32" s="156">
        <v>0</v>
      </c>
      <c r="V32" s="154" t="s">
        <v>382</v>
      </c>
      <c r="W32" s="155">
        <f t="shared" ref="W32:Y32" si="50">W30+W31</f>
        <v>0</v>
      </c>
      <c r="X32" s="155">
        <f t="shared" si="50"/>
        <v>0</v>
      </c>
      <c r="Y32" s="155">
        <f t="shared" si="50"/>
        <v>0</v>
      </c>
      <c r="Z32" s="156">
        <v>0</v>
      </c>
      <c r="AA32" s="155">
        <f t="shared" ref="AA32:AC32" si="51">AA30+AA31</f>
        <v>0</v>
      </c>
      <c r="AB32" s="155">
        <f t="shared" si="51"/>
        <v>0</v>
      </c>
      <c r="AC32" s="155">
        <f t="shared" si="51"/>
        <v>324015</v>
      </c>
      <c r="AD32" s="156">
        <v>0</v>
      </c>
      <c r="AE32" s="155">
        <f t="shared" ref="AE32:AG32" si="52">AE30+AE31</f>
        <v>114167900</v>
      </c>
      <c r="AF32" s="155">
        <f t="shared" si="52"/>
        <v>167742091</v>
      </c>
      <c r="AG32" s="155">
        <f t="shared" si="52"/>
        <v>167742091</v>
      </c>
      <c r="AH32" s="156">
        <f>AG32/AF32</f>
        <v>1</v>
      </c>
      <c r="AI32" s="155">
        <f t="shared" ref="AI32:AK32" si="53">AI30+AI31</f>
        <v>998343125</v>
      </c>
      <c r="AJ32" s="155">
        <f t="shared" si="53"/>
        <v>1077671603</v>
      </c>
      <c r="AK32" s="155">
        <f t="shared" si="53"/>
        <v>1077671603</v>
      </c>
      <c r="AL32" s="156">
        <f t="shared" si="28"/>
        <v>1</v>
      </c>
      <c r="AM32" s="154" t="s">
        <v>382</v>
      </c>
      <c r="AN32" s="155">
        <f t="shared" ref="AN32:AP32" si="54">AN30+AN31</f>
        <v>1284561571</v>
      </c>
      <c r="AO32" s="155">
        <f t="shared" si="54"/>
        <v>1716632417</v>
      </c>
      <c r="AP32" s="155">
        <f t="shared" si="54"/>
        <v>1707427114</v>
      </c>
      <c r="AQ32" s="156">
        <f>AP32/AO32</f>
        <v>0.99463758058578011</v>
      </c>
      <c r="AR32" s="155">
        <f>AR30+AR31</f>
        <v>0</v>
      </c>
      <c r="AS32" s="155">
        <f>AS30+AS31</f>
        <v>114167900</v>
      </c>
      <c r="AT32" s="155">
        <f>AT30+AT31</f>
        <v>114491915</v>
      </c>
      <c r="AU32" s="156">
        <f>AT32/AS32</f>
        <v>1.0028380569319397</v>
      </c>
      <c r="AV32" s="155">
        <f t="shared" ref="AV32:AX32" si="55">AV30+AV31</f>
        <v>1284561571</v>
      </c>
      <c r="AW32" s="155">
        <f t="shared" si="55"/>
        <v>1830800317</v>
      </c>
      <c r="AX32" s="155">
        <f t="shared" si="55"/>
        <v>1821919029</v>
      </c>
      <c r="AY32" s="156">
        <f t="shared" si="31"/>
        <v>0.99514895867259123</v>
      </c>
      <c r="AZ32" s="157">
        <f>SUM(AG32+AK32)</f>
        <v>1245413694</v>
      </c>
      <c r="BA32" s="157">
        <f>SUM(AX32-AZ32)</f>
        <v>576505335</v>
      </c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</row>
    <row r="33" spans="1:79" s="145" customFormat="1" ht="15.75">
      <c r="A33" s="141" t="s">
        <v>383</v>
      </c>
      <c r="B33" s="153"/>
      <c r="C33" s="153"/>
      <c r="D33" s="153"/>
      <c r="E33" s="160"/>
      <c r="F33" s="153"/>
      <c r="G33" s="153"/>
      <c r="H33" s="153"/>
      <c r="I33" s="160"/>
      <c r="J33" s="153"/>
      <c r="K33" s="153"/>
      <c r="L33" s="153"/>
      <c r="M33" s="160"/>
      <c r="N33" s="153"/>
      <c r="O33" s="153"/>
      <c r="P33" s="153"/>
      <c r="Q33" s="160"/>
      <c r="R33" s="153"/>
      <c r="S33" s="153"/>
      <c r="T33" s="153"/>
      <c r="U33" s="160"/>
      <c r="V33" s="141" t="s">
        <v>383</v>
      </c>
      <c r="W33" s="153"/>
      <c r="X33" s="153"/>
      <c r="Y33" s="153"/>
      <c r="Z33" s="160"/>
      <c r="AA33" s="153"/>
      <c r="AB33" s="153"/>
      <c r="AC33" s="153"/>
      <c r="AD33" s="160"/>
      <c r="AE33" s="153"/>
      <c r="AF33" s="153"/>
      <c r="AG33" s="153"/>
      <c r="AH33" s="160"/>
      <c r="AI33" s="153"/>
      <c r="AJ33" s="153"/>
      <c r="AK33" s="153"/>
      <c r="AL33" s="160"/>
      <c r="AM33" s="141" t="s">
        <v>383</v>
      </c>
      <c r="AN33" s="153"/>
      <c r="AO33" s="153"/>
      <c r="AP33" s="153"/>
      <c r="AQ33" s="160"/>
      <c r="AR33" s="153"/>
      <c r="AS33" s="153"/>
      <c r="AT33" s="153"/>
      <c r="AU33" s="160"/>
      <c r="AV33" s="161"/>
      <c r="AW33" s="161"/>
      <c r="AX33" s="161"/>
      <c r="AY33" s="160"/>
      <c r="AZ33" s="150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</row>
    <row r="34" spans="1:79" s="145" customFormat="1" ht="15.75">
      <c r="A34" s="174" t="s">
        <v>371</v>
      </c>
      <c r="B34" s="153"/>
      <c r="C34" s="153">
        <v>4838165</v>
      </c>
      <c r="D34" s="147">
        <v>4838165</v>
      </c>
      <c r="E34" s="148">
        <f>D34/C34</f>
        <v>1</v>
      </c>
      <c r="F34" s="153"/>
      <c r="G34" s="153"/>
      <c r="H34" s="153"/>
      <c r="I34" s="148"/>
      <c r="J34" s="153"/>
      <c r="K34" s="153"/>
      <c r="L34" s="153"/>
      <c r="M34" s="148"/>
      <c r="N34" s="153">
        <v>13081000</v>
      </c>
      <c r="O34" s="153">
        <v>13081000</v>
      </c>
      <c r="P34" s="153">
        <v>12610454</v>
      </c>
      <c r="Q34" s="148">
        <f>P34/O34</f>
        <v>0.96402828529928908</v>
      </c>
      <c r="R34" s="153"/>
      <c r="S34" s="153"/>
      <c r="T34" s="153"/>
      <c r="U34" s="148"/>
      <c r="V34" s="174" t="s">
        <v>371</v>
      </c>
      <c r="W34" s="153"/>
      <c r="X34" s="153"/>
      <c r="Y34" s="153"/>
      <c r="Z34" s="148"/>
      <c r="AA34" s="153"/>
      <c r="AB34" s="153"/>
      <c r="AC34" s="153"/>
      <c r="AD34" s="148"/>
      <c r="AE34" s="153"/>
      <c r="AF34" s="153">
        <v>1152236</v>
      </c>
      <c r="AG34" s="153">
        <v>1152236</v>
      </c>
      <c r="AH34" s="148">
        <f>AG34/AF34</f>
        <v>1</v>
      </c>
      <c r="AI34" s="153">
        <v>298306747</v>
      </c>
      <c r="AJ34" s="153">
        <v>351524877</v>
      </c>
      <c r="AK34" s="153">
        <v>351524877</v>
      </c>
      <c r="AL34" s="148">
        <f>AK34/AJ34</f>
        <v>1</v>
      </c>
      <c r="AM34" s="174" t="s">
        <v>371</v>
      </c>
      <c r="AN34" s="147">
        <f>SUM(B34+J34+N34+W34+AI34)</f>
        <v>311387747</v>
      </c>
      <c r="AO34" s="147">
        <f>SUM(C34+K34+O34+X34+AJ34+AF34)</f>
        <v>370596278</v>
      </c>
      <c r="AP34" s="147">
        <f>SUM(D34+L34+P34+Y34+AK34+AG34)</f>
        <v>370125732</v>
      </c>
      <c r="AQ34" s="148">
        <f>AP34/AO34</f>
        <v>0.99873030025412179</v>
      </c>
      <c r="AR34" s="147">
        <f t="shared" ref="AR34:AT36" si="56">SUM(F34+R34+AA34)</f>
        <v>0</v>
      </c>
      <c r="AS34" s="147">
        <f t="shared" si="56"/>
        <v>0</v>
      </c>
      <c r="AT34" s="147">
        <f t="shared" si="56"/>
        <v>0</v>
      </c>
      <c r="AU34" s="148">
        <v>0</v>
      </c>
      <c r="AV34" s="149">
        <f>SUM(AN34+AR34)</f>
        <v>311387747</v>
      </c>
      <c r="AW34" s="149">
        <f t="shared" ref="AW34:AX36" si="57">SUM(AO34+AS34)</f>
        <v>370596278</v>
      </c>
      <c r="AX34" s="149">
        <f t="shared" si="57"/>
        <v>370125732</v>
      </c>
      <c r="AY34" s="148">
        <f>AX34/AW34</f>
        <v>0.99873030025412179</v>
      </c>
      <c r="AZ34" s="150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</row>
    <row r="35" spans="1:79" s="145" customFormat="1" ht="15.75">
      <c r="A35" s="151" t="s">
        <v>372</v>
      </c>
      <c r="B35" s="152">
        <v>96776076</v>
      </c>
      <c r="C35" s="152">
        <v>135793028</v>
      </c>
      <c r="D35" s="152">
        <v>135793028</v>
      </c>
      <c r="E35" s="148">
        <f>D35/C35</f>
        <v>1</v>
      </c>
      <c r="F35" s="152"/>
      <c r="G35" s="152"/>
      <c r="H35" s="152"/>
      <c r="I35" s="181"/>
      <c r="J35" s="152"/>
      <c r="K35" s="152"/>
      <c r="L35" s="152"/>
      <c r="M35" s="181"/>
      <c r="N35" s="152"/>
      <c r="O35" s="152"/>
      <c r="P35" s="152"/>
      <c r="Q35" s="181"/>
      <c r="R35" s="152"/>
      <c r="S35" s="152"/>
      <c r="T35" s="152"/>
      <c r="U35" s="181"/>
      <c r="V35" s="151" t="s">
        <v>372</v>
      </c>
      <c r="W35" s="152"/>
      <c r="X35" s="152"/>
      <c r="Y35" s="152"/>
      <c r="Z35" s="181"/>
      <c r="AA35" s="152"/>
      <c r="AB35" s="152"/>
      <c r="AC35" s="152"/>
      <c r="AD35" s="181"/>
      <c r="AE35" s="152"/>
      <c r="AF35" s="152"/>
      <c r="AG35" s="152"/>
      <c r="AH35" s="181"/>
      <c r="AI35" s="152"/>
      <c r="AJ35" s="152"/>
      <c r="AK35" s="152"/>
      <c r="AL35" s="148"/>
      <c r="AM35" s="151" t="s">
        <v>372</v>
      </c>
      <c r="AN35" s="147">
        <f>SUM(B35+J35+N35+W35+AI35)</f>
        <v>96776076</v>
      </c>
      <c r="AO35" s="147">
        <f>SUM(C35+K35+O35+X35+AJ35)</f>
        <v>135793028</v>
      </c>
      <c r="AP35" s="147">
        <f>SUM(D35+L35+P35+Y35+AK35)</f>
        <v>135793028</v>
      </c>
      <c r="AQ35" s="148">
        <f t="shared" ref="AQ35:AQ36" si="58">AP35/AO35</f>
        <v>1</v>
      </c>
      <c r="AR35" s="147">
        <f t="shared" si="56"/>
        <v>0</v>
      </c>
      <c r="AS35" s="147">
        <f t="shared" si="56"/>
        <v>0</v>
      </c>
      <c r="AT35" s="147">
        <f t="shared" si="56"/>
        <v>0</v>
      </c>
      <c r="AU35" s="181">
        <v>0</v>
      </c>
      <c r="AV35" s="149">
        <f>SUM(AN35+AR35)</f>
        <v>96776076</v>
      </c>
      <c r="AW35" s="149">
        <f t="shared" si="57"/>
        <v>135793028</v>
      </c>
      <c r="AX35" s="149">
        <f t="shared" si="57"/>
        <v>135793028</v>
      </c>
      <c r="AY35" s="148">
        <f t="shared" ref="AY35:AY36" si="59">AX35/AW35</f>
        <v>1</v>
      </c>
      <c r="AZ35" s="150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</row>
    <row r="36" spans="1:79" s="171" customFormat="1" ht="16.5" thickBot="1">
      <c r="A36" s="172" t="s">
        <v>384</v>
      </c>
      <c r="B36" s="173"/>
      <c r="C36" s="173">
        <v>5830038</v>
      </c>
      <c r="D36" s="173">
        <v>5830038</v>
      </c>
      <c r="E36" s="148">
        <f>D36/C36</f>
        <v>1</v>
      </c>
      <c r="F36" s="173"/>
      <c r="G36" s="173"/>
      <c r="H36" s="173"/>
      <c r="I36" s="182"/>
      <c r="J36" s="173"/>
      <c r="K36" s="173"/>
      <c r="L36" s="173">
        <v>5000</v>
      </c>
      <c r="M36" s="514">
        <v>0</v>
      </c>
      <c r="N36" s="173"/>
      <c r="O36" s="173"/>
      <c r="P36" s="173"/>
      <c r="Q36" s="182"/>
      <c r="R36" s="173"/>
      <c r="S36" s="173"/>
      <c r="T36" s="173"/>
      <c r="U36" s="182"/>
      <c r="V36" s="172" t="s">
        <v>384</v>
      </c>
      <c r="W36" s="173"/>
      <c r="X36" s="173"/>
      <c r="Y36" s="173"/>
      <c r="Z36" s="182"/>
      <c r="AA36" s="173"/>
      <c r="AB36" s="173"/>
      <c r="AC36" s="173"/>
      <c r="AD36" s="182"/>
      <c r="AE36" s="173"/>
      <c r="AF36" s="173"/>
      <c r="AG36" s="173"/>
      <c r="AH36" s="182"/>
      <c r="AI36" s="173"/>
      <c r="AJ36" s="173">
        <v>534185</v>
      </c>
      <c r="AK36" s="173">
        <v>534185</v>
      </c>
      <c r="AL36" s="182">
        <v>0</v>
      </c>
      <c r="AM36" s="172" t="s">
        <v>384</v>
      </c>
      <c r="AN36" s="165">
        <f>SUM(B36+J36+N36+W36+AI36)</f>
        <v>0</v>
      </c>
      <c r="AO36" s="165">
        <f>SUM(C36+K36+O36+X36+AJ36)</f>
        <v>6364223</v>
      </c>
      <c r="AP36" s="165">
        <f>SUM(D36+L36+P36+Y36+AK36)</f>
        <v>6369223</v>
      </c>
      <c r="AQ36" s="148">
        <f t="shared" si="58"/>
        <v>1.0007856418607581</v>
      </c>
      <c r="AR36" s="165">
        <f t="shared" si="56"/>
        <v>0</v>
      </c>
      <c r="AS36" s="165">
        <f t="shared" si="56"/>
        <v>0</v>
      </c>
      <c r="AT36" s="165">
        <f t="shared" si="56"/>
        <v>0</v>
      </c>
      <c r="AU36" s="182">
        <v>0</v>
      </c>
      <c r="AV36" s="149">
        <f>SUM(AN36+AR36)</f>
        <v>0</v>
      </c>
      <c r="AW36" s="149">
        <f>SUM(AO36+AS36)</f>
        <v>6364223</v>
      </c>
      <c r="AX36" s="149">
        <f t="shared" si="57"/>
        <v>6369223</v>
      </c>
      <c r="AY36" s="148">
        <f t="shared" si="59"/>
        <v>1.0007856418607581</v>
      </c>
      <c r="AZ36" s="169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</row>
    <row r="37" spans="1:79" s="145" customFormat="1" ht="16.5" thickBot="1">
      <c r="A37" s="154" t="s">
        <v>385</v>
      </c>
      <c r="B37" s="155">
        <f>SUM(B34:B36)</f>
        <v>96776076</v>
      </c>
      <c r="C37" s="155">
        <f>SUM(C34:C36)</f>
        <v>146461231</v>
      </c>
      <c r="D37" s="155">
        <f>D35+D36+D34</f>
        <v>146461231</v>
      </c>
      <c r="E37" s="156">
        <f>D37/C37</f>
        <v>1</v>
      </c>
      <c r="F37" s="155">
        <f t="shared" ref="F37:AI37" si="60">SUM(F34:F36)</f>
        <v>0</v>
      </c>
      <c r="G37" s="155">
        <f t="shared" ref="G37:H37" si="61">SUM(G34:G36)</f>
        <v>0</v>
      </c>
      <c r="H37" s="155">
        <f t="shared" si="61"/>
        <v>0</v>
      </c>
      <c r="I37" s="156">
        <v>0</v>
      </c>
      <c r="J37" s="155">
        <f t="shared" si="60"/>
        <v>0</v>
      </c>
      <c r="K37" s="155">
        <f t="shared" ref="K37:L37" si="62">SUM(K34:K36)</f>
        <v>0</v>
      </c>
      <c r="L37" s="155">
        <f t="shared" si="62"/>
        <v>5000</v>
      </c>
      <c r="M37" s="156">
        <v>0</v>
      </c>
      <c r="N37" s="155">
        <f t="shared" si="60"/>
        <v>13081000</v>
      </c>
      <c r="O37" s="155">
        <f t="shared" ref="O37:P37" si="63">SUM(O34:O36)</f>
        <v>13081000</v>
      </c>
      <c r="P37" s="155">
        <f t="shared" si="63"/>
        <v>12610454</v>
      </c>
      <c r="Q37" s="156">
        <f>P37/O37</f>
        <v>0.96402828529928908</v>
      </c>
      <c r="R37" s="155">
        <f t="shared" si="60"/>
        <v>0</v>
      </c>
      <c r="S37" s="155">
        <f t="shared" ref="S37:T37" si="64">SUM(S34:S36)</f>
        <v>0</v>
      </c>
      <c r="T37" s="155">
        <f t="shared" si="64"/>
        <v>0</v>
      </c>
      <c r="U37" s="156">
        <v>0</v>
      </c>
      <c r="V37" s="154" t="s">
        <v>385</v>
      </c>
      <c r="W37" s="155">
        <f t="shared" si="60"/>
        <v>0</v>
      </c>
      <c r="X37" s="155">
        <f t="shared" ref="X37:Y37" si="65">SUM(X34:X36)</f>
        <v>0</v>
      </c>
      <c r="Y37" s="155">
        <f t="shared" si="65"/>
        <v>0</v>
      </c>
      <c r="Z37" s="156">
        <v>0</v>
      </c>
      <c r="AA37" s="155">
        <f t="shared" si="60"/>
        <v>0</v>
      </c>
      <c r="AB37" s="155">
        <f t="shared" ref="AB37:AC37" si="66">SUM(AB34:AB36)</f>
        <v>0</v>
      </c>
      <c r="AC37" s="155">
        <f t="shared" si="66"/>
        <v>0</v>
      </c>
      <c r="AD37" s="156">
        <v>0</v>
      </c>
      <c r="AE37" s="155">
        <f t="shared" si="60"/>
        <v>0</v>
      </c>
      <c r="AF37" s="155">
        <f t="shared" ref="AF37:AG37" si="67">SUM(AF34:AF36)</f>
        <v>1152236</v>
      </c>
      <c r="AG37" s="155">
        <f t="shared" si="67"/>
        <v>1152236</v>
      </c>
      <c r="AH37" s="156">
        <f>AG37/AF37</f>
        <v>1</v>
      </c>
      <c r="AI37" s="155">
        <f t="shared" si="60"/>
        <v>298306747</v>
      </c>
      <c r="AJ37" s="155">
        <f>SUM(AJ34:AJ36)</f>
        <v>352059062</v>
      </c>
      <c r="AK37" s="155">
        <f t="shared" ref="AK37" si="68">SUM(AK34:AK36)</f>
        <v>352059062</v>
      </c>
      <c r="AL37" s="156">
        <f>AK37/AJ37</f>
        <v>1</v>
      </c>
      <c r="AM37" s="154" t="s">
        <v>385</v>
      </c>
      <c r="AN37" s="155">
        <f>SUM(AN34:AN36)</f>
        <v>408163823</v>
      </c>
      <c r="AO37" s="155">
        <f t="shared" ref="AO37" si="69">SUM(AO34:AO36)</f>
        <v>512753529</v>
      </c>
      <c r="AP37" s="155">
        <f>SUM(AP34:AP36)</f>
        <v>512287983</v>
      </c>
      <c r="AQ37" s="156">
        <f>AP37/AO37</f>
        <v>0.99909206670716055</v>
      </c>
      <c r="AR37" s="155">
        <f>SUM(AR34:AR36)</f>
        <v>0</v>
      </c>
      <c r="AS37" s="155">
        <f t="shared" ref="AS37" si="70">SUM(AS34:AS36)</f>
        <v>0</v>
      </c>
      <c r="AT37" s="155">
        <f>SUM(AT34:AT36)</f>
        <v>0</v>
      </c>
      <c r="AU37" s="156">
        <v>0</v>
      </c>
      <c r="AV37" s="155">
        <f>SUM(AV34:AV36)</f>
        <v>408163823</v>
      </c>
      <c r="AW37" s="155">
        <f>SUM(AW34:AW36)</f>
        <v>512753529</v>
      </c>
      <c r="AX37" s="155">
        <f>SUM(AX34:AX36)</f>
        <v>512287983</v>
      </c>
      <c r="AY37" s="156">
        <f>AX37/AW37</f>
        <v>0.99909206670716055</v>
      </c>
      <c r="AZ37" s="157">
        <f>SUM(AG37+AK37)</f>
        <v>353211298</v>
      </c>
      <c r="BA37" s="157">
        <f>SUM(AX37-AZ37)</f>
        <v>159076685</v>
      </c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</row>
    <row r="38" spans="1:79" s="145" customFormat="1" ht="16.5" thickBot="1">
      <c r="A38" s="183" t="s">
        <v>386</v>
      </c>
      <c r="B38" s="177">
        <f t="shared" ref="B38:D39" si="71">B30+B34</f>
        <v>15500000</v>
      </c>
      <c r="C38" s="177">
        <f t="shared" si="71"/>
        <v>118609786</v>
      </c>
      <c r="D38" s="177">
        <f t="shared" si="71"/>
        <v>115305985</v>
      </c>
      <c r="E38" s="160">
        <f t="shared" ref="E38" si="72">D38/C38</f>
        <v>0.97214562886067424</v>
      </c>
      <c r="F38" s="177">
        <f t="shared" ref="F38:O38" si="73">SUM(F30,F34)</f>
        <v>0</v>
      </c>
      <c r="G38" s="177">
        <f t="shared" si="73"/>
        <v>0</v>
      </c>
      <c r="H38" s="177">
        <f>H30+H34</f>
        <v>0</v>
      </c>
      <c r="I38" s="160">
        <v>0</v>
      </c>
      <c r="J38" s="177">
        <f t="shared" si="73"/>
        <v>0</v>
      </c>
      <c r="K38" s="177">
        <f t="shared" si="73"/>
        <v>0</v>
      </c>
      <c r="L38" s="177">
        <f>L30+L34</f>
        <v>0</v>
      </c>
      <c r="M38" s="160">
        <v>0</v>
      </c>
      <c r="N38" s="177">
        <f t="shared" si="73"/>
        <v>169631546</v>
      </c>
      <c r="O38" s="177">
        <f t="shared" si="73"/>
        <v>129122877</v>
      </c>
      <c r="P38" s="177">
        <f>P30+P34</f>
        <v>123032453</v>
      </c>
      <c r="Q38" s="160">
        <f t="shared" ref="Q38:Q39" si="74">P38/O38</f>
        <v>0.95283233969453762</v>
      </c>
      <c r="R38" s="177">
        <f>R30+R34</f>
        <v>0</v>
      </c>
      <c r="S38" s="177">
        <f>S30+S34</f>
        <v>0</v>
      </c>
      <c r="T38" s="177">
        <f>T30+T34</f>
        <v>0</v>
      </c>
      <c r="U38" s="160">
        <v>0</v>
      </c>
      <c r="V38" s="183" t="s">
        <v>386</v>
      </c>
      <c r="W38" s="161">
        <f>SUM(W30,W34)</f>
        <v>0</v>
      </c>
      <c r="X38" s="161">
        <f>SUM(X30,X34)</f>
        <v>0</v>
      </c>
      <c r="Y38" s="177">
        <f>Y30+Y34</f>
        <v>0</v>
      </c>
      <c r="Z38" s="160">
        <v>0</v>
      </c>
      <c r="AA38" s="161"/>
      <c r="AB38" s="161"/>
      <c r="AC38" s="177">
        <f>AC30+AC34</f>
        <v>324015</v>
      </c>
      <c r="AD38" s="160">
        <v>0</v>
      </c>
      <c r="AE38" s="161">
        <f t="shared" ref="AE38:AF38" si="75">SUM(AE30,AE34)</f>
        <v>114167900</v>
      </c>
      <c r="AF38" s="161">
        <f t="shared" si="75"/>
        <v>12332800</v>
      </c>
      <c r="AG38" s="177">
        <f>AG30+AG34</f>
        <v>12332800</v>
      </c>
      <c r="AH38" s="160">
        <f t="shared" ref="AH38" si="76">AG38/AF38</f>
        <v>1</v>
      </c>
      <c r="AI38" s="161">
        <f>SUM(AI30,AI34)</f>
        <v>1296649872</v>
      </c>
      <c r="AJ38" s="161">
        <f>SUM(AJ30,AJ34)</f>
        <v>1409846376</v>
      </c>
      <c r="AK38" s="177">
        <f>AK30+AK34</f>
        <v>1409846376</v>
      </c>
      <c r="AL38" s="160">
        <f t="shared" ref="AL38:AL39" si="77">AK38/AJ38</f>
        <v>1</v>
      </c>
      <c r="AM38" s="183" t="s">
        <v>386</v>
      </c>
      <c r="AN38" s="161">
        <f>SUM(AN30,AN34)</f>
        <v>1595949318</v>
      </c>
      <c r="AO38" s="185">
        <f>SUM(AO30,AO34)</f>
        <v>1669911839</v>
      </c>
      <c r="AP38" s="177">
        <f>AP30+AP34</f>
        <v>1660517614</v>
      </c>
      <c r="AQ38" s="160">
        <f t="shared" ref="AQ38:AQ40" si="78">AP38/AO38</f>
        <v>0.99437441858869291</v>
      </c>
      <c r="AR38" s="161">
        <f>SUM(AR30,AR34)</f>
        <v>0</v>
      </c>
      <c r="AS38" s="185">
        <f>SUM(AS30,AS34)</f>
        <v>0</v>
      </c>
      <c r="AT38" s="177">
        <f>AT30+AT34</f>
        <v>324015</v>
      </c>
      <c r="AU38" s="160">
        <v>0</v>
      </c>
      <c r="AV38" s="185">
        <f t="shared" ref="AV38:AV40" si="79">SUM(AN38+AR38)</f>
        <v>1595949318</v>
      </c>
      <c r="AW38" s="185">
        <f>SUM(AO38+AS38)</f>
        <v>1669911839</v>
      </c>
      <c r="AX38" s="185">
        <f>SUM(AP38+AT38)</f>
        <v>1660841629</v>
      </c>
      <c r="AY38" s="176">
        <f t="shared" ref="AY38:AY40" si="80">AX38/AW38</f>
        <v>0.99456844978988135</v>
      </c>
      <c r="AZ38" s="150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</row>
    <row r="39" spans="1:79" ht="32.25" thickBot="1">
      <c r="A39" s="184" t="s">
        <v>387</v>
      </c>
      <c r="B39" s="161">
        <f t="shared" si="71"/>
        <v>96776076</v>
      </c>
      <c r="C39" s="161">
        <f t="shared" si="71"/>
        <v>487882573</v>
      </c>
      <c r="D39" s="161">
        <f t="shared" si="71"/>
        <v>487851355</v>
      </c>
      <c r="E39" s="176">
        <v>0</v>
      </c>
      <c r="F39" s="161">
        <f t="shared" ref="F39:AJ39" si="81">F31+F35</f>
        <v>0</v>
      </c>
      <c r="G39" s="161">
        <f t="shared" si="81"/>
        <v>0</v>
      </c>
      <c r="H39" s="161">
        <f>H31+H35</f>
        <v>0</v>
      </c>
      <c r="I39" s="176">
        <v>0</v>
      </c>
      <c r="J39" s="161">
        <f t="shared" si="81"/>
        <v>0</v>
      </c>
      <c r="K39" s="161">
        <f t="shared" si="81"/>
        <v>0</v>
      </c>
      <c r="L39" s="161">
        <f>L31+L35</f>
        <v>0</v>
      </c>
      <c r="M39" s="176">
        <v>0</v>
      </c>
      <c r="N39" s="161">
        <f>N31+N35</f>
        <v>0</v>
      </c>
      <c r="O39" s="161">
        <f t="shared" si="81"/>
        <v>3483580</v>
      </c>
      <c r="P39" s="161">
        <f>P31+P35</f>
        <v>3233174</v>
      </c>
      <c r="Q39" s="176">
        <f t="shared" si="74"/>
        <v>0.92811820024227953</v>
      </c>
      <c r="R39" s="161">
        <f t="shared" si="81"/>
        <v>0</v>
      </c>
      <c r="S39" s="161">
        <f t="shared" si="81"/>
        <v>0</v>
      </c>
      <c r="T39" s="161">
        <f>T31+T35</f>
        <v>0</v>
      </c>
      <c r="U39" s="176">
        <v>0</v>
      </c>
      <c r="V39" s="184" t="s">
        <v>387</v>
      </c>
      <c r="W39" s="185">
        <f t="shared" si="81"/>
        <v>0</v>
      </c>
      <c r="X39" s="185">
        <f t="shared" si="81"/>
        <v>0</v>
      </c>
      <c r="Y39" s="161">
        <f>Y31+Y35</f>
        <v>0</v>
      </c>
      <c r="Z39" s="176">
        <v>0</v>
      </c>
      <c r="AA39" s="185">
        <f t="shared" si="81"/>
        <v>0</v>
      </c>
      <c r="AB39" s="185">
        <f t="shared" si="81"/>
        <v>0</v>
      </c>
      <c r="AC39" s="161">
        <f>AC31+AC35</f>
        <v>0</v>
      </c>
      <c r="AD39" s="176">
        <v>0</v>
      </c>
      <c r="AE39" s="185">
        <f t="shared" si="81"/>
        <v>0</v>
      </c>
      <c r="AF39" s="185">
        <f t="shared" si="81"/>
        <v>156561527</v>
      </c>
      <c r="AG39" s="161">
        <f>AG31+AG35</f>
        <v>156561527</v>
      </c>
      <c r="AH39" s="176">
        <v>0</v>
      </c>
      <c r="AI39" s="185">
        <f t="shared" si="81"/>
        <v>0</v>
      </c>
      <c r="AJ39" s="185">
        <f t="shared" si="81"/>
        <v>19350104</v>
      </c>
      <c r="AK39" s="161">
        <f>AK31+AK35</f>
        <v>19350104</v>
      </c>
      <c r="AL39" s="176">
        <f t="shared" si="77"/>
        <v>1</v>
      </c>
      <c r="AM39" s="184" t="s">
        <v>387</v>
      </c>
      <c r="AN39" s="186">
        <f>SUM(B39+J39+N39+W39+AI39)</f>
        <v>96776076</v>
      </c>
      <c r="AO39" s="161">
        <f>SUM(AO31,AO35)</f>
        <v>553109884</v>
      </c>
      <c r="AP39" s="161">
        <f>AP31+AP35</f>
        <v>552828260</v>
      </c>
      <c r="AQ39" s="176">
        <f t="shared" si="78"/>
        <v>0.99949083535090111</v>
      </c>
      <c r="AR39" s="186">
        <v>0</v>
      </c>
      <c r="AS39" s="161">
        <f>SUM(AS31,AS35)</f>
        <v>114167900</v>
      </c>
      <c r="AT39" s="161">
        <f>AT31+AT35</f>
        <v>114167900</v>
      </c>
      <c r="AU39" s="176">
        <f t="shared" ref="AU39" si="82">AT39/AS39</f>
        <v>1</v>
      </c>
      <c r="AV39" s="161">
        <f t="shared" si="79"/>
        <v>96776076</v>
      </c>
      <c r="AW39" s="161">
        <f>SUM(AO39+AS39)</f>
        <v>667277784</v>
      </c>
      <c r="AX39" s="161">
        <f>SUM(AP39+AT39)</f>
        <v>666996160</v>
      </c>
      <c r="AY39" s="277">
        <f t="shared" si="80"/>
        <v>0.99957795088229706</v>
      </c>
      <c r="AZ39" s="150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</row>
    <row r="40" spans="1:79" ht="32.25" thickBot="1">
      <c r="A40" s="187" t="s">
        <v>388</v>
      </c>
      <c r="B40" s="186">
        <f>SUM(B36)</f>
        <v>0</v>
      </c>
      <c r="C40" s="186">
        <f>SUM(C36)</f>
        <v>5830038</v>
      </c>
      <c r="D40" s="186">
        <f>SUM(D36)</f>
        <v>5830038</v>
      </c>
      <c r="E40" s="176">
        <v>0</v>
      </c>
      <c r="F40" s="186">
        <f t="shared" ref="F40:AO40" si="83">SUM(F36)</f>
        <v>0</v>
      </c>
      <c r="G40" s="186">
        <f t="shared" si="83"/>
        <v>0</v>
      </c>
      <c r="H40" s="186">
        <f>SUM(H36)</f>
        <v>0</v>
      </c>
      <c r="I40" s="176">
        <v>0</v>
      </c>
      <c r="J40" s="186">
        <f t="shared" si="83"/>
        <v>0</v>
      </c>
      <c r="K40" s="186">
        <f t="shared" si="83"/>
        <v>0</v>
      </c>
      <c r="L40" s="186">
        <f>SUM(L36)</f>
        <v>5000</v>
      </c>
      <c r="M40" s="176">
        <v>0</v>
      </c>
      <c r="N40" s="186">
        <f t="shared" si="83"/>
        <v>0</v>
      </c>
      <c r="O40" s="186">
        <f t="shared" si="83"/>
        <v>0</v>
      </c>
      <c r="P40" s="186">
        <f>SUM(P36)</f>
        <v>0</v>
      </c>
      <c r="Q40" s="176">
        <v>0</v>
      </c>
      <c r="R40" s="186">
        <f t="shared" si="83"/>
        <v>0</v>
      </c>
      <c r="S40" s="186">
        <f t="shared" si="83"/>
        <v>0</v>
      </c>
      <c r="T40" s="186">
        <f>SUM(T36)</f>
        <v>0</v>
      </c>
      <c r="U40" s="176">
        <v>0</v>
      </c>
      <c r="V40" s="187" t="s">
        <v>388</v>
      </c>
      <c r="W40" s="186">
        <f t="shared" si="83"/>
        <v>0</v>
      </c>
      <c r="X40" s="186">
        <f t="shared" si="83"/>
        <v>0</v>
      </c>
      <c r="Y40" s="186">
        <f>SUM(Y36)</f>
        <v>0</v>
      </c>
      <c r="Z40" s="176">
        <v>0</v>
      </c>
      <c r="AA40" s="186">
        <f t="shared" si="83"/>
        <v>0</v>
      </c>
      <c r="AB40" s="186">
        <f t="shared" si="83"/>
        <v>0</v>
      </c>
      <c r="AC40" s="186">
        <f>SUM(AC36)</f>
        <v>0</v>
      </c>
      <c r="AD40" s="176">
        <v>0</v>
      </c>
      <c r="AE40" s="186">
        <f t="shared" si="83"/>
        <v>0</v>
      </c>
      <c r="AF40" s="186">
        <f t="shared" si="83"/>
        <v>0</v>
      </c>
      <c r="AG40" s="186">
        <f>SUM(AG36)</f>
        <v>0</v>
      </c>
      <c r="AH40" s="176">
        <v>0</v>
      </c>
      <c r="AI40" s="186">
        <f t="shared" si="83"/>
        <v>0</v>
      </c>
      <c r="AJ40" s="186">
        <f t="shared" si="83"/>
        <v>534185</v>
      </c>
      <c r="AK40" s="186">
        <f>SUM(AK36)</f>
        <v>534185</v>
      </c>
      <c r="AL40" s="176">
        <v>0</v>
      </c>
      <c r="AM40" s="187" t="s">
        <v>388</v>
      </c>
      <c r="AN40" s="186">
        <f t="shared" si="83"/>
        <v>0</v>
      </c>
      <c r="AO40" s="186">
        <f t="shared" si="83"/>
        <v>6364223</v>
      </c>
      <c r="AP40" s="186">
        <f>SUM(AP36)</f>
        <v>6369223</v>
      </c>
      <c r="AQ40" s="176">
        <f t="shared" si="78"/>
        <v>1.0007856418607581</v>
      </c>
      <c r="AR40" s="186">
        <f t="shared" ref="AR40:AS40" si="84">SUM(AR36)</f>
        <v>0</v>
      </c>
      <c r="AS40" s="186">
        <f t="shared" si="84"/>
        <v>0</v>
      </c>
      <c r="AT40" s="186">
        <f>SUM(AT36)</f>
        <v>0</v>
      </c>
      <c r="AU40" s="176">
        <v>0</v>
      </c>
      <c r="AV40" s="185">
        <f t="shared" si="79"/>
        <v>0</v>
      </c>
      <c r="AW40" s="185">
        <f>SUM(AW36)</f>
        <v>6364223</v>
      </c>
      <c r="AX40" s="185">
        <f t="shared" ref="AX40" si="85">SUM(AX36)</f>
        <v>6369223</v>
      </c>
      <c r="AY40" s="176">
        <f t="shared" si="80"/>
        <v>1.0007856418607581</v>
      </c>
      <c r="AZ40" s="150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</row>
    <row r="41" spans="1:79" s="190" customFormat="1" ht="16.5" thickBot="1">
      <c r="A41" s="188" t="s">
        <v>389</v>
      </c>
      <c r="B41" s="189">
        <f>B38+B39+B40</f>
        <v>112276076</v>
      </c>
      <c r="C41" s="189">
        <f>C38+C39+C40</f>
        <v>612322397</v>
      </c>
      <c r="D41" s="189">
        <f>D38+D39+D40</f>
        <v>608987378</v>
      </c>
      <c r="E41" s="156">
        <f>D41/C41</f>
        <v>0.99455349172863916</v>
      </c>
      <c r="F41" s="189">
        <f t="shared" ref="F41:AN41" si="86">F38+F39+F40</f>
        <v>0</v>
      </c>
      <c r="G41" s="189">
        <f t="shared" si="86"/>
        <v>0</v>
      </c>
      <c r="H41" s="189">
        <f>H38+H39+H40</f>
        <v>0</v>
      </c>
      <c r="I41" s="156">
        <v>0</v>
      </c>
      <c r="J41" s="189">
        <f t="shared" si="86"/>
        <v>0</v>
      </c>
      <c r="K41" s="189">
        <f t="shared" si="86"/>
        <v>0</v>
      </c>
      <c r="L41" s="189">
        <f>L38+L39+L40</f>
        <v>5000</v>
      </c>
      <c r="M41" s="156">
        <v>0</v>
      </c>
      <c r="N41" s="189">
        <f t="shared" si="86"/>
        <v>169631546</v>
      </c>
      <c r="O41" s="189">
        <f t="shared" si="86"/>
        <v>132606457</v>
      </c>
      <c r="P41" s="189">
        <f>P38+P39+P40</f>
        <v>126265627</v>
      </c>
      <c r="Q41" s="156">
        <f>P41/O41</f>
        <v>0.95218309769033338</v>
      </c>
      <c r="R41" s="189">
        <f t="shared" si="86"/>
        <v>0</v>
      </c>
      <c r="S41" s="189">
        <f t="shared" si="86"/>
        <v>0</v>
      </c>
      <c r="T41" s="189">
        <f>T38+T39+T40</f>
        <v>0</v>
      </c>
      <c r="U41" s="156">
        <v>0</v>
      </c>
      <c r="V41" s="188" t="s">
        <v>389</v>
      </c>
      <c r="W41" s="189">
        <f t="shared" si="86"/>
        <v>0</v>
      </c>
      <c r="X41" s="189">
        <f t="shared" si="86"/>
        <v>0</v>
      </c>
      <c r="Y41" s="189">
        <f>Y38+Y39+Y40</f>
        <v>0</v>
      </c>
      <c r="Z41" s="156">
        <v>0</v>
      </c>
      <c r="AA41" s="189">
        <f t="shared" si="86"/>
        <v>0</v>
      </c>
      <c r="AB41" s="189">
        <f t="shared" si="86"/>
        <v>0</v>
      </c>
      <c r="AC41" s="189">
        <f>AC38+AC39+AC40</f>
        <v>324015</v>
      </c>
      <c r="AD41" s="156">
        <v>0</v>
      </c>
      <c r="AE41" s="189">
        <f t="shared" si="86"/>
        <v>114167900</v>
      </c>
      <c r="AF41" s="189">
        <f t="shared" si="86"/>
        <v>168894327</v>
      </c>
      <c r="AG41" s="189">
        <f>AG38+AG39+AG40</f>
        <v>168894327</v>
      </c>
      <c r="AH41" s="156">
        <f>AG41/AF41</f>
        <v>1</v>
      </c>
      <c r="AI41" s="189">
        <f>AI38+AI39+AI40</f>
        <v>1296649872</v>
      </c>
      <c r="AJ41" s="189">
        <f t="shared" si="86"/>
        <v>1429730665</v>
      </c>
      <c r="AK41" s="189">
        <f>AK38+AK39+AK40</f>
        <v>1429730665</v>
      </c>
      <c r="AL41" s="156">
        <f>AK41/AJ41</f>
        <v>1</v>
      </c>
      <c r="AM41" s="188" t="s">
        <v>389</v>
      </c>
      <c r="AN41" s="189">
        <f t="shared" si="86"/>
        <v>1692725394</v>
      </c>
      <c r="AO41" s="189">
        <f>AO38+AO39+AO40</f>
        <v>2229385946</v>
      </c>
      <c r="AP41" s="189">
        <f>AP38+AP39+AP40</f>
        <v>2219715097</v>
      </c>
      <c r="AQ41" s="156">
        <f>AP41/AO41</f>
        <v>0.99566210192660831</v>
      </c>
      <c r="AR41" s="189">
        <f t="shared" ref="AR41" si="87">AR38+AR39+AR40</f>
        <v>0</v>
      </c>
      <c r="AS41" s="189">
        <f>AS38+AS39+AS40</f>
        <v>114167900</v>
      </c>
      <c r="AT41" s="189">
        <f>AT38+AT39+AT40</f>
        <v>114491915</v>
      </c>
      <c r="AU41" s="156">
        <f>AT41/AS41</f>
        <v>1.0028380569319397</v>
      </c>
      <c r="AV41" s="189">
        <f>AV38+AV39+AV40</f>
        <v>1692725394</v>
      </c>
      <c r="AW41" s="189">
        <f>AW38+AW39+AW40</f>
        <v>2343553846</v>
      </c>
      <c r="AX41" s="189">
        <f>AX38+AX39+AX40</f>
        <v>2334207012</v>
      </c>
      <c r="AY41" s="156">
        <f>AX41/AW41</f>
        <v>0.9960116837016767</v>
      </c>
      <c r="AZ41" s="157">
        <f>SUM(AG41+AK41)</f>
        <v>1598624992</v>
      </c>
      <c r="BA41" s="157">
        <f>SUM(AX41-AZ41)</f>
        <v>735582020</v>
      </c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</row>
    <row r="42" spans="1:79" ht="15.75" thickTop="1"/>
  </sheetData>
  <mergeCells count="31">
    <mergeCell ref="A8:A11"/>
    <mergeCell ref="B8:E8"/>
    <mergeCell ref="F8:I8"/>
    <mergeCell ref="J8:M8"/>
    <mergeCell ref="N8:Q8"/>
    <mergeCell ref="A1:BA1"/>
    <mergeCell ref="A5:U5"/>
    <mergeCell ref="V5:AL5"/>
    <mergeCell ref="AM5:AY5"/>
    <mergeCell ref="AR7:AV7"/>
    <mergeCell ref="AA8:AD8"/>
    <mergeCell ref="AE8:AL8"/>
    <mergeCell ref="AM8:AM11"/>
    <mergeCell ref="AE10:AH10"/>
    <mergeCell ref="AI10:AL10"/>
    <mergeCell ref="AN10:AQ10"/>
    <mergeCell ref="AR10:AU10"/>
    <mergeCell ref="AV10:AY10"/>
    <mergeCell ref="AN8:AY8"/>
    <mergeCell ref="B9:E10"/>
    <mergeCell ref="F9:I10"/>
    <mergeCell ref="J9:M10"/>
    <mergeCell ref="N9:Q10"/>
    <mergeCell ref="R9:U10"/>
    <mergeCell ref="W9:Z10"/>
    <mergeCell ref="AA9:AD10"/>
    <mergeCell ref="AE9:AL9"/>
    <mergeCell ref="AN9:AY9"/>
    <mergeCell ref="R8:U8"/>
    <mergeCell ref="V8:V11"/>
    <mergeCell ref="W8:Z8"/>
  </mergeCells>
  <pageMargins left="0.7" right="0.7" top="0.75" bottom="0.75" header="0.3" footer="0.3"/>
  <pageSetup paperSize="9" scale="44" orientation="landscape" horizontalDpi="300" verticalDpi="300" r:id="rId1"/>
  <colBreaks count="3" manualBreakCount="3">
    <brk id="21" max="1048575" man="1"/>
    <brk id="37" max="40" man="1"/>
    <brk id="5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15</vt:i4>
      </vt:variant>
    </vt:vector>
  </HeadingPairs>
  <TitlesOfParts>
    <vt:vector size="35" baseType="lpstr">
      <vt:lpstr>1. sz. melléklet</vt:lpstr>
      <vt:lpstr>2. sz. melléklet</vt:lpstr>
      <vt:lpstr>3. sz. melléklet</vt:lpstr>
      <vt:lpstr>4. sz. melléklet</vt:lpstr>
      <vt:lpstr>5. sz. melléklet</vt:lpstr>
      <vt:lpstr>6. sz. melléklet</vt:lpstr>
      <vt:lpstr>7. sz. melléklet</vt:lpstr>
      <vt:lpstr>8. sz. melléklet</vt:lpstr>
      <vt:lpstr>9. sz. melléklet</vt:lpstr>
      <vt:lpstr>10. sz. melléklet</vt:lpstr>
      <vt:lpstr>11. sz. melléklet</vt:lpstr>
      <vt:lpstr>12. sz. melléklet</vt:lpstr>
      <vt:lpstr>13. sz. melléklet</vt:lpstr>
      <vt:lpstr>14. sz. melléklet</vt:lpstr>
      <vt:lpstr>15. sz. melléklet</vt:lpstr>
      <vt:lpstr>16. sz. melléklet</vt:lpstr>
      <vt:lpstr>17. sz. melléklet</vt:lpstr>
      <vt:lpstr>18. sz. melléklet</vt:lpstr>
      <vt:lpstr>19. sz. melléklet</vt:lpstr>
      <vt:lpstr>20. melléklet</vt:lpstr>
      <vt:lpstr>'1. sz. melléklet'!Nyomtatási_terület</vt:lpstr>
      <vt:lpstr>'10. sz. melléklet'!Nyomtatási_terület</vt:lpstr>
      <vt:lpstr>'11. sz. melléklet'!Nyomtatási_terület</vt:lpstr>
      <vt:lpstr>'12. sz. melléklet'!Nyomtatási_terület</vt:lpstr>
      <vt:lpstr>'13. sz. melléklet'!Nyomtatási_terület</vt:lpstr>
      <vt:lpstr>'14. sz. melléklet'!Nyomtatási_terület</vt:lpstr>
      <vt:lpstr>'15. sz. melléklet'!Nyomtatási_terület</vt:lpstr>
      <vt:lpstr>'18. sz. melléklet'!Nyomtatási_terület</vt:lpstr>
      <vt:lpstr>'19. sz. melléklet'!Nyomtatási_terület</vt:lpstr>
      <vt:lpstr>'2. sz. melléklet'!Nyomtatási_terület</vt:lpstr>
      <vt:lpstr>'3. sz. melléklet'!Nyomtatási_terület</vt:lpstr>
      <vt:lpstr>'4. sz. melléklet'!Nyomtatási_terület</vt:lpstr>
      <vt:lpstr>'5. sz. melléklet'!Nyomtatási_terület</vt:lpstr>
      <vt:lpstr>'8. sz. melléklet'!Nyomtatási_terület</vt:lpstr>
      <vt:lpstr>'9. sz.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bokareka</dc:creator>
  <cp:lastModifiedBy>samari</cp:lastModifiedBy>
  <cp:lastPrinted>2019-05-30T08:48:55Z</cp:lastPrinted>
  <dcterms:created xsi:type="dcterms:W3CDTF">2017-05-08T06:30:53Z</dcterms:created>
  <dcterms:modified xsi:type="dcterms:W3CDTF">2019-05-30T09:30:58Z</dcterms:modified>
</cp:coreProperties>
</file>